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C:\Users\user\Javno podjetje VODOVOD SISTEMA B d.o.o\Benjamin Resnik - OBLAK skupna mapa\2.FAZA-PROJ.PREDRAČUNI-POPISI DEL IN PZI\"/>
    </mc:Choice>
  </mc:AlternateContent>
  <xr:revisionPtr revIDLastSave="0" documentId="13_ncr:1_{914091E6-F67D-46B6-B30E-CA4ECE265663}" xr6:coauthVersionLast="45" xr6:coauthVersionMax="45" xr10:uidLastSave="{00000000-0000-0000-0000-000000000000}"/>
  <bookViews>
    <workbookView xWindow="28680" yWindow="-120" windowWidth="29040" windowHeight="15840" tabRatio="948" firstSheet="75" activeTab="85" xr2:uid="{00000000-000D-0000-FFFF-FFFF00000000}"/>
  </bookViews>
  <sheets>
    <sheet name="REKAPITULACIJA SKLOP 2" sheetId="25" r:id="rId1"/>
    <sheet name="REKAPITULACIJA CANKOVA" sheetId="62" r:id="rId2"/>
    <sheet name="Cankova_VGG-transport" sheetId="56" r:id="rId3"/>
    <sheet name="Cankova_VKS" sheetId="60" r:id="rId4"/>
    <sheet name="Cankova_ČRP Gerlinci" sheetId="59" r:id="rId5"/>
    <sheet name="Cankova_RT-6" sheetId="49" r:id="rId6"/>
    <sheet name="Cankova_VH Krašči" sheetId="27" r:id="rId7"/>
    <sheet name="Cankova_ČRP Domajinci" sheetId="2" r:id="rId8"/>
    <sheet name="Cankova_ČRP G.Črnci (Romi)" sheetId="3" r:id="rId9"/>
    <sheet name="Cankova_VGG-sekundar" sheetId="57" r:id="rId10"/>
    <sheet name="Cankova_SC-1" sheetId="58" r:id="rId11"/>
    <sheet name="Cankova_VKS-1" sheetId="61" r:id="rId12"/>
    <sheet name="REKAPITULACIJA G.PETROVCI" sheetId="68" r:id="rId13"/>
    <sheet name="G.Petrovci_RT-2" sheetId="47" r:id="rId14"/>
    <sheet name="G.Petrovci_VH Pindža" sheetId="28" r:id="rId15"/>
    <sheet name="G.Petrovci_VH Lucova" sheetId="34" r:id="rId16"/>
    <sheet name="G.Petrovci_VH Stanjevci" sheetId="36" r:id="rId17"/>
    <sheet name="G.Petrovci_ČRP-Boreča" sheetId="30" r:id="rId18"/>
    <sheet name="G.Petrovci_ČRP-Martinje" sheetId="31" r:id="rId19"/>
    <sheet name="G.Petrovci_ČRP-Ženavlje 1" sheetId="32" r:id="rId20"/>
    <sheet name="G.Petrovci_ČRP-Ženavlje 2" sheetId="33" r:id="rId21"/>
    <sheet name="REKAPITULACIJA GRAD" sheetId="69" r:id="rId22"/>
    <sheet name="Grad_VH Grad" sheetId="39" r:id="rId23"/>
    <sheet name="Grad_VH Vidonci" sheetId="40" r:id="rId24"/>
    <sheet name="Grad_ČRP Dolnji Slaveči 1" sheetId="4" r:id="rId25"/>
    <sheet name="Grad_ČRP Dolnji Slaveči 2" sheetId="5" r:id="rId26"/>
    <sheet name="Grad_ČRP Grad" sheetId="6" r:id="rId27"/>
    <sheet name="Grad_ČRP Grad Rajsar" sheetId="38" r:id="rId28"/>
    <sheet name="Grad_ČRP Vidonci" sheetId="7" r:id="rId29"/>
    <sheet name="REKAPITULACIJA HODOŠ" sheetId="70" r:id="rId30"/>
    <sheet name="Hodoš_VH Hodoš" sheetId="41" r:id="rId31"/>
    <sheet name="Hodoš_ČRP Hodoš" sheetId="8" r:id="rId32"/>
    <sheet name="REKAPITULACIJA KUZMA" sheetId="63" r:id="rId33"/>
    <sheet name="Kuzma_VH Kuzma" sheetId="43" r:id="rId34"/>
    <sheet name="Kuzma_ČRP Dolič (Č-2)" sheetId="10" r:id="rId35"/>
    <sheet name="Kuzma_ČRP Dolič 1 (Č-1)" sheetId="172" r:id="rId36"/>
    <sheet name="Kuzma_ČRP Gornji Slaveči (Č-4)" sheetId="11" r:id="rId37"/>
    <sheet name="Kuzma_ČRP Kuzma (Č-5-1)" sheetId="12" r:id="rId38"/>
    <sheet name="Kuzma_ČRP Matjaševci (Č-3)" sheetId="13" r:id="rId39"/>
    <sheet name="Kuzma_Trdkova SK-1" sheetId="55" r:id="rId40"/>
    <sheet name="REKAPITULACIJA M.TOPLICE" sheetId="71" r:id="rId41"/>
    <sheet name="M.Toplice_VPUS" sheetId="86" r:id="rId42"/>
    <sheet name="M.Toplice_VF1" sheetId="72" r:id="rId43"/>
    <sheet name="M.Toplice_VBU" sheetId="73" r:id="rId44"/>
    <sheet name="M.Toplice_ČRP_Bukovnica" sheetId="75" r:id="rId45"/>
    <sheet name="M.Toplice_SMT-4_1" sheetId="76" r:id="rId46"/>
    <sheet name="M.Toplice_SMT-4_2 " sheetId="77" r:id="rId47"/>
    <sheet name="M.Toplice_ČRP Filovci" sheetId="78" r:id="rId48"/>
    <sheet name="M.Toplice_VH Filovci" sheetId="79" r:id="rId49"/>
    <sheet name="M.Toplice_VKL-2, VKL-3" sheetId="81" r:id="rId50"/>
    <sheet name="M.Toplice_R1-R10, L1-L6" sheetId="82" r:id="rId51"/>
    <sheet name="M.Toplice_Fokovci_VFS-2" sheetId="83" r:id="rId52"/>
    <sheet name="M.Toplice_ČRP Gornji Moravci" sheetId="14" r:id="rId53"/>
    <sheet name="M.Toplice_ČRP Prosenjakovci" sheetId="15" r:id="rId54"/>
    <sheet name="M.Toplice_ČRP Prosenjakovci OŠ" sheetId="16" r:id="rId55"/>
    <sheet name="M.Toplice_ČRP Sebeborci" sheetId="17" r:id="rId56"/>
    <sheet name="M.Toplice_B1, B3-B6" sheetId="74" r:id="rId57"/>
    <sheet name="M.Toplice_K1-K8" sheetId="80" r:id="rId58"/>
    <sheet name="M.Toplice_Fokovci_F1-F7" sheetId="84" r:id="rId59"/>
    <sheet name="M.Toplice_SMT-1 18" sheetId="85" r:id="rId60"/>
    <sheet name="REKAPITULACIJA ROGAŠOVCI" sheetId="151" r:id="rId61"/>
    <sheet name="Rogašovci_VGG-R" sheetId="167" r:id="rId62"/>
    <sheet name="Rogašovci_VRS" sheetId="152" r:id="rId63"/>
    <sheet name="Rogašovci_VSN" sheetId="153" r:id="rId64"/>
    <sheet name="Rogašovci_VKK VFK" sheetId="154" r:id="rId65"/>
    <sheet name="Rogašovci_VSO" sheetId="155" r:id="rId66"/>
    <sheet name="Rogašovci_SR-4_26" sheetId="156" r:id="rId67"/>
    <sheet name="Rogašovci_SR-5_8" sheetId="157" r:id="rId68"/>
    <sheet name="Rogašovci_SR-4_10 " sheetId="158" r:id="rId69"/>
    <sheet name="Rogašovci_SR-5_7" sheetId="159" r:id="rId70"/>
    <sheet name="Rogašovci_SR-5_1" sheetId="160" r:id="rId71"/>
    <sheet name="Rogašovci_SR-4_6" sheetId="162" r:id="rId72"/>
    <sheet name="Rogašovci_VRP" sheetId="165" r:id="rId73"/>
    <sheet name="Rogašovci_SR-1_7" sheetId="166" r:id="rId74"/>
    <sheet name="Rogašovci_SR-2_1" sheetId="168" r:id="rId75"/>
    <sheet name="Rogašovci_SR-2_9" sheetId="169" r:id="rId76"/>
    <sheet name="Rogašovci_VH Sotina" sheetId="170" r:id="rId77"/>
    <sheet name="Rogašovci_ČRP Buček" sheetId="171" r:id="rId78"/>
    <sheet name="Rogašovci_VH Nuskova" sheetId="18" r:id="rId79"/>
    <sheet name="Rogašovci_VH Večeslavci" sheetId="19" r:id="rId80"/>
    <sheet name="Rogašovci_RT-5" sheetId="48" r:id="rId81"/>
    <sheet name="Rogašovci_SR-3_7" sheetId="163" r:id="rId82"/>
    <sheet name="Rogašovci_SR-3_8.1" sheetId="164" r:id="rId83"/>
    <sheet name="Rogašovci_SR-4_15" sheetId="161" r:id="rId84"/>
    <sheet name="REKAPITULACIJA ŠALOVCI" sheetId="65" r:id="rId85"/>
    <sheet name="Šalovci_VŠM 6" sheetId="66" r:id="rId86"/>
    <sheet name="Šalovci_ČRP_MARKOVCI" sheetId="67" r:id="rId87"/>
    <sheet name="Šalovci_VH Dolenci" sheetId="45" r:id="rId88"/>
    <sheet name="Šalovci_VH Domanjševci" sheetId="46" r:id="rId89"/>
    <sheet name="Šalovci_VH Čepinci" sheetId="44" r:id="rId90"/>
    <sheet name="Šalovci_ČRP Čepinci 1" sheetId="20" r:id="rId91"/>
    <sheet name="Šalovci_ČRP Čepinci 2" sheetId="21" r:id="rId92"/>
    <sheet name="Šalovci_ČRP Čepinci 3" sheetId="22" r:id="rId93"/>
  </sheets>
  <definedNames>
    <definedName name="_xlnm.Print_Area" localSheetId="5">'Cankova_RT-6'!$A$1:$G$110</definedName>
    <definedName name="_xlnm.Print_Area" localSheetId="51">'M.Toplice_Fokovci_VFS-2'!$B$1:$G$297</definedName>
    <definedName name="_xlnm.Print_Area" localSheetId="49">'M.Toplice_VKL-2, VKL-3'!$B$1:$G$248</definedName>
    <definedName name="_xlnm.Print_Area" localSheetId="77">'Rogašovci_ČRP Buček'!$A$2:$G$419</definedName>
    <definedName name="_xlnm.Print_Area" localSheetId="73">'Rogašovci_SR-1_7'!$A$1:$G$189</definedName>
    <definedName name="_xlnm.Print_Area" localSheetId="74">'Rogašovci_SR-2_1'!$A$1:$G$229</definedName>
    <definedName name="_xlnm.Print_Area" localSheetId="75">'Rogašovci_SR-2_9'!$A$1:$G$173</definedName>
    <definedName name="_xlnm.Print_Area" localSheetId="81">'Rogašovci_SR-3_7'!$A$1:$G$257</definedName>
    <definedName name="_xlnm.Print_Area" localSheetId="82">'Rogašovci_SR-3_8.1'!$A$1:$G$211</definedName>
    <definedName name="_xlnm.Print_Area" localSheetId="68">'Rogašovci_SR-4_10 '!$A$1:$G$287</definedName>
    <definedName name="_xlnm.Print_Area" localSheetId="83">'Rogašovci_SR-4_15'!$A$1:$G$207</definedName>
    <definedName name="_xlnm.Print_Area" localSheetId="66">'Rogašovci_SR-4_26'!$A$1:$G$144</definedName>
    <definedName name="_xlnm.Print_Area" localSheetId="71">'Rogašovci_SR-4_6'!$A$1:$G$239</definedName>
    <definedName name="_xlnm.Print_Area" localSheetId="70">'Rogašovci_SR-5_1'!$A$1:$G$230</definedName>
    <definedName name="_xlnm.Print_Area" localSheetId="69">'Rogašovci_SR-5_7'!$A$1:$G$163</definedName>
    <definedName name="_xlnm.Print_Area" localSheetId="67">'Rogašovci_SR-5_8'!$A$1:$G$189</definedName>
    <definedName name="_xlnm.Print_Area" localSheetId="61">'Rogašovci_VGG-R'!$A$1:$G$183</definedName>
    <definedName name="_xlnm.Print_Area" localSheetId="76">'Rogašovci_VH Sotina'!$A$2:$G$470</definedName>
    <definedName name="_xlnm.Print_Area" localSheetId="64">'Rogašovci_VKK VFK'!$A$1:$G$251</definedName>
    <definedName name="_xlnm.Print_Area" localSheetId="72">Rogašovci_VRP!$A$1:$G$241</definedName>
    <definedName name="_xlnm.Print_Area" localSheetId="62">Rogašovci_VRS!$A$1:$G$221</definedName>
    <definedName name="_xlnm.Print_Area" localSheetId="63">Rogašovci_VSN!$A$1:$G$188</definedName>
    <definedName name="_xlnm.Print_Area" localSheetId="65">Rogašovci_VSO!$A$1:$G$347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 i="67" l="1"/>
  <c r="G29" i="67"/>
  <c r="G129" i="170" l="1"/>
  <c r="G128" i="170"/>
  <c r="G108" i="170"/>
  <c r="G107" i="170"/>
  <c r="G106" i="170"/>
  <c r="G122" i="171"/>
  <c r="G121" i="171"/>
  <c r="G120" i="171"/>
  <c r="G101" i="59" l="1"/>
  <c r="G100" i="59"/>
  <c r="G99" i="59"/>
  <c r="G90" i="79"/>
  <c r="G89" i="79"/>
  <c r="G88" i="79"/>
  <c r="G111" i="67"/>
  <c r="G125" i="170"/>
  <c r="G115" i="170"/>
  <c r="G112" i="170"/>
  <c r="G113" i="170"/>
  <c r="G114" i="170"/>
  <c r="G109" i="78" l="1"/>
  <c r="G19" i="65" l="1"/>
  <c r="G18" i="65"/>
  <c r="G17" i="65"/>
  <c r="G16" i="65"/>
  <c r="G15" i="65"/>
  <c r="I93" i="154"/>
  <c r="G34" i="151"/>
  <c r="G33" i="151"/>
  <c r="E117" i="85" l="1"/>
  <c r="E119" i="85" s="1"/>
  <c r="E128" i="84"/>
  <c r="E127" i="84"/>
  <c r="E126" i="84"/>
  <c r="E125" i="84"/>
  <c r="E131" i="80"/>
  <c r="E133" i="80" s="1"/>
  <c r="E119" i="74"/>
  <c r="E122" i="74" s="1"/>
  <c r="E128" i="82"/>
  <c r="E131" i="82" s="1"/>
  <c r="G135" i="59"/>
  <c r="G124" i="78"/>
  <c r="E118" i="85" l="1"/>
  <c r="E120" i="85"/>
  <c r="E134" i="80"/>
  <c r="E132" i="80"/>
  <c r="E120" i="74"/>
  <c r="E121" i="74"/>
  <c r="E129" i="82"/>
  <c r="E130" i="82"/>
  <c r="E127" i="77"/>
  <c r="E130" i="77" s="1"/>
  <c r="E122" i="76"/>
  <c r="E125" i="76" s="1"/>
  <c r="E124" i="72"/>
  <c r="E127" i="72" s="1"/>
  <c r="G27" i="71"/>
  <c r="G26" i="71"/>
  <c r="G25" i="71"/>
  <c r="G17" i="63"/>
  <c r="G16" i="63"/>
  <c r="G15" i="63"/>
  <c r="G13" i="63"/>
  <c r="G51" i="41"/>
  <c r="G15" i="70"/>
  <c r="G18" i="69"/>
  <c r="G17" i="69"/>
  <c r="G16" i="69"/>
  <c r="G15" i="69"/>
  <c r="G14" i="69"/>
  <c r="G13" i="69"/>
  <c r="G12" i="69"/>
  <c r="G17" i="32"/>
  <c r="E123" i="76" l="1"/>
  <c r="E124" i="76"/>
  <c r="E125" i="72"/>
  <c r="E126" i="72"/>
  <c r="E128" i="77"/>
  <c r="E129" i="77"/>
  <c r="G21" i="68"/>
  <c r="G20" i="68"/>
  <c r="G19" i="68"/>
  <c r="G18" i="68"/>
  <c r="G138" i="172" l="1"/>
  <c r="G137" i="172"/>
  <c r="G136" i="172"/>
  <c r="G135" i="172"/>
  <c r="G133" i="172"/>
  <c r="G132" i="172"/>
  <c r="G131" i="172"/>
  <c r="G130" i="172"/>
  <c r="G128" i="172"/>
  <c r="G127" i="172"/>
  <c r="G126" i="172"/>
  <c r="G125" i="172"/>
  <c r="G124" i="172"/>
  <c r="G123" i="172"/>
  <c r="G122" i="172"/>
  <c r="G120" i="172"/>
  <c r="G119" i="172"/>
  <c r="G118" i="172"/>
  <c r="G117" i="172"/>
  <c r="G116" i="172"/>
  <c r="G115" i="172"/>
  <c r="G114" i="172"/>
  <c r="G113" i="172"/>
  <c r="G111" i="172"/>
  <c r="G110" i="172"/>
  <c r="G109" i="172"/>
  <c r="G108" i="172"/>
  <c r="G107" i="172"/>
  <c r="G105" i="172"/>
  <c r="G104" i="172"/>
  <c r="G103" i="172"/>
  <c r="G101" i="172"/>
  <c r="G100" i="172"/>
  <c r="G99" i="172"/>
  <c r="G98" i="172"/>
  <c r="G97" i="172"/>
  <c r="G96" i="172"/>
  <c r="G95" i="172"/>
  <c r="G92" i="172"/>
  <c r="G90" i="172"/>
  <c r="G89" i="172"/>
  <c r="G88" i="172"/>
  <c r="G87" i="172"/>
  <c r="G86" i="172"/>
  <c r="G85" i="172"/>
  <c r="G84" i="172"/>
  <c r="G83" i="172"/>
  <c r="G82" i="172"/>
  <c r="G81" i="172"/>
  <c r="G80" i="172"/>
  <c r="G79" i="172"/>
  <c r="G78" i="172"/>
  <c r="G77" i="172"/>
  <c r="G76" i="172"/>
  <c r="G75" i="172"/>
  <c r="G74" i="172"/>
  <c r="G73" i="172"/>
  <c r="G72" i="172"/>
  <c r="G71" i="172"/>
  <c r="G70" i="172"/>
  <c r="G139" i="172" s="1"/>
  <c r="G17" i="172" s="1"/>
  <c r="G56" i="172"/>
  <c r="G55" i="172"/>
  <c r="G54" i="172"/>
  <c r="G53" i="172"/>
  <c r="G52" i="172"/>
  <c r="G51" i="172"/>
  <c r="G50" i="172"/>
  <c r="G49" i="172"/>
  <c r="G48" i="172"/>
  <c r="G47" i="172"/>
  <c r="G46" i="172"/>
  <c r="G45" i="172"/>
  <c r="G44" i="172"/>
  <c r="G43" i="172"/>
  <c r="G42" i="172"/>
  <c r="G41" i="172"/>
  <c r="G57" i="172" s="1"/>
  <c r="G16" i="172" s="1"/>
  <c r="E41" i="172"/>
  <c r="G33" i="172"/>
  <c r="G32" i="172"/>
  <c r="G31" i="172"/>
  <c r="G30" i="172"/>
  <c r="G29" i="172"/>
  <c r="G28" i="172"/>
  <c r="G27" i="172"/>
  <c r="G26" i="172"/>
  <c r="G25" i="172"/>
  <c r="G24" i="172"/>
  <c r="G34" i="172" l="1"/>
  <c r="G15" i="172" s="1"/>
  <c r="G18" i="172" s="1"/>
  <c r="G14" i="63" s="1"/>
  <c r="G212" i="170"/>
  <c r="G184" i="79"/>
  <c r="G59" i="40"/>
  <c r="G82" i="36"/>
  <c r="G72" i="34"/>
  <c r="G50" i="41"/>
  <c r="G78" i="47" l="1"/>
  <c r="G122" i="47"/>
  <c r="G67" i="28"/>
  <c r="G104" i="28" l="1"/>
  <c r="G103" i="28"/>
  <c r="G112" i="28"/>
  <c r="G111" i="28"/>
  <c r="G110" i="28"/>
  <c r="G109" i="28"/>
  <c r="G108" i="28"/>
  <c r="G107" i="28"/>
  <c r="G106" i="28"/>
  <c r="G105" i="28"/>
  <c r="G101" i="28"/>
  <c r="G100" i="28"/>
  <c r="G83" i="28"/>
  <c r="G98" i="28"/>
  <c r="G99" i="28"/>
  <c r="G96" i="28"/>
  <c r="G97" i="28"/>
  <c r="G89" i="28"/>
  <c r="G102" i="28"/>
  <c r="G90" i="28"/>
  <c r="G93" i="28"/>
  <c r="G87" i="28"/>
  <c r="G79" i="28"/>
  <c r="G85" i="28"/>
  <c r="G86" i="28"/>
  <c r="G80" i="28"/>
  <c r="G77" i="28"/>
  <c r="G76" i="28"/>
  <c r="G158" i="59" l="1"/>
  <c r="G126" i="28"/>
  <c r="G100" i="34"/>
  <c r="G96" i="36"/>
  <c r="G50" i="30"/>
  <c r="G50" i="31"/>
  <c r="G51" i="32"/>
  <c r="G49" i="33"/>
  <c r="G64" i="39"/>
  <c r="G53" i="38"/>
  <c r="G68" i="40"/>
  <c r="G152" i="170"/>
  <c r="G146" i="171"/>
  <c r="G141" i="67"/>
  <c r="G53" i="22" l="1"/>
  <c r="G53" i="21"/>
  <c r="G53" i="20"/>
  <c r="G86" i="44"/>
  <c r="G92" i="46"/>
  <c r="G269" i="67"/>
  <c r="G160" i="48"/>
  <c r="G73" i="19"/>
  <c r="G73" i="18"/>
  <c r="G338" i="171"/>
  <c r="G388" i="170"/>
  <c r="G55" i="17"/>
  <c r="G55" i="16"/>
  <c r="G55" i="15"/>
  <c r="G53" i="14"/>
  <c r="G285" i="79"/>
  <c r="G293" i="78"/>
  <c r="G55" i="13"/>
  <c r="G55" i="12"/>
  <c r="G55" i="11"/>
  <c r="G55" i="10"/>
  <c r="G113" i="43"/>
  <c r="G55" i="8"/>
  <c r="G87" i="41"/>
  <c r="G53" i="7"/>
  <c r="G90" i="38"/>
  <c r="G53" i="6"/>
  <c r="G53" i="5"/>
  <c r="G53" i="4"/>
  <c r="G105" i="40"/>
  <c r="G101" i="39"/>
  <c r="G88" i="33"/>
  <c r="G90" i="32"/>
  <c r="G89" i="31"/>
  <c r="G89" i="30"/>
  <c r="G133" i="36"/>
  <c r="G137" i="34"/>
  <c r="G139" i="28"/>
  <c r="G162" i="47"/>
  <c r="G53" i="3"/>
  <c r="G53" i="2"/>
  <c r="G145" i="49"/>
  <c r="G305" i="59"/>
  <c r="G209" i="75"/>
  <c r="G137" i="79"/>
  <c r="G138" i="79"/>
  <c r="G140" i="79"/>
  <c r="G141" i="79"/>
  <c r="G142" i="79"/>
  <c r="G143" i="79"/>
  <c r="G144" i="79"/>
  <c r="G147" i="78"/>
  <c r="G107" i="75"/>
  <c r="G76" i="43" l="1"/>
  <c r="G79" i="27" l="1"/>
  <c r="G225" i="163" l="1"/>
  <c r="G226" i="163"/>
  <c r="G227" i="163"/>
  <c r="G228" i="163"/>
  <c r="G229" i="163"/>
  <c r="G230" i="163"/>
  <c r="G231" i="163"/>
  <c r="G232" i="163"/>
  <c r="G233" i="163"/>
  <c r="G234" i="163"/>
  <c r="G235" i="163"/>
  <c r="G236" i="163"/>
  <c r="G237" i="163"/>
  <c r="G238" i="163"/>
  <c r="G239" i="163"/>
  <c r="G240" i="163"/>
  <c r="G241" i="163"/>
  <c r="G242" i="163"/>
  <c r="G243" i="163"/>
  <c r="G244" i="163"/>
  <c r="G245" i="163"/>
  <c r="G246" i="163"/>
  <c r="G247" i="163"/>
  <c r="G248" i="163"/>
  <c r="G249" i="163"/>
  <c r="G250" i="163"/>
  <c r="G251" i="163"/>
  <c r="G252" i="163"/>
  <c r="G253" i="163"/>
  <c r="G224" i="163"/>
  <c r="G202" i="160"/>
  <c r="G203" i="160"/>
  <c r="G204" i="160"/>
  <c r="G205" i="160"/>
  <c r="G206" i="160"/>
  <c r="G207" i="160"/>
  <c r="G208" i="160"/>
  <c r="G209" i="160"/>
  <c r="G210" i="160"/>
  <c r="G211" i="160"/>
  <c r="G212" i="160"/>
  <c r="G213" i="160"/>
  <c r="G214" i="160"/>
  <c r="G215" i="160"/>
  <c r="G216" i="160"/>
  <c r="G217" i="160"/>
  <c r="G218" i="160"/>
  <c r="G219" i="160"/>
  <c r="G220" i="160"/>
  <c r="G221" i="160"/>
  <c r="G222" i="160"/>
  <c r="G223" i="160"/>
  <c r="G224" i="160"/>
  <c r="G225" i="160"/>
  <c r="G226" i="160"/>
  <c r="G201" i="160"/>
  <c r="G319" i="155"/>
  <c r="G320" i="155"/>
  <c r="G321" i="155"/>
  <c r="G322" i="155"/>
  <c r="G323" i="155"/>
  <c r="G324" i="155"/>
  <c r="G325" i="155"/>
  <c r="G326" i="155"/>
  <c r="G327" i="155"/>
  <c r="G328" i="155"/>
  <c r="G329" i="155"/>
  <c r="G330" i="155"/>
  <c r="G331" i="155"/>
  <c r="G332" i="155"/>
  <c r="G333" i="155"/>
  <c r="G334" i="155"/>
  <c r="G335" i="155"/>
  <c r="G336" i="155"/>
  <c r="G337" i="155"/>
  <c r="G338" i="155"/>
  <c r="G339" i="155"/>
  <c r="G340" i="155"/>
  <c r="G341" i="155"/>
  <c r="G342" i="155"/>
  <c r="G343" i="155"/>
  <c r="G318" i="155"/>
  <c r="G223" i="154"/>
  <c r="G224" i="154"/>
  <c r="G225" i="154"/>
  <c r="G226" i="154"/>
  <c r="G227" i="154"/>
  <c r="G228" i="154"/>
  <c r="G229" i="154"/>
  <c r="G230" i="154"/>
  <c r="G231" i="154"/>
  <c r="G232" i="154"/>
  <c r="G233" i="154"/>
  <c r="G234" i="154"/>
  <c r="G235" i="154"/>
  <c r="G236" i="154"/>
  <c r="G237" i="154"/>
  <c r="G238" i="154"/>
  <c r="G239" i="154"/>
  <c r="G240" i="154"/>
  <c r="G241" i="154"/>
  <c r="G242" i="154"/>
  <c r="G243" i="154"/>
  <c r="G244" i="154"/>
  <c r="G245" i="154"/>
  <c r="G246" i="154"/>
  <c r="G247" i="154"/>
  <c r="G222" i="154"/>
  <c r="G192" i="154"/>
  <c r="G193" i="154"/>
  <c r="G194" i="154"/>
  <c r="G195" i="154"/>
  <c r="G196" i="154"/>
  <c r="G197" i="154"/>
  <c r="G198" i="154"/>
  <c r="G199" i="154"/>
  <c r="G200" i="154"/>
  <c r="G201" i="154"/>
  <c r="G202" i="154"/>
  <c r="G203" i="154"/>
  <c r="G204" i="154"/>
  <c r="G205" i="154"/>
  <c r="G206" i="154"/>
  <c r="G207" i="154"/>
  <c r="G208" i="154"/>
  <c r="G209" i="154"/>
  <c r="G210" i="154"/>
  <c r="G211" i="154"/>
  <c r="G212" i="154"/>
  <c r="G213" i="154"/>
  <c r="G214" i="154"/>
  <c r="G215" i="154"/>
  <c r="G216" i="154"/>
  <c r="G217" i="154"/>
  <c r="G218" i="154"/>
  <c r="G219" i="154"/>
  <c r="G191" i="154"/>
  <c r="G190" i="154"/>
  <c r="G81" i="75" l="1"/>
  <c r="G92" i="80"/>
  <c r="G96" i="80"/>
  <c r="G123" i="85"/>
  <c r="G119" i="85"/>
  <c r="G118" i="85"/>
  <c r="G89" i="85"/>
  <c r="G86" i="85"/>
  <c r="G82" i="85"/>
  <c r="G80" i="85"/>
  <c r="G78" i="85"/>
  <c r="G76" i="85"/>
  <c r="G74" i="85"/>
  <c r="G293" i="77" l="1"/>
  <c r="G322" i="77"/>
  <c r="G321" i="77"/>
  <c r="G320" i="77"/>
  <c r="G319" i="77"/>
  <c r="G318" i="77"/>
  <c r="G317" i="77"/>
  <c r="G316" i="77"/>
  <c r="G315" i="77"/>
  <c r="G314" i="77"/>
  <c r="G313" i="77"/>
  <c r="G312" i="77"/>
  <c r="G311" i="77"/>
  <c r="G310" i="77"/>
  <c r="G309" i="77"/>
  <c r="G308" i="77"/>
  <c r="G307" i="77"/>
  <c r="G38" i="19"/>
  <c r="G37" i="19"/>
  <c r="G36" i="19"/>
  <c r="G35" i="19"/>
  <c r="G34" i="19"/>
  <c r="G33" i="19"/>
  <c r="G32" i="19"/>
  <c r="G31" i="19"/>
  <c r="G30" i="19"/>
  <c r="G29" i="19"/>
  <c r="G28" i="19"/>
  <c r="G27" i="19"/>
  <c r="G26" i="19"/>
  <c r="G25" i="19"/>
  <c r="G24" i="19"/>
  <c r="G23" i="19"/>
  <c r="G22" i="19"/>
  <c r="G38" i="18"/>
  <c r="G37" i="18"/>
  <c r="G36" i="18"/>
  <c r="G35" i="18"/>
  <c r="G34" i="18"/>
  <c r="G33" i="18"/>
  <c r="G32" i="18"/>
  <c r="G31" i="18"/>
  <c r="G30" i="18"/>
  <c r="G29" i="18"/>
  <c r="G28" i="18"/>
  <c r="G27" i="18"/>
  <c r="G26" i="18"/>
  <c r="G25" i="18"/>
  <c r="G24" i="18"/>
  <c r="G23" i="18"/>
  <c r="G22" i="18"/>
  <c r="G195" i="72"/>
  <c r="G194" i="72"/>
  <c r="G193" i="72"/>
  <c r="G192" i="72"/>
  <c r="G191" i="72"/>
  <c r="G190" i="72"/>
  <c r="G189" i="72"/>
  <c r="G188" i="72"/>
  <c r="G187" i="72"/>
  <c r="G186" i="72"/>
  <c r="G185" i="72"/>
  <c r="G184" i="72"/>
  <c r="G183" i="72"/>
  <c r="G182" i="72"/>
  <c r="G181" i="72"/>
  <c r="G180" i="72"/>
  <c r="G179" i="72"/>
  <c r="G178" i="72"/>
  <c r="G177" i="72"/>
  <c r="G176" i="72"/>
  <c r="G175" i="72"/>
  <c r="G174" i="72"/>
  <c r="G173" i="72"/>
  <c r="G172" i="72"/>
  <c r="G276" i="86"/>
  <c r="G275" i="86"/>
  <c r="G134" i="86"/>
  <c r="G274" i="86"/>
  <c r="G273" i="86"/>
  <c r="G272" i="86"/>
  <c r="G271" i="86"/>
  <c r="G270" i="86"/>
  <c r="G269" i="86"/>
  <c r="G268" i="86"/>
  <c r="G267" i="86"/>
  <c r="G266" i="86"/>
  <c r="G265" i="86"/>
  <c r="G264" i="86"/>
  <c r="G263" i="86"/>
  <c r="G262" i="86"/>
  <c r="G261" i="86"/>
  <c r="G260" i="86"/>
  <c r="G259" i="86"/>
  <c r="G258" i="86"/>
  <c r="G257" i="86"/>
  <c r="G256" i="86"/>
  <c r="G255" i="86"/>
  <c r="G254" i="86"/>
  <c r="G253" i="86"/>
  <c r="G250" i="86"/>
  <c r="G249" i="86"/>
  <c r="G133" i="86"/>
  <c r="G248" i="86"/>
  <c r="G247" i="86"/>
  <c r="G246" i="86"/>
  <c r="G245" i="86"/>
  <c r="G244" i="86"/>
  <c r="G243" i="86"/>
  <c r="G242" i="86"/>
  <c r="G241" i="86"/>
  <c r="G240" i="86"/>
  <c r="G239" i="86"/>
  <c r="G238" i="86"/>
  <c r="G237" i="86"/>
  <c r="G236" i="86"/>
  <c r="G235" i="86"/>
  <c r="G234" i="86"/>
  <c r="G233" i="86"/>
  <c r="G232" i="86"/>
  <c r="G231" i="86"/>
  <c r="G230" i="86"/>
  <c r="G229" i="86"/>
  <c r="G228" i="86"/>
  <c r="G227" i="86"/>
  <c r="G224" i="86"/>
  <c r="G223" i="86"/>
  <c r="G222" i="86"/>
  <c r="G132" i="86"/>
  <c r="G221" i="86"/>
  <c r="G220" i="86"/>
  <c r="G219" i="86"/>
  <c r="G218" i="86"/>
  <c r="G217" i="86"/>
  <c r="G216" i="86"/>
  <c r="G215" i="86"/>
  <c r="G214" i="86"/>
  <c r="G213" i="86"/>
  <c r="G212" i="86"/>
  <c r="G211" i="86"/>
  <c r="G210" i="86"/>
  <c r="G209" i="86"/>
  <c r="G208" i="86"/>
  <c r="G207" i="86"/>
  <c r="G206" i="86"/>
  <c r="G205" i="86"/>
  <c r="G204" i="86"/>
  <c r="G203" i="86"/>
  <c r="G202" i="86"/>
  <c r="G201" i="86"/>
  <c r="G200" i="86"/>
  <c r="G130" i="86"/>
  <c r="G191" i="86"/>
  <c r="G190" i="86"/>
  <c r="G189" i="86"/>
  <c r="G188" i="86"/>
  <c r="G187" i="86"/>
  <c r="G186" i="86"/>
  <c r="G185" i="86"/>
  <c r="G184" i="86"/>
  <c r="G183" i="86"/>
  <c r="G182" i="86"/>
  <c r="G181" i="86"/>
  <c r="G180" i="86"/>
  <c r="G179" i="86"/>
  <c r="G178" i="86"/>
  <c r="G177" i="86"/>
  <c r="G176" i="86"/>
  <c r="G175" i="86"/>
  <c r="G174" i="86"/>
  <c r="G173" i="86"/>
  <c r="G191" i="81"/>
  <c r="G190" i="81"/>
  <c r="G39" i="18" l="1"/>
  <c r="G15" i="18" s="1"/>
  <c r="G39" i="19"/>
  <c r="G15" i="19" s="1"/>
  <c r="G210" i="82" l="1"/>
  <c r="G209" i="82"/>
  <c r="G212" i="82"/>
  <c r="G211" i="82"/>
  <c r="G229" i="83"/>
  <c r="G148" i="85"/>
  <c r="G147" i="85"/>
  <c r="G146" i="85"/>
  <c r="G143" i="85"/>
  <c r="G142" i="85"/>
  <c r="G141" i="85"/>
  <c r="G140" i="85"/>
  <c r="G139" i="85"/>
  <c r="G138" i="85"/>
  <c r="G137" i="85"/>
  <c r="G136" i="85"/>
  <c r="G135" i="85"/>
  <c r="G134" i="85"/>
  <c r="G131" i="85"/>
  <c r="G130" i="85"/>
  <c r="G129" i="85"/>
  <c r="G128" i="85"/>
  <c r="G127" i="85"/>
  <c r="G126" i="85"/>
  <c r="G125" i="85"/>
  <c r="G124" i="85"/>
  <c r="G178" i="84"/>
  <c r="G177" i="84"/>
  <c r="G172" i="84"/>
  <c r="G171" i="84"/>
  <c r="G183" i="84"/>
  <c r="G182" i="84"/>
  <c r="G181" i="84"/>
  <c r="G173" i="84"/>
  <c r="G176" i="84"/>
  <c r="G175" i="84"/>
  <c r="G174" i="84"/>
  <c r="G168" i="84"/>
  <c r="G167" i="84"/>
  <c r="G166" i="84"/>
  <c r="G165" i="84"/>
  <c r="G164" i="84"/>
  <c r="G161" i="84"/>
  <c r="G160" i="84"/>
  <c r="G159" i="84"/>
  <c r="G156" i="84"/>
  <c r="G155" i="84"/>
  <c r="G154" i="84"/>
  <c r="G153" i="84"/>
  <c r="G152" i="84"/>
  <c r="G151" i="84"/>
  <c r="G150" i="84"/>
  <c r="G149" i="84"/>
  <c r="G148" i="84"/>
  <c r="G147" i="84"/>
  <c r="G144" i="84"/>
  <c r="G143" i="84"/>
  <c r="G142" i="84"/>
  <c r="G141" i="84"/>
  <c r="G140" i="84"/>
  <c r="G139" i="84"/>
  <c r="G138" i="84"/>
  <c r="G137" i="84"/>
  <c r="G136" i="84"/>
  <c r="G135" i="84"/>
  <c r="G134" i="84"/>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2" i="80"/>
  <c r="G231" i="80"/>
  <c r="G230" i="80"/>
  <c r="G227" i="80"/>
  <c r="G226" i="80"/>
  <c r="G225" i="80"/>
  <c r="G224" i="80"/>
  <c r="G223" i="80"/>
  <c r="G222" i="80"/>
  <c r="G221" i="80"/>
  <c r="G220" i="80"/>
  <c r="G219" i="80"/>
  <c r="G218" i="80"/>
  <c r="G217" i="80"/>
  <c r="G214" i="80"/>
  <c r="G213" i="80"/>
  <c r="G212" i="80"/>
  <c r="G209" i="80"/>
  <c r="G208" i="80"/>
  <c r="G207" i="80"/>
  <c r="G206" i="80"/>
  <c r="G205" i="80"/>
  <c r="G204" i="80"/>
  <c r="G203" i="80"/>
  <c r="G200" i="80"/>
  <c r="G199" i="80"/>
  <c r="G198" i="80"/>
  <c r="G197" i="80"/>
  <c r="G196" i="80"/>
  <c r="G195" i="80"/>
  <c r="G194" i="80"/>
  <c r="G193" i="80"/>
  <c r="G192" i="80"/>
  <c r="G191" i="80"/>
  <c r="G188" i="80"/>
  <c r="G187" i="80"/>
  <c r="G186" i="80"/>
  <c r="G185" i="80"/>
  <c r="G184" i="80"/>
  <c r="G183" i="80"/>
  <c r="G182" i="80"/>
  <c r="G181" i="80"/>
  <c r="G180" i="80"/>
  <c r="G177" i="80"/>
  <c r="G176" i="80"/>
  <c r="G175" i="80"/>
  <c r="G174" i="80"/>
  <c r="G173" i="80"/>
  <c r="G170" i="80"/>
  <c r="G169" i="80"/>
  <c r="G168" i="80"/>
  <c r="G167" i="80"/>
  <c r="G166" i="80"/>
  <c r="G165" i="80"/>
  <c r="G164" i="80"/>
  <c r="G163" i="80"/>
  <c r="G160" i="80"/>
  <c r="G159" i="80"/>
  <c r="G158" i="80"/>
  <c r="G157" i="80"/>
  <c r="G156" i="80"/>
  <c r="G155" i="80"/>
  <c r="G154" i="80"/>
  <c r="G153" i="80"/>
  <c r="G152" i="80"/>
  <c r="G151" i="80"/>
  <c r="G150" i="80"/>
  <c r="G149" i="80"/>
  <c r="G148" i="80"/>
  <c r="G147" i="80"/>
  <c r="G146" i="80"/>
  <c r="G145" i="80"/>
  <c r="G142" i="80"/>
  <c r="G141" i="80"/>
  <c r="G140" i="80"/>
  <c r="G139" i="80"/>
  <c r="G138" i="80"/>
  <c r="G137" i="80"/>
  <c r="G139" i="74"/>
  <c r="G138" i="74"/>
  <c r="G137" i="74"/>
  <c r="G134" i="74"/>
  <c r="G133" i="74"/>
  <c r="G132" i="74"/>
  <c r="G131" i="74"/>
  <c r="G130" i="74"/>
  <c r="G129" i="74"/>
  <c r="G128" i="74"/>
  <c r="G127" i="74"/>
  <c r="G126" i="74"/>
  <c r="G125" i="74"/>
  <c r="G277" i="83"/>
  <c r="G276" i="83"/>
  <c r="G275" i="83"/>
  <c r="G274" i="83"/>
  <c r="G273" i="83"/>
  <c r="G272" i="83"/>
  <c r="G271" i="83"/>
  <c r="G270" i="83"/>
  <c r="G269" i="83"/>
  <c r="G268" i="83"/>
  <c r="G267" i="83"/>
  <c r="G264" i="83"/>
  <c r="G263" i="83"/>
  <c r="G262" i="83"/>
  <c r="G261" i="83"/>
  <c r="G260" i="83"/>
  <c r="G259" i="83"/>
  <c r="G258" i="83"/>
  <c r="G257" i="83"/>
  <c r="G254" i="83"/>
  <c r="G253" i="83"/>
  <c r="G252" i="83"/>
  <c r="G251" i="83"/>
  <c r="G250" i="83"/>
  <c r="G249" i="83"/>
  <c r="G248" i="83"/>
  <c r="G247" i="83"/>
  <c r="G246" i="83"/>
  <c r="G243" i="83"/>
  <c r="G242" i="83"/>
  <c r="G241" i="83"/>
  <c r="G240" i="83"/>
  <c r="G239" i="83"/>
  <c r="G238" i="83"/>
  <c r="G237" i="83"/>
  <c r="G236" i="83"/>
  <c r="G235" i="83"/>
  <c r="G232" i="83"/>
  <c r="G231" i="83"/>
  <c r="G230" i="83"/>
  <c r="G228" i="83"/>
  <c r="G227" i="83"/>
  <c r="G226" i="83"/>
  <c r="G225" i="83"/>
  <c r="G224" i="83"/>
  <c r="G223" i="83"/>
  <c r="G222" i="83"/>
  <c r="G221" i="83"/>
  <c r="G220" i="83"/>
  <c r="G219" i="83"/>
  <c r="G218" i="83"/>
  <c r="G217" i="83"/>
  <c r="G216" i="83"/>
  <c r="G215" i="83"/>
  <c r="G212" i="83"/>
  <c r="G211" i="83"/>
  <c r="G210" i="83"/>
  <c r="G209" i="83"/>
  <c r="G208" i="83"/>
  <c r="G207" i="83"/>
  <c r="G206" i="83"/>
  <c r="G205" i="83"/>
  <c r="G204" i="83"/>
  <c r="G203" i="83"/>
  <c r="G202" i="83"/>
  <c r="G201" i="83"/>
  <c r="G200" i="83"/>
  <c r="G199" i="83"/>
  <c r="G198" i="83"/>
  <c r="G197" i="83"/>
  <c r="G194" i="83"/>
  <c r="G193" i="83"/>
  <c r="G192" i="83"/>
  <c r="G191" i="83"/>
  <c r="G190" i="83"/>
  <c r="G189" i="83"/>
  <c r="G188" i="83"/>
  <c r="G187" i="83"/>
  <c r="G184" i="83"/>
  <c r="G183" i="83"/>
  <c r="G182" i="83"/>
  <c r="G181" i="83"/>
  <c r="G180" i="83"/>
  <c r="G179" i="83"/>
  <c r="G178" i="83"/>
  <c r="G177" i="83"/>
  <c r="G176" i="83"/>
  <c r="G175" i="83"/>
  <c r="G174"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3" i="83"/>
  <c r="G142" i="83"/>
  <c r="G141" i="83"/>
  <c r="G140" i="83"/>
  <c r="G139" i="83"/>
  <c r="G138" i="83"/>
  <c r="G282" i="82"/>
  <c r="G281" i="82"/>
  <c r="G273" i="82"/>
  <c r="G272" i="82"/>
  <c r="G271" i="82"/>
  <c r="G247" i="82"/>
  <c r="G246" i="82"/>
  <c r="G259" i="82"/>
  <c r="G258" i="82"/>
  <c r="G257" i="82"/>
  <c r="G237" i="82"/>
  <c r="G239" i="82"/>
  <c r="G238" i="82"/>
  <c r="G243" i="81"/>
  <c r="G242" i="81"/>
  <c r="G223" i="81"/>
  <c r="G222" i="81"/>
  <c r="G187" i="81"/>
  <c r="G184" i="81"/>
  <c r="G280" i="82"/>
  <c r="G279" i="82"/>
  <c r="G278" i="82"/>
  <c r="G277" i="82"/>
  <c r="G276" i="82"/>
  <c r="G270" i="82"/>
  <c r="G269" i="82"/>
  <c r="G268" i="82"/>
  <c r="G267" i="82"/>
  <c r="G245" i="82"/>
  <c r="G244" i="82"/>
  <c r="G202" i="82"/>
  <c r="G264" i="82" l="1"/>
  <c r="G263" i="82"/>
  <c r="G262" i="82"/>
  <c r="G256" i="82"/>
  <c r="G255" i="82"/>
  <c r="G254" i="82"/>
  <c r="G253" i="82"/>
  <c r="G252" i="82"/>
  <c r="G251" i="82"/>
  <c r="G250" i="82"/>
  <c r="G243" i="82"/>
  <c r="G242" i="82"/>
  <c r="G236" i="82"/>
  <c r="G235" i="82"/>
  <c r="G234" i="82"/>
  <c r="G233" i="82"/>
  <c r="G232" i="82"/>
  <c r="G231" i="82"/>
  <c r="G230" i="82"/>
  <c r="G229" i="82"/>
  <c r="G228" i="82"/>
  <c r="G225" i="82"/>
  <c r="G224" i="82"/>
  <c r="G223" i="82"/>
  <c r="G222" i="82"/>
  <c r="G221" i="82"/>
  <c r="G220" i="82"/>
  <c r="G219" i="82"/>
  <c r="G218" i="82"/>
  <c r="G217" i="82"/>
  <c r="G216" i="82"/>
  <c r="G215" i="82"/>
  <c r="G208" i="82"/>
  <c r="G207" i="82"/>
  <c r="G206" i="82"/>
  <c r="G205" i="82"/>
  <c r="G204" i="82"/>
  <c r="G203" i="82"/>
  <c r="G201" i="82"/>
  <c r="G200" i="82"/>
  <c r="G197" i="82"/>
  <c r="G196" i="82"/>
  <c r="G195" i="82"/>
  <c r="G192" i="82"/>
  <c r="G191" i="82"/>
  <c r="G190" i="82"/>
  <c r="G189" i="82"/>
  <c r="G188" i="82"/>
  <c r="G187" i="82"/>
  <c r="G186" i="82"/>
  <c r="G185" i="82"/>
  <c r="G184" i="82"/>
  <c r="G183" i="82"/>
  <c r="G182" i="82"/>
  <c r="G181" i="82"/>
  <c r="G180" i="82"/>
  <c r="G179" i="82"/>
  <c r="G178" i="82"/>
  <c r="G177" i="82"/>
  <c r="G174" i="82"/>
  <c r="G173" i="82"/>
  <c r="G172" i="82"/>
  <c r="G169" i="82"/>
  <c r="G168" i="82"/>
  <c r="G167" i="82"/>
  <c r="G166" i="82"/>
  <c r="G165" i="82"/>
  <c r="G164" i="82"/>
  <c r="G163" i="82"/>
  <c r="G162" i="82"/>
  <c r="G159" i="82"/>
  <c r="G158" i="82"/>
  <c r="G157" i="82"/>
  <c r="G156" i="82"/>
  <c r="G155" i="82"/>
  <c r="G154" i="82"/>
  <c r="G153" i="82"/>
  <c r="G152" i="82"/>
  <c r="G151" i="82"/>
  <c r="G150" i="82"/>
  <c r="G147" i="82"/>
  <c r="G146" i="82"/>
  <c r="G145" i="82"/>
  <c r="G144" i="82"/>
  <c r="G143" i="82"/>
  <c r="G142" i="82"/>
  <c r="G141" i="82"/>
  <c r="G140" i="82"/>
  <c r="G139" i="82"/>
  <c r="G138" i="82"/>
  <c r="G137" i="82"/>
  <c r="G241" i="81"/>
  <c r="G240" i="81"/>
  <c r="G239" i="81"/>
  <c r="G238" i="81"/>
  <c r="G237" i="81"/>
  <c r="G236" i="81"/>
  <c r="G233" i="81"/>
  <c r="G232" i="81"/>
  <c r="G231" i="81"/>
  <c r="G230" i="81"/>
  <c r="G229" i="81"/>
  <c r="G228" i="81"/>
  <c r="G227" i="81"/>
  <c r="G226" i="81"/>
  <c r="G221" i="81"/>
  <c r="G220" i="81"/>
  <c r="G219" i="81"/>
  <c r="G218" i="81"/>
  <c r="G217" i="81"/>
  <c r="G216" i="81"/>
  <c r="G213" i="81"/>
  <c r="G212" i="81"/>
  <c r="G211" i="81"/>
  <c r="G210" i="81"/>
  <c r="G209" i="81"/>
  <c r="G208" i="81"/>
  <c r="G207" i="81"/>
  <c r="G206" i="81"/>
  <c r="G205" i="81"/>
  <c r="G202" i="81"/>
  <c r="G201" i="81"/>
  <c r="G200" i="81"/>
  <c r="G199" i="81"/>
  <c r="G198" i="81"/>
  <c r="G197" i="81"/>
  <c r="G196" i="81"/>
  <c r="G195" i="81"/>
  <c r="G194" i="81"/>
  <c r="G189" i="81"/>
  <c r="G188" i="81"/>
  <c r="G183" i="81"/>
  <c r="G186" i="81"/>
  <c r="G185" i="81"/>
  <c r="G182" i="81"/>
  <c r="G179" i="81"/>
  <c r="G178" i="81"/>
  <c r="G177" i="81"/>
  <c r="G176" i="81"/>
  <c r="G175" i="81"/>
  <c r="G174" i="81"/>
  <c r="G173" i="81"/>
  <c r="G172" i="81"/>
  <c r="G171" i="81"/>
  <c r="G170" i="81"/>
  <c r="G169" i="81"/>
  <c r="G168" i="81"/>
  <c r="G167" i="81"/>
  <c r="G166" i="81"/>
  <c r="G163" i="81"/>
  <c r="G162" i="81"/>
  <c r="G161" i="81"/>
  <c r="G160" i="81"/>
  <c r="G159" i="81"/>
  <c r="G158" i="81"/>
  <c r="G157" i="81"/>
  <c r="G156" i="81"/>
  <c r="G150" i="81"/>
  <c r="G149" i="81"/>
  <c r="G148" i="81"/>
  <c r="G147" i="81"/>
  <c r="G146" i="81"/>
  <c r="G145" i="81"/>
  <c r="G144" i="81"/>
  <c r="G143" i="81"/>
  <c r="G142" i="81"/>
  <c r="G141" i="81"/>
  <c r="G140" i="81"/>
  <c r="G137" i="81"/>
  <c r="G136" i="81"/>
  <c r="G135" i="81"/>
  <c r="G134" i="81"/>
  <c r="G133" i="81"/>
  <c r="G132" i="81"/>
  <c r="G131" i="81"/>
  <c r="G130" i="81"/>
  <c r="G129" i="81"/>
  <c r="G128" i="81"/>
  <c r="G127" i="81"/>
  <c r="G445" i="59" l="1"/>
  <c r="G443" i="59"/>
  <c r="G441" i="59"/>
  <c r="G439" i="59"/>
  <c r="G437" i="59"/>
  <c r="G435" i="59"/>
  <c r="G433" i="59"/>
  <c r="G431" i="59"/>
  <c r="G429" i="59"/>
  <c r="G427" i="59"/>
  <c r="G425" i="59"/>
  <c r="G366" i="77" l="1"/>
  <c r="G365" i="77"/>
  <c r="G364" i="77"/>
  <c r="G363" i="77"/>
  <c r="G362" i="77"/>
  <c r="G361" i="77"/>
  <c r="G360" i="77"/>
  <c r="G359" i="77"/>
  <c r="G358" i="77"/>
  <c r="G357" i="77"/>
  <c r="G356" i="77"/>
  <c r="G355" i="77"/>
  <c r="G354" i="77"/>
  <c r="G353" i="77"/>
  <c r="G350" i="77"/>
  <c r="G349" i="77"/>
  <c r="G348" i="77"/>
  <c r="G347" i="77"/>
  <c r="G346" i="77"/>
  <c r="G345" i="77"/>
  <c r="G344" i="77"/>
  <c r="G343" i="77"/>
  <c r="G342" i="77"/>
  <c r="G341" i="77"/>
  <c r="G340" i="77"/>
  <c r="G339" i="77"/>
  <c r="G338" i="77"/>
  <c r="G337" i="77"/>
  <c r="G336" i="77"/>
  <c r="G335" i="77"/>
  <c r="G334" i="77"/>
  <c r="G333" i="77"/>
  <c r="G332" i="77"/>
  <c r="G331" i="77"/>
  <c r="G330" i="77"/>
  <c r="G329" i="77"/>
  <c r="G328" i="77"/>
  <c r="G327" i="77"/>
  <c r="G326" i="77"/>
  <c r="G323" i="77"/>
  <c r="G302" i="77"/>
  <c r="G301" i="77"/>
  <c r="G300" i="77"/>
  <c r="G299" i="77"/>
  <c r="G298" i="77"/>
  <c r="G295" i="77"/>
  <c r="G294" i="77"/>
  <c r="G290" i="77"/>
  <c r="G289" i="77"/>
  <c r="G288" i="77"/>
  <c r="G285" i="77"/>
  <c r="G284" i="77"/>
  <c r="G283" i="77"/>
  <c r="G280" i="77"/>
  <c r="G279" i="77"/>
  <c r="G278" i="77"/>
  <c r="G275" i="77"/>
  <c r="G274" i="77"/>
  <c r="G273" i="77"/>
  <c r="G272" i="77"/>
  <c r="G271" i="77"/>
  <c r="G270" i="77"/>
  <c r="G269" i="77"/>
  <c r="G268" i="77"/>
  <c r="G267" i="77"/>
  <c r="G264" i="77"/>
  <c r="G263" i="77"/>
  <c r="G262" i="77"/>
  <c r="G261" i="77"/>
  <c r="G260" i="77"/>
  <c r="G257" i="77"/>
  <c r="G256" i="77"/>
  <c r="G255" i="77"/>
  <c r="G254" i="77"/>
  <c r="G253" i="77"/>
  <c r="G252" i="77"/>
  <c r="G251" i="77"/>
  <c r="G248" i="77"/>
  <c r="G247" i="77"/>
  <c r="G246" i="77"/>
  <c r="G243" i="77"/>
  <c r="G242" i="77"/>
  <c r="G241" i="77"/>
  <c r="G240" i="77"/>
  <c r="G239" i="77"/>
  <c r="G236" i="77"/>
  <c r="G235" i="77"/>
  <c r="G234" i="77"/>
  <c r="G233" i="77"/>
  <c r="G232" i="77"/>
  <c r="G231" i="77"/>
  <c r="G230" i="77"/>
  <c r="G229" i="77"/>
  <c r="G228" i="77"/>
  <c r="G225" i="77"/>
  <c r="G224" i="77"/>
  <c r="G223" i="77"/>
  <c r="G222" i="77"/>
  <c r="G221" i="77"/>
  <c r="G220" i="77"/>
  <c r="G219" i="77"/>
  <c r="G218" i="77"/>
  <c r="G215" i="77"/>
  <c r="G214" i="77"/>
  <c r="G213" i="77"/>
  <c r="G212" i="77"/>
  <c r="G211" i="77"/>
  <c r="G208" i="77"/>
  <c r="G207" i="77"/>
  <c r="G206" i="77"/>
  <c r="G205" i="77"/>
  <c r="G204" i="77"/>
  <c r="G201" i="77"/>
  <c r="G200" i="77"/>
  <c r="G199" i="77"/>
  <c r="G196" i="77"/>
  <c r="G195" i="77"/>
  <c r="G194" i="77"/>
  <c r="G193" i="77"/>
  <c r="G192" i="77"/>
  <c r="G191" i="77"/>
  <c r="G190" i="77"/>
  <c r="G189" i="77"/>
  <c r="G188" i="77"/>
  <c r="G187" i="77"/>
  <c r="G184" i="77"/>
  <c r="G183" i="77"/>
  <c r="G182" i="77"/>
  <c r="G181" i="77"/>
  <c r="G180" i="77"/>
  <c r="G179" i="77"/>
  <c r="G178" i="77"/>
  <c r="G177" i="77"/>
  <c r="G176" i="77"/>
  <c r="G175" i="77"/>
  <c r="G174" i="77"/>
  <c r="G173" i="77"/>
  <c r="G172" i="77"/>
  <c r="G171" i="77"/>
  <c r="G170" i="77"/>
  <c r="G169" i="77"/>
  <c r="G166" i="77"/>
  <c r="G165" i="77"/>
  <c r="G164" i="77"/>
  <c r="G163" i="77"/>
  <c r="G162" i="77"/>
  <c r="G161" i="77"/>
  <c r="G160" i="77"/>
  <c r="G159" i="77"/>
  <c r="G156" i="77"/>
  <c r="G155" i="77"/>
  <c r="G154" i="77"/>
  <c r="G153" i="77"/>
  <c r="G152" i="77"/>
  <c r="G151" i="77"/>
  <c r="G150" i="77"/>
  <c r="G149" i="77"/>
  <c r="G148" i="77"/>
  <c r="G147" i="77"/>
  <c r="G146" i="77"/>
  <c r="G143" i="77"/>
  <c r="G142" i="77"/>
  <c r="G141" i="77"/>
  <c r="G140" i="77"/>
  <c r="G139" i="77"/>
  <c r="G138" i="77"/>
  <c r="G137" i="77"/>
  <c r="G136" i="77"/>
  <c r="G135" i="77"/>
  <c r="G134" i="77"/>
  <c r="G133" i="77"/>
  <c r="G189" i="76"/>
  <c r="G188" i="76"/>
  <c r="G187" i="76"/>
  <c r="G186" i="76"/>
  <c r="G185" i="76"/>
  <c r="G184" i="76"/>
  <c r="G181" i="76"/>
  <c r="G180" i="76"/>
  <c r="G179" i="76"/>
  <c r="G178" i="76"/>
  <c r="G177" i="76"/>
  <c r="G176" i="76"/>
  <c r="G173" i="76"/>
  <c r="G172" i="76"/>
  <c r="G171" i="76"/>
  <c r="G170" i="76"/>
  <c r="G169" i="76"/>
  <c r="G168" i="76"/>
  <c r="G167" i="76"/>
  <c r="G166" i="76"/>
  <c r="G163" i="76"/>
  <c r="G162" i="76"/>
  <c r="G161" i="76"/>
  <c r="G160" i="76"/>
  <c r="G159" i="76"/>
  <c r="G158" i="76"/>
  <c r="G157" i="76"/>
  <c r="G156" i="76"/>
  <c r="G155" i="76"/>
  <c r="G154" i="76"/>
  <c r="G151" i="76"/>
  <c r="G150" i="76"/>
  <c r="G149" i="76"/>
  <c r="G148" i="76"/>
  <c r="G147" i="76"/>
  <c r="G146" i="76"/>
  <c r="G145" i="76"/>
  <c r="G142" i="76"/>
  <c r="G141" i="76"/>
  <c r="G140" i="76"/>
  <c r="G139" i="76"/>
  <c r="G138" i="76"/>
  <c r="G137" i="76"/>
  <c r="G136" i="76"/>
  <c r="G135" i="76"/>
  <c r="G134" i="76"/>
  <c r="G133" i="76"/>
  <c r="G132" i="76"/>
  <c r="G131" i="76"/>
  <c r="G130" i="76"/>
  <c r="G129" i="76"/>
  <c r="G128" i="76"/>
  <c r="G99" i="75"/>
  <c r="G98" i="75"/>
  <c r="G97" i="75"/>
  <c r="G96" i="75"/>
  <c r="G95" i="75"/>
  <c r="G94" i="75"/>
  <c r="G93" i="75"/>
  <c r="G92" i="75"/>
  <c r="G91" i="75"/>
  <c r="G90" i="75"/>
  <c r="G89" i="75"/>
  <c r="G88" i="75"/>
  <c r="G87" i="75"/>
  <c r="G86" i="75"/>
  <c r="G85" i="75"/>
  <c r="G84" i="75"/>
  <c r="G83" i="75"/>
  <c r="G193" i="75"/>
  <c r="G191" i="75"/>
  <c r="G189" i="75"/>
  <c r="G187" i="75"/>
  <c r="G185" i="75"/>
  <c r="G154" i="75"/>
  <c r="G152" i="75"/>
  <c r="G150" i="75"/>
  <c r="G148" i="75"/>
  <c r="G146" i="75"/>
  <c r="G144" i="75"/>
  <c r="G142" i="75"/>
  <c r="G140" i="75"/>
  <c r="G138" i="75"/>
  <c r="G136" i="75"/>
  <c r="G249" i="73"/>
  <c r="G248" i="73"/>
  <c r="G247" i="73"/>
  <c r="G246" i="73"/>
  <c r="G245" i="73"/>
  <c r="G244" i="73"/>
  <c r="G243" i="73"/>
  <c r="G242" i="73"/>
  <c r="G239" i="73"/>
  <c r="G238" i="73"/>
  <c r="G237" i="73"/>
  <c r="G236" i="73"/>
  <c r="G235" i="73"/>
  <c r="G234" i="73"/>
  <c r="G233" i="73"/>
  <c r="G232" i="73"/>
  <c r="G231" i="73"/>
  <c r="G228" i="73"/>
  <c r="G227" i="73"/>
  <c r="G226" i="73"/>
  <c r="G223" i="73"/>
  <c r="G222" i="73"/>
  <c r="G221" i="73"/>
  <c r="G220" i="73"/>
  <c r="G219" i="73"/>
  <c r="G218" i="73"/>
  <c r="G217" i="73"/>
  <c r="G216" i="73"/>
  <c r="G215" i="73"/>
  <c r="G214" i="73"/>
  <c r="G213" i="73"/>
  <c r="G210" i="73"/>
  <c r="G209" i="73"/>
  <c r="G208" i="73"/>
  <c r="G207" i="73"/>
  <c r="G206" i="73"/>
  <c r="G205" i="73"/>
  <c r="G204" i="73"/>
  <c r="G203" i="73"/>
  <c r="G202" i="73"/>
  <c r="G201" i="73"/>
  <c r="G198" i="73"/>
  <c r="G197" i="73"/>
  <c r="G196" i="73"/>
  <c r="G195" i="73"/>
  <c r="G194" i="73"/>
  <c r="G193" i="73"/>
  <c r="G192" i="73"/>
  <c r="G191" i="73"/>
  <c r="G190" i="73"/>
  <c r="G189" i="73"/>
  <c r="G188" i="73"/>
  <c r="G185" i="73"/>
  <c r="G184" i="73"/>
  <c r="G183" i="73"/>
  <c r="G182" i="73"/>
  <c r="G181" i="73"/>
  <c r="G180" i="73"/>
  <c r="G179" i="73"/>
  <c r="G178" i="73"/>
  <c r="G175" i="73"/>
  <c r="G174" i="73"/>
  <c r="G173" i="73"/>
  <c r="G172" i="73"/>
  <c r="G171" i="73"/>
  <c r="G170" i="73"/>
  <c r="G169" i="73"/>
  <c r="G168" i="73"/>
  <c r="G167" i="73"/>
  <c r="G166" i="73"/>
  <c r="G165" i="73"/>
  <c r="G164" i="73"/>
  <c r="G163" i="73"/>
  <c r="G162" i="73"/>
  <c r="G161" i="73"/>
  <c r="G160" i="73"/>
  <c r="G157" i="73"/>
  <c r="G156" i="73"/>
  <c r="G155" i="73"/>
  <c r="G154" i="73"/>
  <c r="G153" i="73"/>
  <c r="G152" i="73"/>
  <c r="G151" i="73"/>
  <c r="G150" i="73"/>
  <c r="G149" i="73"/>
  <c r="G148" i="73"/>
  <c r="G147" i="73"/>
  <c r="G146" i="73"/>
  <c r="G145" i="73"/>
  <c r="G144" i="73"/>
  <c r="G143" i="73"/>
  <c r="G142" i="73"/>
  <c r="G139" i="73"/>
  <c r="G138" i="73"/>
  <c r="G137" i="73"/>
  <c r="G136" i="73"/>
  <c r="G135" i="73"/>
  <c r="G134" i="73"/>
  <c r="G126" i="73"/>
  <c r="G125" i="73"/>
  <c r="G124" i="73"/>
  <c r="G123" i="73"/>
  <c r="G122" i="72"/>
  <c r="G121" i="72"/>
  <c r="G120" i="72"/>
  <c r="G119" i="72"/>
  <c r="G118" i="72"/>
  <c r="G117" i="72"/>
  <c r="G205" i="72"/>
  <c r="G204" i="72"/>
  <c r="G203" i="72"/>
  <c r="G202" i="72"/>
  <c r="G201" i="72"/>
  <c r="G200" i="72"/>
  <c r="G199" i="72"/>
  <c r="G198" i="72"/>
  <c r="G169" i="72"/>
  <c r="G168" i="72"/>
  <c r="G167" i="72"/>
  <c r="G166" i="72"/>
  <c r="G165" i="72"/>
  <c r="G164" i="72"/>
  <c r="G163" i="72"/>
  <c r="G162" i="72"/>
  <c r="G161" i="72"/>
  <c r="G160" i="72"/>
  <c r="G157" i="72"/>
  <c r="G156" i="72"/>
  <c r="G155" i="72"/>
  <c r="G154" i="72"/>
  <c r="G153" i="72"/>
  <c r="G152" i="72"/>
  <c r="G151" i="72"/>
  <c r="G148" i="72"/>
  <c r="G147" i="72"/>
  <c r="G146" i="72"/>
  <c r="G145" i="72"/>
  <c r="G144" i="72"/>
  <c r="G143" i="72"/>
  <c r="G142" i="72"/>
  <c r="G141" i="72"/>
  <c r="G140" i="72"/>
  <c r="G139" i="72"/>
  <c r="G138" i="72"/>
  <c r="G137" i="72"/>
  <c r="G136" i="72"/>
  <c r="G135" i="72"/>
  <c r="G134" i="72"/>
  <c r="G131" i="72"/>
  <c r="G130" i="72"/>
  <c r="G302" i="86"/>
  <c r="G301" i="86"/>
  <c r="G300" i="86"/>
  <c r="G299" i="86"/>
  <c r="G298" i="86"/>
  <c r="G297" i="86"/>
  <c r="G296" i="86"/>
  <c r="G295" i="86"/>
  <c r="G294" i="86"/>
  <c r="G293" i="86"/>
  <c r="G292" i="86"/>
  <c r="G291" i="86"/>
  <c r="G290" i="86"/>
  <c r="G289" i="86"/>
  <c r="G288" i="86"/>
  <c r="G285" i="86"/>
  <c r="G284" i="86"/>
  <c r="G283" i="86"/>
  <c r="G282" i="86"/>
  <c r="G281" i="86"/>
  <c r="G280" i="86"/>
  <c r="G279" i="86"/>
  <c r="G317" i="58"/>
  <c r="G316" i="58"/>
  <c r="G315" i="58"/>
  <c r="G314" i="58"/>
  <c r="G313" i="58"/>
  <c r="G312" i="58"/>
  <c r="G311" i="58"/>
  <c r="G310" i="58"/>
  <c r="G309" i="58"/>
  <c r="G308" i="58"/>
  <c r="G307" i="58"/>
  <c r="G306" i="58"/>
  <c r="G305" i="58"/>
  <c r="G304" i="58"/>
  <c r="G303" i="58"/>
  <c r="G302" i="58"/>
  <c r="G301" i="58"/>
  <c r="G300" i="58"/>
  <c r="G299" i="58"/>
  <c r="G298" i="58"/>
  <c r="G297" i="58"/>
  <c r="G296" i="58"/>
  <c r="G295" i="58"/>
  <c r="G294" i="58"/>
  <c r="G293" i="58"/>
  <c r="G292" i="58"/>
  <c r="G291" i="58"/>
  <c r="G290" i="58"/>
  <c r="G288" i="58"/>
  <c r="G287" i="58"/>
  <c r="G286" i="58"/>
  <c r="G285" i="58"/>
  <c r="G284" i="58"/>
  <c r="G283" i="58"/>
  <c r="G282" i="58"/>
  <c r="G281" i="58"/>
  <c r="G280" i="58"/>
  <c r="G279" i="58"/>
  <c r="G278" i="58"/>
  <c r="G277" i="58"/>
  <c r="G276" i="58"/>
  <c r="G275" i="58"/>
  <c r="G274" i="58"/>
  <c r="G273" i="58"/>
  <c r="G272" i="58"/>
  <c r="G271" i="58"/>
  <c r="G270" i="58"/>
  <c r="G269" i="58"/>
  <c r="G268" i="58"/>
  <c r="G267" i="58"/>
  <c r="G266" i="58"/>
  <c r="G265" i="58"/>
  <c r="G264" i="58"/>
  <c r="G263" i="58"/>
  <c r="G262" i="58"/>
  <c r="G261" i="58"/>
  <c r="G260" i="58"/>
  <c r="G259" i="58"/>
  <c r="G257" i="58"/>
  <c r="G256" i="58"/>
  <c r="G255" i="58"/>
  <c r="G254" i="58"/>
  <c r="G253" i="58"/>
  <c r="G252" i="58"/>
  <c r="G251" i="58"/>
  <c r="G250" i="58"/>
  <c r="G249" i="58"/>
  <c r="G248" i="58"/>
  <c r="G247" i="58"/>
  <c r="G246" i="58"/>
  <c r="G245" i="58"/>
  <c r="G244" i="58"/>
  <c r="G243" i="58"/>
  <c r="G242" i="58"/>
  <c r="G241" i="58"/>
  <c r="G240" i="58"/>
  <c r="G239" i="58"/>
  <c r="G238" i="58"/>
  <c r="G237" i="58"/>
  <c r="G236" i="58"/>
  <c r="G235" i="58"/>
  <c r="G234" i="58"/>
  <c r="G233" i="58"/>
  <c r="G232" i="58"/>
  <c r="G229" i="58"/>
  <c r="G228" i="58"/>
  <c r="G227" i="58"/>
  <c r="G225" i="58"/>
  <c r="G224" i="58"/>
  <c r="G223" i="58"/>
  <c r="G221" i="58"/>
  <c r="G220" i="58"/>
  <c r="G219" i="58"/>
  <c r="G158" i="58"/>
  <c r="G159" i="58"/>
  <c r="G160" i="58"/>
  <c r="G161" i="58"/>
  <c r="G162" i="58"/>
  <c r="G163" i="58"/>
  <c r="G164" i="58"/>
  <c r="G165" i="58"/>
  <c r="G166" i="58"/>
  <c r="G167" i="58"/>
  <c r="G168" i="58"/>
  <c r="G169" i="58"/>
  <c r="G170" i="58"/>
  <c r="G171" i="58"/>
  <c r="G172" i="58"/>
  <c r="G174" i="58"/>
  <c r="G175" i="58"/>
  <c r="G176" i="58"/>
  <c r="G177" i="58"/>
  <c r="G178" i="58"/>
  <c r="G179" i="58"/>
  <c r="G180" i="58"/>
  <c r="G181" i="58"/>
  <c r="G182" i="58"/>
  <c r="G183" i="58"/>
  <c r="G184" i="58"/>
  <c r="G185" i="58"/>
  <c r="G186" i="58"/>
  <c r="G187" i="58"/>
  <c r="G188" i="58"/>
  <c r="G189" i="58"/>
  <c r="G192" i="58"/>
  <c r="G193" i="58"/>
  <c r="G194" i="58"/>
  <c r="G195" i="58"/>
  <c r="G196" i="58"/>
  <c r="G197" i="58"/>
  <c r="G198" i="58"/>
  <c r="G199" i="58"/>
  <c r="G200" i="58"/>
  <c r="G202" i="58"/>
  <c r="G203" i="58"/>
  <c r="G204" i="58"/>
  <c r="G205" i="58"/>
  <c r="G206" i="58"/>
  <c r="G207" i="58"/>
  <c r="G208" i="58"/>
  <c r="G209" i="58"/>
  <c r="G210" i="58"/>
  <c r="G212" i="58"/>
  <c r="G213" i="58"/>
  <c r="G214" i="58"/>
  <c r="G215" i="58"/>
  <c r="G216" i="58"/>
  <c r="G157" i="58"/>
  <c r="G153" i="58"/>
  <c r="G154" i="58"/>
  <c r="G152" i="58"/>
  <c r="G123" i="58"/>
  <c r="G124" i="58"/>
  <c r="G125" i="58"/>
  <c r="G126" i="58"/>
  <c r="G127" i="58"/>
  <c r="G128" i="58"/>
  <c r="G129" i="58"/>
  <c r="G131" i="58"/>
  <c r="G132" i="58"/>
  <c r="G133" i="58"/>
  <c r="G134" i="58"/>
  <c r="G135" i="58"/>
  <c r="G136" i="58"/>
  <c r="G137" i="58"/>
  <c r="G138" i="58"/>
  <c r="G140" i="58"/>
  <c r="G141" i="58"/>
  <c r="G142" i="58"/>
  <c r="G143" i="58"/>
  <c r="G144" i="58"/>
  <c r="G145" i="58"/>
  <c r="G146" i="58"/>
  <c r="G147" i="58"/>
  <c r="G148" i="58"/>
  <c r="G149" i="58"/>
  <c r="G122" i="58"/>
  <c r="G92" i="49"/>
  <c r="G91" i="49" l="1"/>
  <c r="G88" i="20" l="1"/>
  <c r="G201" i="44"/>
  <c r="G138" i="44"/>
  <c r="G132" i="44"/>
  <c r="G127" i="44"/>
  <c r="G118" i="44"/>
  <c r="G108" i="44"/>
  <c r="G100" i="44"/>
  <c r="G96" i="44"/>
  <c r="G63" i="44"/>
  <c r="G212" i="46"/>
  <c r="G207" i="46"/>
  <c r="G198" i="46"/>
  <c r="G188" i="46"/>
  <c r="G180" i="46"/>
  <c r="G176" i="46"/>
  <c r="G166" i="46"/>
  <c r="G144" i="46"/>
  <c r="G138" i="46"/>
  <c r="G133" i="46"/>
  <c r="G124" i="46"/>
  <c r="G114" i="46"/>
  <c r="G106" i="46"/>
  <c r="G102" i="46"/>
  <c r="G424" i="67"/>
  <c r="G422" i="67"/>
  <c r="G420" i="67"/>
  <c r="G418" i="67"/>
  <c r="G416" i="67"/>
  <c r="G414" i="67"/>
  <c r="G412" i="67"/>
  <c r="G410" i="67"/>
  <c r="G408" i="67"/>
  <c r="G406" i="67"/>
  <c r="G404" i="67"/>
  <c r="G396" i="67"/>
  <c r="G394" i="67"/>
  <c r="G392" i="67"/>
  <c r="G390" i="67"/>
  <c r="G388" i="67"/>
  <c r="G386" i="67"/>
  <c r="G384" i="67"/>
  <c r="G382" i="67"/>
  <c r="G377" i="67"/>
  <c r="G375" i="67"/>
  <c r="G373" i="67"/>
  <c r="G371" i="67"/>
  <c r="G369" i="67"/>
  <c r="G367" i="67"/>
  <c r="G365" i="67"/>
  <c r="G363" i="67"/>
  <c r="G361" i="67"/>
  <c r="G359" i="67"/>
  <c r="G357" i="67"/>
  <c r="G349" i="67"/>
  <c r="G347" i="67"/>
  <c r="G345" i="67"/>
  <c r="G343" i="67"/>
  <c r="G341" i="67"/>
  <c r="G337" i="67"/>
  <c r="G335" i="67"/>
  <c r="G333" i="67"/>
  <c r="G328" i="67"/>
  <c r="G326" i="67"/>
  <c r="G324" i="67"/>
  <c r="G322" i="67"/>
  <c r="G320" i="67"/>
  <c r="G318" i="67"/>
  <c r="G316" i="67"/>
  <c r="G314" i="67"/>
  <c r="G312" i="67"/>
  <c r="G310" i="67"/>
  <c r="G305" i="67"/>
  <c r="G303" i="67"/>
  <c r="G301" i="67"/>
  <c r="G299" i="67"/>
  <c r="G297" i="67"/>
  <c r="G295" i="67"/>
  <c r="G293" i="67"/>
  <c r="G288" i="67"/>
  <c r="G286" i="67"/>
  <c r="G284" i="67"/>
  <c r="G282" i="67"/>
  <c r="G277" i="67"/>
  <c r="G275" i="67"/>
  <c r="G273" i="67"/>
  <c r="G271" i="67"/>
  <c r="G264" i="67"/>
  <c r="G262" i="67"/>
  <c r="G260" i="67"/>
  <c r="G258" i="67"/>
  <c r="G256" i="67"/>
  <c r="G254" i="67"/>
  <c r="G252" i="67"/>
  <c r="G250" i="67"/>
  <c r="G248" i="67"/>
  <c r="G246" i="67"/>
  <c r="G243" i="67"/>
  <c r="G241" i="67"/>
  <c r="G239" i="67"/>
  <c r="G237" i="67"/>
  <c r="G235" i="67"/>
  <c r="G233" i="67"/>
  <c r="G231" i="67"/>
  <c r="G229" i="67"/>
  <c r="G227" i="67"/>
  <c r="G225" i="67"/>
  <c r="G223" i="67"/>
  <c r="G221" i="67"/>
  <c r="G219" i="67"/>
  <c r="G217" i="67"/>
  <c r="G215" i="67"/>
  <c r="G213" i="67"/>
  <c r="G209" i="67"/>
  <c r="G207" i="67"/>
  <c r="G205" i="67"/>
  <c r="G203" i="67"/>
  <c r="G201" i="67"/>
  <c r="G199" i="67"/>
  <c r="G197" i="67"/>
  <c r="G195" i="67"/>
  <c r="G193" i="67"/>
  <c r="G190" i="67"/>
  <c r="G188" i="67"/>
  <c r="G186" i="67"/>
  <c r="G125" i="164"/>
  <c r="G116" i="48"/>
  <c r="G115" i="48"/>
  <c r="G152" i="85" l="1"/>
  <c r="G95" i="85"/>
  <c r="G93" i="85"/>
  <c r="G91" i="85"/>
  <c r="G48" i="85"/>
  <c r="G46" i="85"/>
  <c r="G44" i="85"/>
  <c r="G42" i="85"/>
  <c r="G40" i="85"/>
  <c r="G38" i="85"/>
  <c r="G36" i="85"/>
  <c r="G34" i="85"/>
  <c r="G32" i="85"/>
  <c r="G30" i="85"/>
  <c r="G28" i="85"/>
  <c r="G26" i="85"/>
  <c r="G192" i="84"/>
  <c r="G189" i="84"/>
  <c r="G188" i="84"/>
  <c r="G187" i="84"/>
  <c r="G102" i="84"/>
  <c r="G100" i="84"/>
  <c r="G98" i="84"/>
  <c r="G73" i="84"/>
  <c r="G57" i="84"/>
  <c r="G46" i="84"/>
  <c r="G44" i="84"/>
  <c r="G42" i="84"/>
  <c r="G40" i="84"/>
  <c r="G38" i="84"/>
  <c r="G36" i="84"/>
  <c r="G34" i="84"/>
  <c r="G32" i="84"/>
  <c r="G30" i="84"/>
  <c r="G28" i="84"/>
  <c r="G26" i="84"/>
  <c r="G235" i="80"/>
  <c r="G121" i="80"/>
  <c r="G63" i="80"/>
  <c r="G65" i="80"/>
  <c r="G67" i="80"/>
  <c r="G69" i="80"/>
  <c r="G71" i="80"/>
  <c r="G73" i="80"/>
  <c r="G75" i="80"/>
  <c r="G77" i="80"/>
  <c r="G79" i="80"/>
  <c r="G81" i="80"/>
  <c r="G83" i="80"/>
  <c r="G85" i="80"/>
  <c r="G87" i="80"/>
  <c r="G89" i="80"/>
  <c r="G93" i="80"/>
  <c r="G97" i="80"/>
  <c r="G99" i="80"/>
  <c r="G101" i="80"/>
  <c r="G103" i="80"/>
  <c r="G105" i="80"/>
  <c r="G61" i="80"/>
  <c r="G59" i="80"/>
  <c r="G29" i="80"/>
  <c r="G31" i="80"/>
  <c r="G33" i="80"/>
  <c r="G35" i="80"/>
  <c r="G37" i="80"/>
  <c r="G39" i="80"/>
  <c r="G41" i="80"/>
  <c r="G43" i="80"/>
  <c r="G45" i="80"/>
  <c r="G47" i="80"/>
  <c r="G49" i="80"/>
  <c r="G27" i="80"/>
  <c r="G112" i="74"/>
  <c r="G113" i="74"/>
  <c r="G114" i="74"/>
  <c r="G111" i="74"/>
  <c r="G95" i="74"/>
  <c r="G63" i="74"/>
  <c r="G65" i="74"/>
  <c r="G67" i="74"/>
  <c r="G69" i="74"/>
  <c r="G71" i="74"/>
  <c r="G73" i="74"/>
  <c r="G75" i="74"/>
  <c r="G77" i="74"/>
  <c r="G79" i="74"/>
  <c r="G81" i="74"/>
  <c r="G83" i="74"/>
  <c r="G85" i="74"/>
  <c r="G87" i="74"/>
  <c r="G89" i="74"/>
  <c r="G91" i="74"/>
  <c r="G93" i="74"/>
  <c r="G61" i="74"/>
  <c r="G59" i="74"/>
  <c r="G49" i="74"/>
  <c r="G47" i="74"/>
  <c r="G45" i="74"/>
  <c r="G43" i="74"/>
  <c r="G41" i="74"/>
  <c r="G39" i="74"/>
  <c r="G37" i="74"/>
  <c r="G35" i="74"/>
  <c r="G33" i="74"/>
  <c r="G31" i="74"/>
  <c r="G29" i="74"/>
  <c r="G27" i="74"/>
  <c r="G294" i="83"/>
  <c r="G293" i="83"/>
  <c r="G292" i="83"/>
  <c r="G290" i="83"/>
  <c r="G289" i="83"/>
  <c r="G288" i="83"/>
  <c r="G284" i="83"/>
  <c r="G283" i="83"/>
  <c r="G280" i="83"/>
  <c r="G130" i="83"/>
  <c r="G131" i="83"/>
  <c r="G132" i="83"/>
  <c r="G133" i="83"/>
  <c r="G134" i="83"/>
  <c r="G135" i="83"/>
  <c r="G129" i="83"/>
  <c r="G128" i="83"/>
  <c r="G111" i="83"/>
  <c r="G109" i="83"/>
  <c r="G107" i="83"/>
  <c r="G105" i="83"/>
  <c r="G102" i="83"/>
  <c r="G99" i="83"/>
  <c r="G78" i="83"/>
  <c r="G72" i="83"/>
  <c r="G62" i="83"/>
  <c r="G50" i="83"/>
  <c r="G48" i="83"/>
  <c r="G46" i="83"/>
  <c r="G44" i="83"/>
  <c r="G42" i="83"/>
  <c r="G40" i="83"/>
  <c r="G38" i="83"/>
  <c r="G36" i="83"/>
  <c r="G34" i="83"/>
  <c r="G32" i="83"/>
  <c r="G30" i="83"/>
  <c r="G28" i="83"/>
  <c r="G26" i="83"/>
  <c r="G286" i="82"/>
  <c r="G134" i="82"/>
  <c r="G121" i="82"/>
  <c r="G105" i="82"/>
  <c r="G103" i="82"/>
  <c r="G101" i="82"/>
  <c r="G99" i="82"/>
  <c r="G97" i="82"/>
  <c r="G96" i="82"/>
  <c r="G93" i="82"/>
  <c r="G90" i="82"/>
  <c r="G88" i="82"/>
  <c r="G86" i="82"/>
  <c r="G84" i="82"/>
  <c r="G82" i="82"/>
  <c r="G80" i="82"/>
  <c r="G78" i="82"/>
  <c r="G76" i="82"/>
  <c r="G74" i="82"/>
  <c r="G72" i="82"/>
  <c r="G70" i="82"/>
  <c r="G68" i="82"/>
  <c r="G66" i="82"/>
  <c r="G64" i="82"/>
  <c r="G62" i="82"/>
  <c r="G60" i="82"/>
  <c r="G58" i="82"/>
  <c r="G56" i="82"/>
  <c r="G54" i="82"/>
  <c r="G52" i="82"/>
  <c r="G42" i="82"/>
  <c r="G40" i="82"/>
  <c r="G38" i="82"/>
  <c r="G36" i="82"/>
  <c r="G34" i="82"/>
  <c r="G32" i="82"/>
  <c r="G30" i="82"/>
  <c r="G28" i="82"/>
  <c r="G26" i="82"/>
  <c r="G248" i="81"/>
  <c r="G247" i="81"/>
  <c r="G246" i="81"/>
  <c r="G153" i="81"/>
  <c r="G101" i="81"/>
  <c r="G99" i="81"/>
  <c r="G97" i="81"/>
  <c r="G95" i="81"/>
  <c r="G94" i="81"/>
  <c r="G91" i="81"/>
  <c r="G88" i="81"/>
  <c r="G86" i="81"/>
  <c r="G84" i="81"/>
  <c r="G82" i="81"/>
  <c r="G80" i="81"/>
  <c r="G78" i="81"/>
  <c r="G76" i="81"/>
  <c r="G74" i="81"/>
  <c r="G72" i="81"/>
  <c r="G70" i="81"/>
  <c r="G68" i="81"/>
  <c r="G66" i="81"/>
  <c r="G64" i="81"/>
  <c r="G62" i="81"/>
  <c r="G60" i="81"/>
  <c r="G58" i="81"/>
  <c r="G56" i="81"/>
  <c r="G54" i="81"/>
  <c r="G43" i="81"/>
  <c r="G41" i="81"/>
  <c r="G39" i="81"/>
  <c r="G37" i="81"/>
  <c r="G35" i="81"/>
  <c r="G33" i="81"/>
  <c r="G31" i="81"/>
  <c r="G29" i="81"/>
  <c r="G433" i="79"/>
  <c r="G431" i="79"/>
  <c r="G429" i="79"/>
  <c r="G427" i="79"/>
  <c r="G425" i="79"/>
  <c r="G423" i="79"/>
  <c r="G421" i="79"/>
  <c r="G419" i="79"/>
  <c r="G417" i="79"/>
  <c r="G415" i="79"/>
  <c r="G413" i="79"/>
  <c r="G409" i="79"/>
  <c r="G408" i="79"/>
  <c r="G407" i="79"/>
  <c r="G406" i="79"/>
  <c r="G405" i="79"/>
  <c r="G404" i="79"/>
  <c r="G402" i="79"/>
  <c r="G400" i="79"/>
  <c r="G396" i="79"/>
  <c r="G394" i="79"/>
  <c r="G392" i="79"/>
  <c r="G390" i="79"/>
  <c r="G388" i="79"/>
  <c r="G386" i="79"/>
  <c r="G384" i="79"/>
  <c r="G382" i="79"/>
  <c r="G380" i="79"/>
  <c r="G378" i="79"/>
  <c r="G376" i="79"/>
  <c r="G374" i="79"/>
  <c r="G370" i="79"/>
  <c r="G367" i="79"/>
  <c r="G365" i="79"/>
  <c r="G363" i="79"/>
  <c r="G361" i="79"/>
  <c r="G358" i="79"/>
  <c r="G356" i="79"/>
  <c r="G354" i="79"/>
  <c r="G352" i="79"/>
  <c r="G348" i="79"/>
  <c r="G346" i="79"/>
  <c r="G344" i="79"/>
  <c r="G342" i="79"/>
  <c r="G340" i="79"/>
  <c r="G338" i="79"/>
  <c r="G336" i="79"/>
  <c r="G334" i="79"/>
  <c r="G332" i="79"/>
  <c r="G330" i="79"/>
  <c r="G326" i="79"/>
  <c r="G324" i="79"/>
  <c r="G322" i="79"/>
  <c r="G320" i="79"/>
  <c r="G318" i="79"/>
  <c r="G316" i="79"/>
  <c r="G314" i="79"/>
  <c r="G311" i="79"/>
  <c r="G307" i="79"/>
  <c r="G305" i="79"/>
  <c r="G303" i="79"/>
  <c r="G301" i="79"/>
  <c r="G297" i="79"/>
  <c r="G295" i="79"/>
  <c r="G293" i="79"/>
  <c r="G291" i="79"/>
  <c r="G289" i="79"/>
  <c r="G287" i="79"/>
  <c r="G280" i="79"/>
  <c r="G278" i="79"/>
  <c r="G276" i="79"/>
  <c r="G274" i="79"/>
  <c r="G272" i="79"/>
  <c r="G270" i="79"/>
  <c r="G268" i="79"/>
  <c r="G266" i="79"/>
  <c r="G264" i="79"/>
  <c r="G262" i="79"/>
  <c r="G260" i="79"/>
  <c r="G257" i="79"/>
  <c r="G255" i="79"/>
  <c r="G253" i="79"/>
  <c r="G251" i="79"/>
  <c r="G249" i="79"/>
  <c r="G247" i="79"/>
  <c r="G245" i="79"/>
  <c r="G243" i="79"/>
  <c r="G241" i="79"/>
  <c r="G239" i="79"/>
  <c r="G237" i="79"/>
  <c r="G235" i="79"/>
  <c r="G233" i="79"/>
  <c r="G231" i="79"/>
  <c r="G229" i="79"/>
  <c r="G227" i="79"/>
  <c r="G224" i="79"/>
  <c r="G222" i="79"/>
  <c r="G220" i="79"/>
  <c r="G218" i="79"/>
  <c r="G216" i="79"/>
  <c r="G214" i="79"/>
  <c r="G212" i="79"/>
  <c r="G210" i="79"/>
  <c r="G208" i="79"/>
  <c r="G205" i="79"/>
  <c r="G203" i="79"/>
  <c r="G145" i="79"/>
  <c r="G146" i="79"/>
  <c r="G147" i="79"/>
  <c r="G148" i="79"/>
  <c r="G149" i="79"/>
  <c r="G150" i="79"/>
  <c r="G151" i="79"/>
  <c r="G152" i="79"/>
  <c r="G153" i="79"/>
  <c r="G154" i="79"/>
  <c r="G155" i="79"/>
  <c r="G156" i="79"/>
  <c r="G157" i="79"/>
  <c r="G158" i="79"/>
  <c r="G159" i="79"/>
  <c r="G160" i="79"/>
  <c r="G161" i="79"/>
  <c r="G162" i="79"/>
  <c r="G163" i="79"/>
  <c r="G164" i="79"/>
  <c r="G165" i="79"/>
  <c r="G166" i="79"/>
  <c r="G167" i="79"/>
  <c r="G168" i="79"/>
  <c r="G169" i="79"/>
  <c r="G170" i="79"/>
  <c r="G171" i="79"/>
  <c r="G172" i="79"/>
  <c r="G173" i="79"/>
  <c r="G174" i="79"/>
  <c r="G175" i="79"/>
  <c r="G176" i="79"/>
  <c r="G430" i="78"/>
  <c r="G428" i="78"/>
  <c r="G426" i="78"/>
  <c r="G424" i="78"/>
  <c r="G422" i="78"/>
  <c r="G420" i="78"/>
  <c r="G418" i="78"/>
  <c r="G416" i="78"/>
  <c r="G414" i="78"/>
  <c r="G412" i="78"/>
  <c r="G410" i="78"/>
  <c r="G406" i="78"/>
  <c r="G405" i="78"/>
  <c r="G404" i="78"/>
  <c r="G403" i="78"/>
  <c r="G402" i="78"/>
  <c r="G401" i="78"/>
  <c r="G400" i="78"/>
  <c r="G399" i="78"/>
  <c r="G395" i="78"/>
  <c r="G393" i="78"/>
  <c r="G391" i="78"/>
  <c r="G389" i="78"/>
  <c r="G387" i="78"/>
  <c r="G385" i="78"/>
  <c r="G383" i="78"/>
  <c r="G381" i="78"/>
  <c r="G379" i="78"/>
  <c r="G377" i="78"/>
  <c r="G375" i="78"/>
  <c r="G373" i="78"/>
  <c r="G369" i="78"/>
  <c r="G367" i="78"/>
  <c r="G365" i="78"/>
  <c r="G363" i="78"/>
  <c r="G361" i="78"/>
  <c r="G359" i="78"/>
  <c r="G357" i="78"/>
  <c r="G355" i="78"/>
  <c r="G353" i="78"/>
  <c r="G349" i="78"/>
  <c r="G347" i="78"/>
  <c r="G345" i="78"/>
  <c r="G343" i="78"/>
  <c r="G341" i="78"/>
  <c r="G339" i="78"/>
  <c r="G337" i="78"/>
  <c r="G335" i="78"/>
  <c r="G333" i="78"/>
  <c r="G331" i="78"/>
  <c r="G327" i="78"/>
  <c r="G325" i="78"/>
  <c r="G323" i="78"/>
  <c r="G321" i="78"/>
  <c r="G319" i="78"/>
  <c r="G317" i="78"/>
  <c r="G315" i="78"/>
  <c r="G311" i="78"/>
  <c r="G309" i="78"/>
  <c r="G307" i="78"/>
  <c r="G305" i="78"/>
  <c r="G301" i="78"/>
  <c r="G299" i="78"/>
  <c r="G297" i="78"/>
  <c r="G295" i="78"/>
  <c r="G288" i="78"/>
  <c r="G286" i="78"/>
  <c r="G284" i="78"/>
  <c r="G282" i="78"/>
  <c r="G280" i="78"/>
  <c r="G278" i="78"/>
  <c r="G276" i="78"/>
  <c r="G274" i="78"/>
  <c r="G272" i="78"/>
  <c r="G270" i="78"/>
  <c r="G268" i="78"/>
  <c r="G265" i="78"/>
  <c r="G263" i="78"/>
  <c r="G261" i="78"/>
  <c r="G259" i="78"/>
  <c r="G257" i="78"/>
  <c r="G255" i="78"/>
  <c r="G253" i="78"/>
  <c r="G251" i="78"/>
  <c r="G249" i="78"/>
  <c r="G247" i="78"/>
  <c r="G245" i="78"/>
  <c r="G243" i="78"/>
  <c r="G241" i="78"/>
  <c r="G239" i="78"/>
  <c r="G237" i="78"/>
  <c r="G235" i="78"/>
  <c r="G232" i="78"/>
  <c r="G230" i="78"/>
  <c r="G228" i="78"/>
  <c r="G226" i="78"/>
  <c r="G224" i="78"/>
  <c r="G222" i="78"/>
  <c r="G220" i="78"/>
  <c r="G218" i="78"/>
  <c r="G216" i="78"/>
  <c r="G213" i="78"/>
  <c r="G211" i="78"/>
  <c r="G209" i="78"/>
  <c r="G26" i="78"/>
  <c r="G27" i="78"/>
  <c r="G28" i="78"/>
  <c r="G29" i="78"/>
  <c r="G30" i="78"/>
  <c r="G401" i="77"/>
  <c r="G398" i="77"/>
  <c r="G397" i="77"/>
  <c r="G396" i="77"/>
  <c r="G392" i="77"/>
  <c r="G388" i="77"/>
  <c r="G386" i="77"/>
  <c r="G385" i="77"/>
  <c r="G384" i="77"/>
  <c r="G380" i="77"/>
  <c r="G379" i="77"/>
  <c r="G377" i="77"/>
  <c r="G376" i="77"/>
  <c r="G374" i="77"/>
  <c r="G373" i="77"/>
  <c r="G371" i="77"/>
  <c r="G370" i="77"/>
  <c r="G304" i="77"/>
  <c r="G127" i="77"/>
  <c r="G125" i="77"/>
  <c r="G97" i="77"/>
  <c r="G95" i="77"/>
  <c r="G93" i="77"/>
  <c r="G91" i="77"/>
  <c r="G90" i="77"/>
  <c r="G87" i="77"/>
  <c r="G85" i="77"/>
  <c r="G83" i="77"/>
  <c r="G81" i="77"/>
  <c r="G79" i="77"/>
  <c r="G77" i="77"/>
  <c r="G75" i="77"/>
  <c r="G73" i="77"/>
  <c r="G71" i="77"/>
  <c r="G69" i="77"/>
  <c r="G67" i="77"/>
  <c r="G65" i="77"/>
  <c r="G63" i="77"/>
  <c r="G61" i="77"/>
  <c r="G59" i="77"/>
  <c r="G49" i="77"/>
  <c r="G47" i="77"/>
  <c r="G45" i="77"/>
  <c r="G43" i="77"/>
  <c r="G41" i="77"/>
  <c r="G39" i="77"/>
  <c r="G37" i="77"/>
  <c r="G35" i="77"/>
  <c r="G33" i="77"/>
  <c r="G31" i="77"/>
  <c r="G29" i="77"/>
  <c r="G27" i="77"/>
  <c r="G202" i="76"/>
  <c r="G198" i="76"/>
  <c r="G197" i="76"/>
  <c r="G196" i="76"/>
  <c r="G195" i="76"/>
  <c r="G194" i="76"/>
  <c r="G191" i="76"/>
  <c r="G363" i="75"/>
  <c r="G361" i="75"/>
  <c r="G359" i="75"/>
  <c r="G357" i="75"/>
  <c r="G355" i="75"/>
  <c r="G353" i="75"/>
  <c r="G349" i="75"/>
  <c r="G351" i="75"/>
  <c r="G347" i="75"/>
  <c r="G345" i="75"/>
  <c r="G343" i="75"/>
  <c r="G336" i="75"/>
  <c r="G335" i="75"/>
  <c r="G334" i="75"/>
  <c r="G333" i="75"/>
  <c r="G332" i="75"/>
  <c r="G331" i="75"/>
  <c r="G329" i="75"/>
  <c r="G327" i="75"/>
  <c r="G321" i="75"/>
  <c r="G319" i="75"/>
  <c r="G317" i="75"/>
  <c r="G315" i="75"/>
  <c r="G313" i="75"/>
  <c r="G311" i="75"/>
  <c r="G309" i="75"/>
  <c r="G307" i="75"/>
  <c r="G305" i="75"/>
  <c r="G303" i="75"/>
  <c r="G296" i="75"/>
  <c r="G293" i="75"/>
  <c r="G291" i="75"/>
  <c r="G289" i="75"/>
  <c r="G287" i="75"/>
  <c r="G285" i="75"/>
  <c r="G283" i="75"/>
  <c r="G278" i="75"/>
  <c r="G276" i="75"/>
  <c r="G274" i="75"/>
  <c r="G272" i="75"/>
  <c r="G270" i="75"/>
  <c r="G268" i="75"/>
  <c r="G266" i="75"/>
  <c r="G264" i="75"/>
  <c r="G262" i="75"/>
  <c r="G260" i="75"/>
  <c r="G255" i="75"/>
  <c r="G253" i="75"/>
  <c r="G251" i="75"/>
  <c r="G249" i="75"/>
  <c r="G247" i="75"/>
  <c r="G245" i="75"/>
  <c r="G243" i="75"/>
  <c r="G241" i="75"/>
  <c r="G239" i="75"/>
  <c r="G237" i="75"/>
  <c r="G231" i="75"/>
  <c r="G229" i="75"/>
  <c r="G227" i="75"/>
  <c r="G225" i="75"/>
  <c r="G221" i="75"/>
  <c r="G219" i="75"/>
  <c r="G217" i="75"/>
  <c r="G215" i="75"/>
  <c r="G201" i="75"/>
  <c r="G131" i="75"/>
  <c r="G133" i="75"/>
  <c r="G157" i="75"/>
  <c r="G159" i="75"/>
  <c r="G161" i="75"/>
  <c r="G163" i="75"/>
  <c r="G165" i="75"/>
  <c r="G167" i="75"/>
  <c r="G169" i="75"/>
  <c r="G171" i="75"/>
  <c r="G173" i="75"/>
  <c r="G175" i="75"/>
  <c r="G177" i="75"/>
  <c r="G179" i="75"/>
  <c r="G181" i="75"/>
  <c r="G183" i="75"/>
  <c r="G195" i="75"/>
  <c r="G197" i="75"/>
  <c r="G199" i="75"/>
  <c r="G203" i="75"/>
  <c r="G129" i="75"/>
  <c r="G82" i="75"/>
  <c r="G80" i="75"/>
  <c r="G185" i="79" l="1"/>
  <c r="G432" i="78"/>
  <c r="G366" i="75"/>
  <c r="G18" i="75" s="1"/>
  <c r="G297" i="83"/>
  <c r="G103" i="81"/>
  <c r="G107" i="82"/>
  <c r="G99" i="77"/>
  <c r="G209" i="72"/>
  <c r="G210" i="72"/>
  <c r="G211" i="72"/>
  <c r="G212" i="72"/>
  <c r="G208" i="72"/>
  <c r="G195" i="86"/>
  <c r="G196" i="86"/>
  <c r="G197" i="86"/>
  <c r="G194" i="86"/>
  <c r="G170" i="86"/>
  <c r="G169" i="86"/>
  <c r="G168" i="86"/>
  <c r="G167" i="86"/>
  <c r="G164" i="86"/>
  <c r="G163" i="86"/>
  <c r="G162" i="86"/>
  <c r="G161" i="86"/>
  <c r="G47" i="86"/>
  <c r="G27" i="86"/>
  <c r="G29" i="86"/>
  <c r="G49" i="55"/>
  <c r="G26" i="55"/>
  <c r="G27" i="55"/>
  <c r="G28" i="55"/>
  <c r="G29" i="55"/>
  <c r="G30" i="55"/>
  <c r="G31" i="55"/>
  <c r="G33" i="55"/>
  <c r="G34" i="55"/>
  <c r="G35" i="55"/>
  <c r="G42" i="32"/>
  <c r="G41" i="32"/>
  <c r="G223" i="59"/>
  <c r="G211" i="41" l="1"/>
  <c r="G210" i="41"/>
  <c r="G209" i="41"/>
  <c r="G208" i="41"/>
  <c r="G206" i="41"/>
  <c r="G205" i="41"/>
  <c r="G204" i="41"/>
  <c r="G203" i="41"/>
  <c r="G201" i="41"/>
  <c r="G200" i="41"/>
  <c r="G199" i="41"/>
  <c r="G198" i="41"/>
  <c r="G197" i="41"/>
  <c r="G196" i="41"/>
  <c r="G195" i="41"/>
  <c r="G194" i="41"/>
  <c r="G192" i="41"/>
  <c r="G191" i="41"/>
  <c r="G190" i="41"/>
  <c r="G189" i="41"/>
  <c r="G188" i="41"/>
  <c r="G187" i="41"/>
  <c r="G186" i="41"/>
  <c r="G185" i="41"/>
  <c r="G184" i="41"/>
  <c r="G182" i="41"/>
  <c r="G181" i="41"/>
  <c r="G180" i="41"/>
  <c r="G179" i="41"/>
  <c r="G178" i="41"/>
  <c r="G177" i="41"/>
  <c r="G176" i="41"/>
  <c r="G174" i="41"/>
  <c r="G173" i="41"/>
  <c r="G172" i="41"/>
  <c r="G170" i="41"/>
  <c r="G169" i="41"/>
  <c r="G168" i="41"/>
  <c r="G167" i="41"/>
  <c r="G166" i="41"/>
  <c r="G165" i="41"/>
  <c r="G164" i="41"/>
  <c r="G163"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209" i="44"/>
  <c r="G208" i="44"/>
  <c r="G207" i="44"/>
  <c r="G206" i="44"/>
  <c r="G204" i="44"/>
  <c r="G203" i="44"/>
  <c r="G202" i="44"/>
  <c r="G199" i="44"/>
  <c r="G198" i="44"/>
  <c r="G197" i="44"/>
  <c r="G196" i="44"/>
  <c r="G195" i="44"/>
  <c r="G194" i="44"/>
  <c r="G193" i="44"/>
  <c r="G192" i="44"/>
  <c r="G190" i="44"/>
  <c r="G189" i="44"/>
  <c r="G188" i="44"/>
  <c r="G187" i="44"/>
  <c r="G186" i="44"/>
  <c r="G185" i="44"/>
  <c r="G184" i="44"/>
  <c r="G183" i="44"/>
  <c r="G182" i="44"/>
  <c r="G180" i="44"/>
  <c r="G179" i="44"/>
  <c r="G178" i="44"/>
  <c r="G177" i="44"/>
  <c r="G176" i="44"/>
  <c r="G175" i="44"/>
  <c r="G174" i="44"/>
  <c r="G172" i="44"/>
  <c r="G171" i="44"/>
  <c r="G170" i="44"/>
  <c r="G168" i="44"/>
  <c r="G167" i="44"/>
  <c r="G166" i="44"/>
  <c r="G165" i="44"/>
  <c r="G164" i="44"/>
  <c r="G163" i="44"/>
  <c r="G162" i="44"/>
  <c r="G161" i="44"/>
  <c r="G160" i="44"/>
  <c r="G158" i="44"/>
  <c r="G157" i="44"/>
  <c r="G156" i="44"/>
  <c r="G155" i="44"/>
  <c r="G154" i="44"/>
  <c r="G153" i="44"/>
  <c r="G152" i="44"/>
  <c r="G151" i="44"/>
  <c r="G150" i="44"/>
  <c r="G149" i="44"/>
  <c r="G148" i="44"/>
  <c r="G147" i="44"/>
  <c r="G146" i="44"/>
  <c r="G145" i="44"/>
  <c r="G144" i="44"/>
  <c r="G143" i="44"/>
  <c r="G142" i="44"/>
  <c r="G141" i="44"/>
  <c r="G140" i="44"/>
  <c r="G139" i="44"/>
  <c r="G215" i="46"/>
  <c r="G214" i="46"/>
  <c r="G213" i="46"/>
  <c r="G210" i="46"/>
  <c r="G209" i="46"/>
  <c r="G208" i="46"/>
  <c r="G205" i="46"/>
  <c r="G204" i="46"/>
  <c r="G203" i="46"/>
  <c r="G202" i="46"/>
  <c r="G201" i="46"/>
  <c r="G200" i="46"/>
  <c r="G199" i="46"/>
  <c r="G196" i="46"/>
  <c r="G195" i="46"/>
  <c r="G194" i="46"/>
  <c r="G193" i="46"/>
  <c r="G192" i="46"/>
  <c r="G191" i="46"/>
  <c r="G190" i="46"/>
  <c r="G189" i="46"/>
  <c r="G186" i="46"/>
  <c r="G185" i="46"/>
  <c r="G184" i="46"/>
  <c r="G183" i="46"/>
  <c r="G182" i="46"/>
  <c r="G181" i="46"/>
  <c r="G178" i="46"/>
  <c r="G177" i="46"/>
  <c r="G174" i="46"/>
  <c r="G173" i="46"/>
  <c r="G172" i="46"/>
  <c r="G171" i="46"/>
  <c r="G170" i="46"/>
  <c r="G169" i="46"/>
  <c r="G168" i="46"/>
  <c r="G167" i="46"/>
  <c r="G164" i="46"/>
  <c r="G163" i="46"/>
  <c r="G162" i="46"/>
  <c r="G161" i="46"/>
  <c r="G160" i="46"/>
  <c r="G159" i="46"/>
  <c r="G158" i="46"/>
  <c r="G157" i="46"/>
  <c r="G156" i="46"/>
  <c r="G155" i="46"/>
  <c r="G154" i="46"/>
  <c r="G153" i="46"/>
  <c r="G152" i="46"/>
  <c r="G151" i="46"/>
  <c r="G150" i="46"/>
  <c r="G149" i="46"/>
  <c r="G148" i="46"/>
  <c r="G147" i="46"/>
  <c r="G146" i="46"/>
  <c r="G145" i="46"/>
  <c r="G116" i="28" l="1"/>
  <c r="G115" i="28"/>
  <c r="G114" i="28"/>
  <c r="G181" i="28"/>
  <c r="G180" i="28"/>
  <c r="G179" i="28"/>
  <c r="G178" i="28"/>
  <c r="G176" i="28"/>
  <c r="G175" i="28"/>
  <c r="G174" i="28"/>
  <c r="G173" i="28"/>
  <c r="G171" i="28"/>
  <c r="G170" i="28"/>
  <c r="G169" i="28"/>
  <c r="G168" i="28"/>
  <c r="G167" i="28"/>
  <c r="G166" i="28"/>
  <c r="G165" i="28"/>
  <c r="G164" i="28"/>
  <c r="G162" i="28"/>
  <c r="G161" i="28"/>
  <c r="G160" i="28"/>
  <c r="G159" i="28"/>
  <c r="G158" i="28"/>
  <c r="G157" i="28"/>
  <c r="G156" i="28"/>
  <c r="G155" i="28"/>
  <c r="G154" i="28"/>
  <c r="G152" i="28"/>
  <c r="G151" i="28"/>
  <c r="G150" i="28"/>
  <c r="G149" i="28"/>
  <c r="G147" i="28"/>
  <c r="G146" i="28"/>
  <c r="G145" i="28"/>
  <c r="G143" i="28"/>
  <c r="G142" i="28"/>
  <c r="G141" i="28"/>
  <c r="G140" i="28"/>
  <c r="G86" i="36"/>
  <c r="G85" i="36"/>
  <c r="G84" i="36"/>
  <c r="G182" i="36"/>
  <c r="G181" i="36"/>
  <c r="G180" i="36"/>
  <c r="G179" i="36"/>
  <c r="G177" i="36"/>
  <c r="G176" i="36"/>
  <c r="G175" i="36"/>
  <c r="G174" i="36"/>
  <c r="G172" i="36"/>
  <c r="G171" i="36"/>
  <c r="G170" i="36"/>
  <c r="G169" i="36"/>
  <c r="G168" i="36"/>
  <c r="G167" i="36"/>
  <c r="G166" i="36"/>
  <c r="G165" i="36"/>
  <c r="G163" i="36"/>
  <c r="G162" i="36"/>
  <c r="G161" i="36"/>
  <c r="G160" i="36"/>
  <c r="G159" i="36"/>
  <c r="G158" i="36"/>
  <c r="G157" i="36"/>
  <c r="G156" i="36"/>
  <c r="G155" i="36"/>
  <c r="G153" i="36"/>
  <c r="G152" i="36"/>
  <c r="G151" i="36"/>
  <c r="G150" i="36"/>
  <c r="G149" i="36"/>
  <c r="G148" i="36"/>
  <c r="G147" i="36"/>
  <c r="G145" i="36"/>
  <c r="G144" i="36"/>
  <c r="G143" i="36"/>
  <c r="G141" i="36"/>
  <c r="G140" i="36"/>
  <c r="G139" i="36"/>
  <c r="G138" i="36"/>
  <c r="G137" i="36"/>
  <c r="G136" i="36"/>
  <c r="G135" i="36"/>
  <c r="G134"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86" i="34"/>
  <c r="G185" i="34"/>
  <c r="G184" i="34"/>
  <c r="G183" i="34"/>
  <c r="G181" i="34"/>
  <c r="G180" i="34"/>
  <c r="G179" i="34"/>
  <c r="G178" i="34"/>
  <c r="G176" i="34"/>
  <c r="G175" i="34"/>
  <c r="G174" i="34"/>
  <c r="G173" i="34"/>
  <c r="G172" i="34"/>
  <c r="G171" i="34"/>
  <c r="G170" i="34"/>
  <c r="G169" i="34"/>
  <c r="G167" i="34"/>
  <c r="G166" i="34"/>
  <c r="G165" i="34"/>
  <c r="G164" i="34"/>
  <c r="G163" i="34"/>
  <c r="G162" i="34"/>
  <c r="G161" i="34"/>
  <c r="G160" i="34"/>
  <c r="G159" i="34"/>
  <c r="G157" i="34"/>
  <c r="G156" i="34"/>
  <c r="G155" i="34"/>
  <c r="G154" i="34"/>
  <c r="G153" i="34"/>
  <c r="G152" i="34"/>
  <c r="G151" i="34"/>
  <c r="G149" i="34"/>
  <c r="G148" i="34"/>
  <c r="G147" i="34"/>
  <c r="G145" i="34"/>
  <c r="G144" i="34"/>
  <c r="G143" i="34"/>
  <c r="G142" i="34"/>
  <c r="G141" i="34"/>
  <c r="G140" i="34"/>
  <c r="G139" i="34"/>
  <c r="G138" i="34"/>
  <c r="G134" i="34"/>
  <c r="G133" i="34"/>
  <c r="G132" i="34"/>
  <c r="G131" i="34"/>
  <c r="G130" i="34"/>
  <c r="G129" i="34"/>
  <c r="G128" i="34"/>
  <c r="G127" i="34"/>
  <c r="G126" i="34"/>
  <c r="G125" i="34"/>
  <c r="G124" i="34"/>
  <c r="G123" i="34"/>
  <c r="G122" i="34"/>
  <c r="G121" i="34"/>
  <c r="G120" i="34"/>
  <c r="G119" i="34"/>
  <c r="G118" i="34"/>
  <c r="G117" i="34"/>
  <c r="G116" i="34"/>
  <c r="G115" i="34"/>
  <c r="G114" i="34"/>
  <c r="G113" i="34"/>
  <c r="G112" i="34"/>
  <c r="G92" i="34"/>
  <c r="G91" i="34"/>
  <c r="G90" i="34"/>
  <c r="G89" i="34"/>
  <c r="G88" i="34"/>
  <c r="G87" i="34"/>
  <c r="G86" i="34"/>
  <c r="G85" i="34"/>
  <c r="G84" i="34"/>
  <c r="G83" i="34"/>
  <c r="G82" i="34"/>
  <c r="G81" i="34"/>
  <c r="G80" i="34"/>
  <c r="G79" i="34"/>
  <c r="G76" i="34"/>
  <c r="G75" i="34"/>
  <c r="G74" i="34"/>
  <c r="G187" i="34" l="1"/>
  <c r="G18" i="34" s="1"/>
  <c r="G182" i="28"/>
  <c r="G18" i="28" s="1"/>
  <c r="G183" i="36"/>
  <c r="G18" i="36" s="1"/>
  <c r="G418" i="171" l="1"/>
  <c r="G417" i="171"/>
  <c r="G416" i="171"/>
  <c r="G415" i="171"/>
  <c r="E414" i="171"/>
  <c r="G414" i="171" s="1"/>
  <c r="G413" i="171"/>
  <c r="G412" i="171"/>
  <c r="G411" i="171"/>
  <c r="G410" i="171"/>
  <c r="G409" i="171"/>
  <c r="G408" i="171"/>
  <c r="G399" i="171"/>
  <c r="G398" i="171"/>
  <c r="G397" i="171"/>
  <c r="E396" i="171"/>
  <c r="G396" i="171" s="1"/>
  <c r="E395" i="171"/>
  <c r="G395" i="171" s="1"/>
  <c r="E394" i="171"/>
  <c r="G394" i="171" s="1"/>
  <c r="G393" i="171"/>
  <c r="E392" i="171"/>
  <c r="G392" i="171" s="1"/>
  <c r="G391" i="171"/>
  <c r="G390" i="171"/>
  <c r="G378" i="171"/>
  <c r="G377" i="171"/>
  <c r="G376" i="171"/>
  <c r="G375" i="171"/>
  <c r="G374" i="171"/>
  <c r="G373" i="171"/>
  <c r="G365" i="171"/>
  <c r="G364" i="171"/>
  <c r="G363" i="171"/>
  <c r="G362" i="171"/>
  <c r="G361" i="171"/>
  <c r="G360" i="171"/>
  <c r="G359" i="171"/>
  <c r="G358" i="171"/>
  <c r="G357" i="171"/>
  <c r="G356" i="171"/>
  <c r="G355" i="171"/>
  <c r="G347" i="171"/>
  <c r="G346" i="171"/>
  <c r="G345" i="171"/>
  <c r="G344" i="171"/>
  <c r="G343" i="171"/>
  <c r="G342" i="171"/>
  <c r="G341" i="171"/>
  <c r="G340" i="171"/>
  <c r="G339" i="171"/>
  <c r="G330" i="171"/>
  <c r="G329" i="171"/>
  <c r="G328" i="171"/>
  <c r="G327" i="171"/>
  <c r="G326" i="171"/>
  <c r="G325" i="171"/>
  <c r="G324" i="171"/>
  <c r="G323" i="171"/>
  <c r="G322" i="171"/>
  <c r="G321" i="171"/>
  <c r="G320" i="171"/>
  <c r="G319" i="171"/>
  <c r="G318" i="171"/>
  <c r="G317" i="171"/>
  <c r="G316" i="171"/>
  <c r="G315" i="171"/>
  <c r="G314" i="171"/>
  <c r="G313" i="171"/>
  <c r="G312" i="171"/>
  <c r="G311" i="171"/>
  <c r="G310" i="171"/>
  <c r="G309" i="171"/>
  <c r="G308" i="171"/>
  <c r="G307" i="171"/>
  <c r="G306" i="171"/>
  <c r="G305" i="171"/>
  <c r="G304" i="171"/>
  <c r="G303" i="171"/>
  <c r="G302" i="171"/>
  <c r="G301" i="171"/>
  <c r="G300" i="171"/>
  <c r="G299" i="171"/>
  <c r="G298" i="171"/>
  <c r="G297" i="171"/>
  <c r="G296" i="171"/>
  <c r="G295" i="171"/>
  <c r="G294" i="171"/>
  <c r="G293" i="171"/>
  <c r="G292" i="171"/>
  <c r="G291" i="171"/>
  <c r="G290" i="171"/>
  <c r="G289" i="171"/>
  <c r="G288" i="171"/>
  <c r="G287" i="171"/>
  <c r="G286" i="171"/>
  <c r="G285" i="171"/>
  <c r="G284" i="171"/>
  <c r="G283" i="171"/>
  <c r="G282" i="171"/>
  <c r="C276" i="171"/>
  <c r="G275" i="171"/>
  <c r="G274" i="171"/>
  <c r="G273" i="171"/>
  <c r="G272" i="171"/>
  <c r="G271" i="171"/>
  <c r="G270" i="171"/>
  <c r="G269" i="171"/>
  <c r="G268" i="171"/>
  <c r="G267" i="171"/>
  <c r="G266" i="171"/>
  <c r="G265" i="171"/>
  <c r="G264" i="171"/>
  <c r="G263" i="171"/>
  <c r="G262" i="171"/>
  <c r="G261" i="171"/>
  <c r="G260" i="171"/>
  <c r="G259" i="171"/>
  <c r="G258" i="171"/>
  <c r="G257" i="171"/>
  <c r="G256" i="171"/>
  <c r="G255" i="171"/>
  <c r="G254" i="171"/>
  <c r="G253" i="171"/>
  <c r="G252" i="171"/>
  <c r="G251" i="171"/>
  <c r="G250" i="171"/>
  <c r="G249" i="171"/>
  <c r="G248" i="171"/>
  <c r="G247" i="171"/>
  <c r="G246" i="171"/>
  <c r="G245" i="171"/>
  <c r="G244" i="171"/>
  <c r="G243" i="171"/>
  <c r="G242" i="171"/>
  <c r="G241" i="171"/>
  <c r="G240" i="171"/>
  <c r="G239" i="171"/>
  <c r="G238" i="171"/>
  <c r="G237" i="171"/>
  <c r="G236" i="171"/>
  <c r="G235" i="171"/>
  <c r="G234" i="171"/>
  <c r="G233" i="171"/>
  <c r="G232" i="171"/>
  <c r="G231" i="171"/>
  <c r="G230" i="171"/>
  <c r="G229" i="171"/>
  <c r="G228" i="171"/>
  <c r="G227" i="171"/>
  <c r="G226" i="171"/>
  <c r="G225" i="171"/>
  <c r="G224" i="171"/>
  <c r="G223" i="171"/>
  <c r="G222" i="171"/>
  <c r="G213" i="171"/>
  <c r="G212" i="171"/>
  <c r="G211" i="171"/>
  <c r="G210" i="171"/>
  <c r="G209" i="171"/>
  <c r="G208" i="171"/>
  <c r="G207" i="171"/>
  <c r="E206" i="171"/>
  <c r="G206" i="171" s="1"/>
  <c r="G205" i="171"/>
  <c r="G204" i="171"/>
  <c r="G203" i="171"/>
  <c r="G202" i="171"/>
  <c r="G201" i="171"/>
  <c r="G200" i="171"/>
  <c r="G199" i="171"/>
  <c r="G198" i="171"/>
  <c r="G197" i="171"/>
  <c r="G196" i="171"/>
  <c r="G195" i="171"/>
  <c r="G194" i="171"/>
  <c r="G193" i="171"/>
  <c r="G192" i="171"/>
  <c r="G191" i="171"/>
  <c r="G190" i="171"/>
  <c r="G189" i="171"/>
  <c r="G188" i="171"/>
  <c r="G187" i="171"/>
  <c r="G186" i="171"/>
  <c r="G184" i="171"/>
  <c r="G183" i="171"/>
  <c r="G182" i="171"/>
  <c r="G181" i="171"/>
  <c r="G180" i="171"/>
  <c r="G179" i="171"/>
  <c r="E178" i="171"/>
  <c r="G178" i="171" s="1"/>
  <c r="G177" i="171"/>
  <c r="G166" i="171"/>
  <c r="G165" i="171"/>
  <c r="G163" i="171"/>
  <c r="G162" i="171"/>
  <c r="G161" i="171"/>
  <c r="G160" i="171"/>
  <c r="G159" i="171"/>
  <c r="G158" i="171"/>
  <c r="G157" i="171"/>
  <c r="G156" i="171"/>
  <c r="G155" i="171"/>
  <c r="G154" i="171"/>
  <c r="G153" i="171"/>
  <c r="G152" i="171"/>
  <c r="G151" i="171"/>
  <c r="G150" i="171"/>
  <c r="G149" i="171"/>
  <c r="G147" i="171"/>
  <c r="G123" i="171"/>
  <c r="G119" i="171"/>
  <c r="G118" i="171"/>
  <c r="G117" i="171"/>
  <c r="G116" i="171"/>
  <c r="G115" i="171"/>
  <c r="G114" i="171"/>
  <c r="G113" i="171"/>
  <c r="G112" i="171"/>
  <c r="G111" i="171"/>
  <c r="G110" i="171"/>
  <c r="G109" i="171"/>
  <c r="G108" i="171"/>
  <c r="G107" i="171"/>
  <c r="G106" i="171"/>
  <c r="G105" i="171"/>
  <c r="G104" i="171"/>
  <c r="G103" i="171"/>
  <c r="G102" i="171"/>
  <c r="G101" i="171"/>
  <c r="G100" i="171"/>
  <c r="G99" i="171"/>
  <c r="G98" i="171"/>
  <c r="G93" i="171"/>
  <c r="G92" i="171"/>
  <c r="G90" i="171"/>
  <c r="G89" i="171"/>
  <c r="G88" i="171"/>
  <c r="G87" i="171"/>
  <c r="G86" i="171"/>
  <c r="G85" i="171"/>
  <c r="G84" i="171"/>
  <c r="G83" i="171"/>
  <c r="G77" i="171"/>
  <c r="G76" i="171"/>
  <c r="G75" i="171"/>
  <c r="G74" i="171"/>
  <c r="G73" i="171"/>
  <c r="G72" i="171"/>
  <c r="G71" i="171"/>
  <c r="G65" i="171"/>
  <c r="G64" i="171"/>
  <c r="G63" i="171"/>
  <c r="G61" i="171"/>
  <c r="G60" i="171"/>
  <c r="G59" i="171"/>
  <c r="G58" i="171"/>
  <c r="G52" i="171"/>
  <c r="G51" i="171"/>
  <c r="G50" i="171"/>
  <c r="G49" i="171"/>
  <c r="G48" i="171"/>
  <c r="G47" i="171"/>
  <c r="G46" i="171"/>
  <c r="G45" i="171"/>
  <c r="G44" i="171"/>
  <c r="G43" i="171"/>
  <c r="G42" i="171"/>
  <c r="G41" i="171"/>
  <c r="G40" i="171"/>
  <c r="G39" i="171"/>
  <c r="G38" i="171"/>
  <c r="G31" i="171"/>
  <c r="G30" i="171"/>
  <c r="G29" i="171"/>
  <c r="G28" i="171"/>
  <c r="G27" i="171"/>
  <c r="G26" i="171"/>
  <c r="G25" i="171"/>
  <c r="G469" i="170"/>
  <c r="G468" i="170"/>
  <c r="G467" i="170"/>
  <c r="G466" i="170"/>
  <c r="G465" i="170"/>
  <c r="E464" i="170"/>
  <c r="G464" i="170" s="1"/>
  <c r="G463" i="170"/>
  <c r="G462" i="170"/>
  <c r="G461" i="170"/>
  <c r="G460" i="170"/>
  <c r="G459" i="170"/>
  <c r="G458" i="170"/>
  <c r="G449" i="170"/>
  <c r="G448" i="170"/>
  <c r="G447" i="170"/>
  <c r="E446" i="170"/>
  <c r="G446" i="170" s="1"/>
  <c r="E445" i="170"/>
  <c r="G445" i="170" s="1"/>
  <c r="E444" i="170"/>
  <c r="G444" i="170" s="1"/>
  <c r="G443" i="170"/>
  <c r="E442" i="170"/>
  <c r="G442" i="170" s="1"/>
  <c r="G441" i="170"/>
  <c r="G440" i="170"/>
  <c r="G428" i="170"/>
  <c r="G427" i="170"/>
  <c r="G426" i="170"/>
  <c r="G425" i="170"/>
  <c r="G424" i="170"/>
  <c r="G423" i="170"/>
  <c r="G414" i="170"/>
  <c r="G413" i="170"/>
  <c r="G412" i="170"/>
  <c r="G411" i="170"/>
  <c r="G410" i="170"/>
  <c r="G409" i="170"/>
  <c r="G408" i="170"/>
  <c r="G407" i="170"/>
  <c r="G406" i="170"/>
  <c r="G398" i="170"/>
  <c r="G397" i="170"/>
  <c r="G396" i="170"/>
  <c r="G395" i="170"/>
  <c r="G394" i="170"/>
  <c r="G393" i="170"/>
  <c r="G392" i="170"/>
  <c r="G391" i="170"/>
  <c r="G390" i="170"/>
  <c r="G389" i="170"/>
  <c r="G379" i="170"/>
  <c r="G378" i="170"/>
  <c r="G377" i="170"/>
  <c r="G376" i="170"/>
  <c r="G375" i="170"/>
  <c r="G374" i="170"/>
  <c r="G373" i="170"/>
  <c r="G372" i="170"/>
  <c r="G371" i="170"/>
  <c r="G370" i="170"/>
  <c r="G369" i="170"/>
  <c r="G368" i="170"/>
  <c r="G367" i="170"/>
  <c r="G366" i="170"/>
  <c r="G365" i="170"/>
  <c r="G364" i="170"/>
  <c r="G363" i="170"/>
  <c r="G362" i="170"/>
  <c r="G361" i="170"/>
  <c r="G360" i="170"/>
  <c r="G359" i="170"/>
  <c r="G358" i="170"/>
  <c r="G357" i="170"/>
  <c r="G356" i="170"/>
  <c r="G355" i="170"/>
  <c r="G354" i="170"/>
  <c r="G353" i="170"/>
  <c r="G352" i="170"/>
  <c r="G351" i="170"/>
  <c r="G350" i="170"/>
  <c r="G349" i="170"/>
  <c r="G348" i="170"/>
  <c r="G347" i="170"/>
  <c r="G346" i="170"/>
  <c r="G345" i="170"/>
  <c r="G344" i="170"/>
  <c r="G343" i="170"/>
  <c r="G342" i="170"/>
  <c r="G341" i="170"/>
  <c r="G340" i="170"/>
  <c r="G339" i="170"/>
  <c r="G338" i="170"/>
  <c r="G337" i="170"/>
  <c r="G336" i="170"/>
  <c r="G335" i="170"/>
  <c r="G334" i="170"/>
  <c r="G333" i="170"/>
  <c r="G332" i="170"/>
  <c r="G331" i="170"/>
  <c r="C324" i="170"/>
  <c r="G323" i="170"/>
  <c r="G322" i="170"/>
  <c r="G321" i="170"/>
  <c r="G320" i="170"/>
  <c r="G319" i="170"/>
  <c r="G318" i="170"/>
  <c r="G317" i="170"/>
  <c r="G316" i="170"/>
  <c r="G315" i="170"/>
  <c r="G314" i="170"/>
  <c r="G313" i="170"/>
  <c r="G312" i="170"/>
  <c r="G311" i="170"/>
  <c r="G310" i="170"/>
  <c r="G309" i="170"/>
  <c r="G308" i="170"/>
  <c r="G307" i="170"/>
  <c r="G306" i="170"/>
  <c r="G305" i="170"/>
  <c r="G304" i="170"/>
  <c r="G303" i="170"/>
  <c r="G302" i="170"/>
  <c r="G301" i="170"/>
  <c r="G300" i="170"/>
  <c r="G299" i="170"/>
  <c r="G298" i="170"/>
  <c r="G297" i="170"/>
  <c r="G296" i="170"/>
  <c r="G295" i="170"/>
  <c r="G294" i="170"/>
  <c r="G293" i="170"/>
  <c r="G292" i="170"/>
  <c r="G291" i="170"/>
  <c r="G290" i="170"/>
  <c r="G289" i="170"/>
  <c r="G288" i="170"/>
  <c r="G287" i="170"/>
  <c r="G286" i="170"/>
  <c r="G285" i="170"/>
  <c r="G284" i="170"/>
  <c r="G283" i="170"/>
  <c r="G282" i="170"/>
  <c r="G281" i="170"/>
  <c r="G280" i="170"/>
  <c r="G279" i="170"/>
  <c r="G278" i="170"/>
  <c r="G277" i="170"/>
  <c r="G276" i="170"/>
  <c r="G275" i="170"/>
  <c r="G274" i="170"/>
  <c r="G273" i="170"/>
  <c r="G272" i="170"/>
  <c r="G271" i="170"/>
  <c r="G270" i="170"/>
  <c r="G269" i="170"/>
  <c r="G259" i="170"/>
  <c r="G258" i="170"/>
  <c r="G257" i="170"/>
  <c r="G256" i="170"/>
  <c r="G255" i="170"/>
  <c r="G254" i="170"/>
  <c r="G253" i="170"/>
  <c r="G252" i="170"/>
  <c r="G251" i="170"/>
  <c r="G250" i="170"/>
  <c r="G249" i="170"/>
  <c r="G248" i="170"/>
  <c r="G247" i="170"/>
  <c r="G246" i="170"/>
  <c r="G245" i="170"/>
  <c r="G244" i="170"/>
  <c r="G243" i="170"/>
  <c r="G242" i="170"/>
  <c r="G241" i="170"/>
  <c r="G240" i="170"/>
  <c r="G239" i="170"/>
  <c r="G238" i="170"/>
  <c r="G237" i="170"/>
  <c r="G236" i="170"/>
  <c r="G235" i="170"/>
  <c r="G234" i="170"/>
  <c r="G233" i="170"/>
  <c r="G232" i="170"/>
  <c r="G230" i="170"/>
  <c r="G229" i="170"/>
  <c r="G228" i="170"/>
  <c r="G227" i="170"/>
  <c r="G226" i="170"/>
  <c r="G225" i="170"/>
  <c r="E224" i="170"/>
  <c r="G224" i="170" s="1"/>
  <c r="G223" i="170"/>
  <c r="G204" i="170"/>
  <c r="G203" i="170"/>
  <c r="G201" i="170"/>
  <c r="G200" i="170"/>
  <c r="G199" i="170"/>
  <c r="G198" i="170"/>
  <c r="G197" i="170"/>
  <c r="G196" i="170"/>
  <c r="G195" i="170"/>
  <c r="G194" i="170"/>
  <c r="G193" i="170"/>
  <c r="G192" i="170"/>
  <c r="G191" i="170"/>
  <c r="G190" i="170"/>
  <c r="G189" i="170"/>
  <c r="G188" i="170"/>
  <c r="G187" i="170"/>
  <c r="G186" i="170"/>
  <c r="G184" i="170"/>
  <c r="G183" i="170"/>
  <c r="G182" i="170"/>
  <c r="G181" i="170"/>
  <c r="G180" i="170"/>
  <c r="G179" i="170"/>
  <c r="G178" i="170"/>
  <c r="G177" i="170"/>
  <c r="G176" i="170"/>
  <c r="G175" i="170"/>
  <c r="G174" i="170"/>
  <c r="G173" i="170"/>
  <c r="G172" i="170"/>
  <c r="G171" i="170"/>
  <c r="G170" i="170"/>
  <c r="G168" i="170"/>
  <c r="G167" i="170"/>
  <c r="G166" i="170"/>
  <c r="G165" i="170"/>
  <c r="G164" i="170"/>
  <c r="G163" i="170"/>
  <c r="G162" i="170"/>
  <c r="G161" i="170"/>
  <c r="G160" i="170"/>
  <c r="G159" i="170"/>
  <c r="G158" i="170"/>
  <c r="G157" i="170"/>
  <c r="G156" i="170"/>
  <c r="G155" i="170"/>
  <c r="G153" i="170"/>
  <c r="G126" i="170"/>
  <c r="G124" i="170"/>
  <c r="G123" i="170"/>
  <c r="G122" i="170"/>
  <c r="G121" i="170"/>
  <c r="G120" i="170"/>
  <c r="G119" i="170"/>
  <c r="G118" i="170"/>
  <c r="G117" i="170"/>
  <c r="G116" i="170"/>
  <c r="G110" i="170"/>
  <c r="G109" i="170"/>
  <c r="G105" i="170"/>
  <c r="G104" i="170"/>
  <c r="G99" i="170"/>
  <c r="G98" i="170"/>
  <c r="G96" i="170"/>
  <c r="G95" i="170"/>
  <c r="G94" i="170"/>
  <c r="G93" i="170"/>
  <c r="G92" i="170"/>
  <c r="G91" i="170"/>
  <c r="G90" i="170"/>
  <c r="G89" i="170"/>
  <c r="G83" i="170"/>
  <c r="G82" i="170"/>
  <c r="G81" i="170"/>
  <c r="G80" i="170"/>
  <c r="G79" i="170"/>
  <c r="G78" i="170"/>
  <c r="G72" i="170"/>
  <c r="G71" i="170"/>
  <c r="G70" i="170"/>
  <c r="G68" i="170"/>
  <c r="G67" i="170"/>
  <c r="G66" i="170"/>
  <c r="G65" i="170"/>
  <c r="G59" i="170"/>
  <c r="G58" i="170"/>
  <c r="G57" i="170"/>
  <c r="G56" i="170"/>
  <c r="G55" i="170"/>
  <c r="G54" i="170"/>
  <c r="G53" i="170"/>
  <c r="G52" i="170"/>
  <c r="G51" i="170"/>
  <c r="G50" i="170"/>
  <c r="G49" i="170"/>
  <c r="G48" i="170"/>
  <c r="G47" i="170"/>
  <c r="G46" i="170"/>
  <c r="G45" i="170"/>
  <c r="G44" i="170"/>
  <c r="G43" i="170"/>
  <c r="G35" i="170"/>
  <c r="G34" i="170"/>
  <c r="G33" i="170"/>
  <c r="G32" i="170"/>
  <c r="G31" i="170"/>
  <c r="G30" i="170"/>
  <c r="G29" i="170"/>
  <c r="G28" i="170"/>
  <c r="G27" i="170"/>
  <c r="G26" i="170"/>
  <c r="G172" i="169"/>
  <c r="G170" i="169"/>
  <c r="G169" i="169"/>
  <c r="G168" i="169"/>
  <c r="G167" i="169"/>
  <c r="G166" i="169"/>
  <c r="G164" i="169"/>
  <c r="G163" i="169"/>
  <c r="G162" i="169"/>
  <c r="G159" i="169"/>
  <c r="G158" i="169"/>
  <c r="G157" i="169"/>
  <c r="G156" i="169"/>
  <c r="G155" i="169"/>
  <c r="G154" i="169"/>
  <c r="G153" i="169"/>
  <c r="G152" i="169"/>
  <c r="G151" i="169"/>
  <c r="G148" i="169"/>
  <c r="G147" i="169"/>
  <c r="G146" i="169"/>
  <c r="G145" i="169"/>
  <c r="G144" i="169"/>
  <c r="G143" i="169"/>
  <c r="G142" i="169"/>
  <c r="G141" i="169"/>
  <c r="G140" i="169"/>
  <c r="G139" i="169"/>
  <c r="G138" i="169"/>
  <c r="G137" i="169"/>
  <c r="G134" i="169"/>
  <c r="G133" i="169"/>
  <c r="G132" i="169"/>
  <c r="G131" i="169"/>
  <c r="G130" i="169"/>
  <c r="G129" i="169"/>
  <c r="G128" i="169"/>
  <c r="G127" i="169"/>
  <c r="G126" i="169"/>
  <c r="G125" i="169"/>
  <c r="G123" i="169"/>
  <c r="G122" i="169"/>
  <c r="G121" i="169"/>
  <c r="G120" i="169"/>
  <c r="G119" i="169"/>
  <c r="G118" i="169"/>
  <c r="G117" i="169"/>
  <c r="G116" i="169"/>
  <c r="G113" i="169"/>
  <c r="G112" i="169"/>
  <c r="G110" i="169"/>
  <c r="G109" i="169"/>
  <c r="E105" i="169"/>
  <c r="G105" i="169" s="1"/>
  <c r="E104" i="169"/>
  <c r="G104" i="169" s="1"/>
  <c r="E103" i="169"/>
  <c r="G103" i="169" s="1"/>
  <c r="G102" i="169"/>
  <c r="E102" i="169"/>
  <c r="G101" i="169"/>
  <c r="G100" i="169"/>
  <c r="G98" i="169"/>
  <c r="G97" i="169"/>
  <c r="G96" i="169"/>
  <c r="G95" i="169"/>
  <c r="G94" i="169"/>
  <c r="G93" i="169"/>
  <c r="G92" i="169"/>
  <c r="G91" i="169"/>
  <c r="G77" i="169"/>
  <c r="G76" i="169"/>
  <c r="G75" i="169"/>
  <c r="G74" i="169"/>
  <c r="G73" i="169"/>
  <c r="G72" i="169"/>
  <c r="G71" i="169"/>
  <c r="G70" i="169"/>
  <c r="G69" i="169"/>
  <c r="G67" i="169"/>
  <c r="G66" i="169"/>
  <c r="E65" i="169"/>
  <c r="G65" i="169" s="1"/>
  <c r="G64" i="169"/>
  <c r="G63" i="169"/>
  <c r="G62" i="169"/>
  <c r="G61" i="169"/>
  <c r="G60" i="169"/>
  <c r="G59" i="169"/>
  <c r="G58" i="169"/>
  <c r="G57" i="169"/>
  <c r="G56" i="169"/>
  <c r="G55" i="169"/>
  <c r="G54" i="169"/>
  <c r="G52" i="169"/>
  <c r="G51" i="169"/>
  <c r="G50" i="169"/>
  <c r="G49" i="169"/>
  <c r="G48" i="169"/>
  <c r="E48" i="169"/>
  <c r="E47" i="169"/>
  <c r="G47" i="169" s="1"/>
  <c r="G46" i="169"/>
  <c r="G45" i="169"/>
  <c r="G44" i="169"/>
  <c r="G43" i="169"/>
  <c r="G36" i="169"/>
  <c r="G35" i="169"/>
  <c r="G34" i="169"/>
  <c r="G33" i="169"/>
  <c r="G32" i="169"/>
  <c r="G31" i="169"/>
  <c r="G30" i="169"/>
  <c r="G29" i="169"/>
  <c r="G28" i="169"/>
  <c r="G27" i="169"/>
  <c r="G26" i="169"/>
  <c r="E25" i="169"/>
  <c r="G25" i="169" s="1"/>
  <c r="G24" i="169"/>
  <c r="G228" i="168"/>
  <c r="G226" i="168"/>
  <c r="G225" i="168"/>
  <c r="G224" i="168"/>
  <c r="G223" i="168"/>
  <c r="G222" i="168"/>
  <c r="G220" i="168"/>
  <c r="G219" i="168"/>
  <c r="G218" i="168"/>
  <c r="G216" i="168"/>
  <c r="G215" i="168"/>
  <c r="G214" i="168"/>
  <c r="G212" i="168"/>
  <c r="G211" i="168"/>
  <c r="G210" i="168"/>
  <c r="G207" i="168"/>
  <c r="G206" i="168"/>
  <c r="G205" i="168"/>
  <c r="G204" i="168"/>
  <c r="G203" i="168"/>
  <c r="G202" i="168"/>
  <c r="G201" i="168"/>
  <c r="G200" i="168"/>
  <c r="G199" i="168"/>
  <c r="G197" i="168"/>
  <c r="G196" i="168"/>
  <c r="G195" i="168"/>
  <c r="G194" i="168"/>
  <c r="G193" i="168"/>
  <c r="G191" i="168"/>
  <c r="G190" i="168"/>
  <c r="G189" i="168"/>
  <c r="G188" i="168"/>
  <c r="G187" i="168"/>
  <c r="G186" i="168"/>
  <c r="G185" i="168"/>
  <c r="G184" i="168"/>
  <c r="G182" i="168"/>
  <c r="G181" i="168"/>
  <c r="G180" i="168"/>
  <c r="G179" i="168"/>
  <c r="G178" i="168"/>
  <c r="G177" i="168"/>
  <c r="G174" i="168"/>
  <c r="G173" i="168"/>
  <c r="G172" i="168"/>
  <c r="G171" i="168"/>
  <c r="G170" i="168"/>
  <c r="G169" i="168"/>
  <c r="G168" i="168"/>
  <c r="G167" i="168"/>
  <c r="G166" i="168"/>
  <c r="G165" i="168"/>
  <c r="G164" i="168"/>
  <c r="G163" i="168"/>
  <c r="G160" i="168"/>
  <c r="G159" i="168"/>
  <c r="G158" i="168"/>
  <c r="G157" i="168"/>
  <c r="G156" i="168"/>
  <c r="G155" i="168"/>
  <c r="G154" i="168"/>
  <c r="G153" i="168"/>
  <c r="G152" i="168"/>
  <c r="G151" i="168"/>
  <c r="G150" i="168"/>
  <c r="G149" i="168"/>
  <c r="G148" i="168"/>
  <c r="G147" i="168"/>
  <c r="G146" i="168"/>
  <c r="G145" i="168"/>
  <c r="G142" i="168"/>
  <c r="G141" i="168"/>
  <c r="G140" i="168"/>
  <c r="G139" i="168"/>
  <c r="G138" i="168"/>
  <c r="G135" i="168"/>
  <c r="G134" i="168"/>
  <c r="G133" i="168"/>
  <c r="G132" i="168"/>
  <c r="G131" i="168"/>
  <c r="G130" i="168"/>
  <c r="G129" i="168"/>
  <c r="G128" i="168"/>
  <c r="G127" i="168"/>
  <c r="G126" i="168"/>
  <c r="G124" i="168"/>
  <c r="G123" i="168"/>
  <c r="G122" i="168"/>
  <c r="G121" i="168"/>
  <c r="G120" i="168"/>
  <c r="G119" i="168"/>
  <c r="G118" i="168"/>
  <c r="G117" i="168"/>
  <c r="G114" i="168"/>
  <c r="G113" i="168"/>
  <c r="G111" i="168"/>
  <c r="G110" i="168"/>
  <c r="G106" i="168"/>
  <c r="E106" i="168"/>
  <c r="E105" i="168"/>
  <c r="G105" i="168" s="1"/>
  <c r="E104" i="168"/>
  <c r="G104" i="168" s="1"/>
  <c r="E103" i="168"/>
  <c r="G103" i="168" s="1"/>
  <c r="G102" i="168"/>
  <c r="G101" i="168"/>
  <c r="G100" i="168"/>
  <c r="G98" i="168"/>
  <c r="G97" i="168"/>
  <c r="G96" i="168"/>
  <c r="G95" i="168"/>
  <c r="G94" i="168"/>
  <c r="G93" i="168"/>
  <c r="G92" i="168"/>
  <c r="G91" i="168"/>
  <c r="G77" i="168"/>
  <c r="G76" i="168"/>
  <c r="G75" i="168"/>
  <c r="G74" i="168"/>
  <c r="G73" i="168"/>
  <c r="G72" i="168"/>
  <c r="G71" i="168"/>
  <c r="G70" i="168"/>
  <c r="G69" i="168"/>
  <c r="G67" i="168"/>
  <c r="G66" i="168"/>
  <c r="G65" i="168"/>
  <c r="E65" i="168"/>
  <c r="G64" i="168"/>
  <c r="G63" i="168"/>
  <c r="G62" i="168"/>
  <c r="G61" i="168"/>
  <c r="G60" i="168"/>
  <c r="G59" i="168"/>
  <c r="G58" i="168"/>
  <c r="E58" i="168"/>
  <c r="G57" i="168"/>
  <c r="G56" i="168"/>
  <c r="G55" i="168"/>
  <c r="G54" i="168"/>
  <c r="G52" i="168"/>
  <c r="G51" i="168"/>
  <c r="G50" i="168"/>
  <c r="G49" i="168"/>
  <c r="E48" i="168"/>
  <c r="G48" i="168" s="1"/>
  <c r="E47" i="168"/>
  <c r="G47" i="168" s="1"/>
  <c r="E46" i="168"/>
  <c r="G46" i="168" s="1"/>
  <c r="E44" i="168"/>
  <c r="G44" i="168" s="1"/>
  <c r="E43" i="168"/>
  <c r="E45" i="168" s="1"/>
  <c r="G45" i="168" s="1"/>
  <c r="G36" i="168"/>
  <c r="G35" i="168"/>
  <c r="G34" i="168"/>
  <c r="G33" i="168"/>
  <c r="G32" i="168"/>
  <c r="G31" i="168"/>
  <c r="G30" i="168"/>
  <c r="G29" i="168"/>
  <c r="G28" i="168"/>
  <c r="G27" i="168"/>
  <c r="G26" i="168"/>
  <c r="E25" i="168"/>
  <c r="G25" i="168" s="1"/>
  <c r="G24" i="168"/>
  <c r="G182" i="167"/>
  <c r="G180" i="167"/>
  <c r="G179" i="167"/>
  <c r="G178" i="167"/>
  <c r="G177" i="167"/>
  <c r="G176" i="167"/>
  <c r="G174" i="167"/>
  <c r="G173" i="167"/>
  <c r="G172" i="167"/>
  <c r="G170" i="167"/>
  <c r="G169" i="167"/>
  <c r="G168" i="167"/>
  <c r="G165" i="167"/>
  <c r="G164" i="167"/>
  <c r="G163" i="167"/>
  <c r="G162" i="167"/>
  <c r="G161" i="167"/>
  <c r="G160" i="167"/>
  <c r="G159" i="167"/>
  <c r="G158" i="167"/>
  <c r="G157" i="167"/>
  <c r="G155" i="167"/>
  <c r="G154" i="167"/>
  <c r="G153" i="167"/>
  <c r="G152" i="167"/>
  <c r="G151" i="167"/>
  <c r="G149" i="167"/>
  <c r="G148" i="167"/>
  <c r="G147" i="167"/>
  <c r="G146" i="167"/>
  <c r="G145" i="167"/>
  <c r="G144" i="167"/>
  <c r="G141" i="167"/>
  <c r="G140" i="167"/>
  <c r="G139" i="167"/>
  <c r="G138" i="167"/>
  <c r="G137" i="167"/>
  <c r="G136" i="167"/>
  <c r="G135" i="167"/>
  <c r="G134" i="167"/>
  <c r="G133" i="167"/>
  <c r="G132" i="167"/>
  <c r="G131" i="167"/>
  <c r="G130" i="167"/>
  <c r="G129" i="167"/>
  <c r="G128" i="167"/>
  <c r="G127" i="167"/>
  <c r="G126" i="167"/>
  <c r="G123" i="167"/>
  <c r="G122" i="167"/>
  <c r="G121" i="167"/>
  <c r="G120" i="167"/>
  <c r="G119" i="167"/>
  <c r="G118" i="167"/>
  <c r="G117" i="167"/>
  <c r="G116" i="167"/>
  <c r="G113" i="167"/>
  <c r="G111" i="167"/>
  <c r="G110" i="167"/>
  <c r="E106" i="167"/>
  <c r="G106" i="167" s="1"/>
  <c r="E105" i="167"/>
  <c r="G105" i="167" s="1"/>
  <c r="E104" i="167"/>
  <c r="G104" i="167" s="1"/>
  <c r="E103" i="167"/>
  <c r="G103" i="167" s="1"/>
  <c r="G102" i="167"/>
  <c r="G101" i="167"/>
  <c r="G99" i="167"/>
  <c r="G98" i="167"/>
  <c r="G97" i="167"/>
  <c r="G96" i="167"/>
  <c r="G95" i="167"/>
  <c r="G94" i="167"/>
  <c r="G93" i="167"/>
  <c r="G92" i="167"/>
  <c r="G78" i="167"/>
  <c r="G77" i="167"/>
  <c r="G76" i="167"/>
  <c r="G75" i="167"/>
  <c r="G74" i="167"/>
  <c r="G73" i="167"/>
  <c r="G72" i="167"/>
  <c r="G71" i="167"/>
  <c r="G69" i="167"/>
  <c r="G68" i="167"/>
  <c r="G66" i="167"/>
  <c r="G65" i="167"/>
  <c r="E64" i="167"/>
  <c r="G64" i="167" s="1"/>
  <c r="G63" i="167"/>
  <c r="G62" i="167"/>
  <c r="G61" i="167"/>
  <c r="G60" i="167"/>
  <c r="G59" i="167"/>
  <c r="G58" i="167"/>
  <c r="E57" i="167"/>
  <c r="G57" i="167" s="1"/>
  <c r="G56" i="167"/>
  <c r="G55" i="167"/>
  <c r="G54" i="167"/>
  <c r="G53" i="167"/>
  <c r="G51" i="167"/>
  <c r="G50" i="167"/>
  <c r="G49" i="167"/>
  <c r="E48" i="167"/>
  <c r="G48" i="167" s="1"/>
  <c r="E47" i="167"/>
  <c r="G47" i="167" s="1"/>
  <c r="E46" i="167"/>
  <c r="G46" i="167" s="1"/>
  <c r="E43" i="167"/>
  <c r="G43" i="167" s="1"/>
  <c r="E42" i="167"/>
  <c r="E45" i="167" s="1"/>
  <c r="G45" i="167" s="1"/>
  <c r="G35" i="167"/>
  <c r="G34" i="167"/>
  <c r="G33" i="167"/>
  <c r="G32" i="167"/>
  <c r="G31" i="167"/>
  <c r="G30" i="167"/>
  <c r="G29" i="167"/>
  <c r="G28" i="167"/>
  <c r="G27" i="167"/>
  <c r="G26" i="167"/>
  <c r="E25" i="167"/>
  <c r="G25" i="167" s="1"/>
  <c r="G24" i="167"/>
  <c r="G188" i="166"/>
  <c r="G186" i="166"/>
  <c r="G185" i="166"/>
  <c r="G184" i="166"/>
  <c r="G183" i="166"/>
  <c r="G182" i="166"/>
  <c r="G180" i="166"/>
  <c r="G179" i="166"/>
  <c r="G178" i="166"/>
  <c r="G176" i="166"/>
  <c r="G175" i="166"/>
  <c r="G174" i="166"/>
  <c r="G172" i="166"/>
  <c r="G171" i="166"/>
  <c r="G170" i="166"/>
  <c r="G167" i="166"/>
  <c r="G166" i="166"/>
  <c r="G165" i="166"/>
  <c r="G164" i="166"/>
  <c r="G163" i="166"/>
  <c r="G162" i="166"/>
  <c r="G161" i="166"/>
  <c r="G159" i="166"/>
  <c r="G158" i="166"/>
  <c r="G157" i="166"/>
  <c r="G156" i="166"/>
  <c r="G155" i="166"/>
  <c r="G153" i="166"/>
  <c r="G152" i="166"/>
  <c r="G151" i="166"/>
  <c r="G150" i="166"/>
  <c r="G149" i="166"/>
  <c r="G146" i="166"/>
  <c r="G145" i="166"/>
  <c r="G144" i="166"/>
  <c r="G143" i="166"/>
  <c r="G142" i="166"/>
  <c r="G141" i="166"/>
  <c r="G140" i="166"/>
  <c r="G139" i="166"/>
  <c r="G138" i="166"/>
  <c r="G137" i="166"/>
  <c r="G136" i="166"/>
  <c r="G135" i="166"/>
  <c r="G134" i="166"/>
  <c r="G133" i="166"/>
  <c r="G132" i="166"/>
  <c r="G131" i="166"/>
  <c r="G130" i="166"/>
  <c r="G127" i="166"/>
  <c r="G126" i="166"/>
  <c r="G125" i="166"/>
  <c r="G124" i="166"/>
  <c r="G123" i="166"/>
  <c r="G122" i="166"/>
  <c r="G121" i="166"/>
  <c r="G120" i="166"/>
  <c r="G119" i="166"/>
  <c r="G118" i="166"/>
  <c r="G115" i="166"/>
  <c r="G114" i="166"/>
  <c r="G112" i="166"/>
  <c r="G111" i="166"/>
  <c r="G107" i="166"/>
  <c r="E107" i="166"/>
  <c r="E106" i="166"/>
  <c r="G106" i="166" s="1"/>
  <c r="E105" i="166"/>
  <c r="G105" i="166" s="1"/>
  <c r="E104" i="166"/>
  <c r="G104" i="166" s="1"/>
  <c r="G103" i="166"/>
  <c r="G102" i="166"/>
  <c r="G100" i="166"/>
  <c r="G99" i="166"/>
  <c r="G98" i="166"/>
  <c r="G97" i="166"/>
  <c r="G96" i="166"/>
  <c r="G95" i="166"/>
  <c r="G94" i="166"/>
  <c r="G93" i="166"/>
  <c r="G92" i="166"/>
  <c r="G91" i="166"/>
  <c r="G77" i="166"/>
  <c r="G76" i="166"/>
  <c r="G75" i="166"/>
  <c r="G74" i="166"/>
  <c r="G73" i="166"/>
  <c r="G72" i="166"/>
  <c r="G71" i="166"/>
  <c r="G70" i="166"/>
  <c r="G69" i="166"/>
  <c r="G67" i="166"/>
  <c r="G66" i="166"/>
  <c r="G65" i="166"/>
  <c r="E65" i="166"/>
  <c r="G64" i="166"/>
  <c r="G63" i="166"/>
  <c r="G62" i="166"/>
  <c r="G61" i="166"/>
  <c r="G60" i="166"/>
  <c r="G59" i="166"/>
  <c r="E57" i="166"/>
  <c r="E58" i="166" s="1"/>
  <c r="G58" i="166" s="1"/>
  <c r="G56" i="166"/>
  <c r="G55" i="166"/>
  <c r="G54" i="166"/>
  <c r="G52" i="166"/>
  <c r="E52" i="166"/>
  <c r="E51" i="166"/>
  <c r="G51" i="166" s="1"/>
  <c r="E50" i="166"/>
  <c r="G50" i="166" s="1"/>
  <c r="G49" i="166"/>
  <c r="E49" i="166"/>
  <c r="E48" i="166"/>
  <c r="G48" i="166" s="1"/>
  <c r="E47" i="166"/>
  <c r="G47" i="166" s="1"/>
  <c r="G44" i="166"/>
  <c r="E43" i="166"/>
  <c r="E46" i="166" s="1"/>
  <c r="G46" i="166" s="1"/>
  <c r="G36" i="166"/>
  <c r="G35" i="166"/>
  <c r="G34" i="166"/>
  <c r="G33" i="166"/>
  <c r="G32" i="166"/>
  <c r="G31" i="166"/>
  <c r="G30" i="166"/>
  <c r="G29" i="166"/>
  <c r="G28" i="166"/>
  <c r="G27" i="166"/>
  <c r="G26" i="166"/>
  <c r="E25" i="166"/>
  <c r="G25" i="166" s="1"/>
  <c r="G24" i="166"/>
  <c r="G240" i="165"/>
  <c r="G238" i="165"/>
  <c r="G237" i="165"/>
  <c r="G236" i="165"/>
  <c r="G235" i="165"/>
  <c r="G234" i="165"/>
  <c r="G232" i="165"/>
  <c r="G231" i="165"/>
  <c r="G230" i="165"/>
  <c r="G228" i="165"/>
  <c r="G227" i="165"/>
  <c r="G226" i="165"/>
  <c r="G224" i="165"/>
  <c r="G223" i="165"/>
  <c r="G222" i="165"/>
  <c r="G220" i="165"/>
  <c r="G219" i="165"/>
  <c r="G218" i="165"/>
  <c r="G215" i="165"/>
  <c r="G214" i="165"/>
  <c r="G213" i="165"/>
  <c r="G212" i="165"/>
  <c r="G211" i="165"/>
  <c r="G209" i="165"/>
  <c r="G208" i="165"/>
  <c r="G207" i="165"/>
  <c r="G206" i="165"/>
  <c r="G205" i="165"/>
  <c r="G204" i="165"/>
  <c r="G203" i="165"/>
  <c r="G202" i="165"/>
  <c r="G201" i="165"/>
  <c r="G199" i="165"/>
  <c r="G198" i="165"/>
  <c r="G197" i="165"/>
  <c r="G196" i="165"/>
  <c r="G195" i="165"/>
  <c r="G194" i="165"/>
  <c r="G193" i="165"/>
  <c r="G191" i="165"/>
  <c r="G190" i="165"/>
  <c r="G189" i="165"/>
  <c r="G188" i="165"/>
  <c r="G187" i="165"/>
  <c r="G184" i="165"/>
  <c r="G183" i="165"/>
  <c r="G182" i="165"/>
  <c r="G181" i="165"/>
  <c r="G180" i="165"/>
  <c r="G179" i="165"/>
  <c r="G178" i="165"/>
  <c r="G177" i="165"/>
  <c r="G176" i="165"/>
  <c r="G175" i="165"/>
  <c r="G174" i="165"/>
  <c r="G173" i="165"/>
  <c r="G172" i="165"/>
  <c r="G171" i="165"/>
  <c r="G170" i="165"/>
  <c r="G169" i="165"/>
  <c r="G168" i="165"/>
  <c r="G166" i="165"/>
  <c r="G165" i="165"/>
  <c r="G164" i="165"/>
  <c r="G163" i="165"/>
  <c r="G162" i="165"/>
  <c r="G161" i="165"/>
  <c r="G160" i="165"/>
  <c r="G159" i="165"/>
  <c r="G158" i="165"/>
  <c r="G157" i="165"/>
  <c r="G156" i="165"/>
  <c r="G155" i="165"/>
  <c r="G154" i="165"/>
  <c r="G153" i="165"/>
  <c r="G152" i="165"/>
  <c r="G151" i="165"/>
  <c r="G149" i="165"/>
  <c r="G148" i="165"/>
  <c r="G147" i="165"/>
  <c r="G146" i="165"/>
  <c r="G145" i="165"/>
  <c r="G144" i="165"/>
  <c r="G143" i="165"/>
  <c r="G142" i="165"/>
  <c r="G141" i="165"/>
  <c r="G140" i="165"/>
  <c r="G139" i="165"/>
  <c r="G138" i="165"/>
  <c r="G137" i="165"/>
  <c r="G136" i="165"/>
  <c r="G135" i="165"/>
  <c r="G134" i="165"/>
  <c r="G131" i="165"/>
  <c r="G130" i="165"/>
  <c r="G129" i="165"/>
  <c r="G128" i="165"/>
  <c r="G127" i="165"/>
  <c r="G126" i="165"/>
  <c r="G125" i="165"/>
  <c r="G122" i="165"/>
  <c r="G121" i="165"/>
  <c r="G119" i="165"/>
  <c r="G118" i="165"/>
  <c r="G116" i="165"/>
  <c r="G115" i="165"/>
  <c r="E111" i="165"/>
  <c r="G111" i="165" s="1"/>
  <c r="E110" i="165"/>
  <c r="G110" i="165" s="1"/>
  <c r="E109" i="165"/>
  <c r="G109" i="165" s="1"/>
  <c r="E108" i="165"/>
  <c r="G108" i="165" s="1"/>
  <c r="G107" i="165"/>
  <c r="G106" i="165"/>
  <c r="G104" i="165"/>
  <c r="G103" i="165"/>
  <c r="G102" i="165"/>
  <c r="G101" i="165"/>
  <c r="G100" i="165"/>
  <c r="G99" i="165"/>
  <c r="G98" i="165"/>
  <c r="G97" i="165"/>
  <c r="G96" i="165"/>
  <c r="G95" i="165"/>
  <c r="G81" i="165"/>
  <c r="G80" i="165"/>
  <c r="G79" i="165"/>
  <c r="G78" i="165"/>
  <c r="G77" i="165"/>
  <c r="G76" i="165"/>
  <c r="G75" i="165"/>
  <c r="G74" i="165"/>
  <c r="G73" i="165"/>
  <c r="G71" i="165"/>
  <c r="G70" i="165"/>
  <c r="G69" i="165"/>
  <c r="G67" i="165"/>
  <c r="G66" i="165"/>
  <c r="E65" i="165"/>
  <c r="G65" i="165" s="1"/>
  <c r="G64" i="165"/>
  <c r="G63" i="165"/>
  <c r="G62" i="165"/>
  <c r="G61" i="165"/>
  <c r="G60" i="165"/>
  <c r="G59" i="165"/>
  <c r="E57" i="165"/>
  <c r="E58" i="165" s="1"/>
  <c r="G56" i="165"/>
  <c r="G55" i="165"/>
  <c r="G54" i="165"/>
  <c r="G52" i="165"/>
  <c r="G51" i="165"/>
  <c r="G50" i="165"/>
  <c r="G49" i="165"/>
  <c r="E48" i="165"/>
  <c r="G48" i="165" s="1"/>
  <c r="E47" i="165"/>
  <c r="G47" i="165" s="1"/>
  <c r="G44" i="165"/>
  <c r="E43" i="165"/>
  <c r="G43" i="165" s="1"/>
  <c r="G36" i="165"/>
  <c r="G35" i="165"/>
  <c r="G34" i="165"/>
  <c r="G33" i="165"/>
  <c r="G32" i="165"/>
  <c r="G31" i="165"/>
  <c r="G30" i="165"/>
  <c r="G29" i="165"/>
  <c r="G28" i="165"/>
  <c r="G27" i="165"/>
  <c r="G26" i="165"/>
  <c r="E25" i="165"/>
  <c r="G25" i="165" s="1"/>
  <c r="G24" i="165"/>
  <c r="G210" i="164"/>
  <c r="G208" i="164"/>
  <c r="G207" i="164"/>
  <c r="G206" i="164"/>
  <c r="G205" i="164"/>
  <c r="G204" i="164"/>
  <c r="G202" i="164"/>
  <c r="G201" i="164"/>
  <c r="G200" i="164"/>
  <c r="G198" i="164"/>
  <c r="G197" i="164"/>
  <c r="G196" i="164"/>
  <c r="G193" i="164"/>
  <c r="G192" i="164"/>
  <c r="G191" i="164"/>
  <c r="G190" i="164"/>
  <c r="G189" i="164"/>
  <c r="G188" i="164"/>
  <c r="G187" i="164"/>
  <c r="G185" i="164"/>
  <c r="G184" i="164"/>
  <c r="G183" i="164"/>
  <c r="G182" i="164"/>
  <c r="G181" i="164"/>
  <c r="G180" i="164"/>
  <c r="G179" i="164"/>
  <c r="G178" i="164"/>
  <c r="G177" i="164"/>
  <c r="G175" i="164"/>
  <c r="G174" i="164"/>
  <c r="G173" i="164"/>
  <c r="G172" i="164"/>
  <c r="G171" i="164"/>
  <c r="G170" i="164"/>
  <c r="G167" i="164"/>
  <c r="G166" i="164"/>
  <c r="G165" i="164"/>
  <c r="G164" i="164"/>
  <c r="G163" i="164"/>
  <c r="G160" i="164"/>
  <c r="G159" i="164"/>
  <c r="G158" i="164"/>
  <c r="G157" i="164"/>
  <c r="G156" i="164"/>
  <c r="G155" i="164"/>
  <c r="G154" i="164"/>
  <c r="G153" i="164"/>
  <c r="G152" i="164"/>
  <c r="G151" i="164"/>
  <c r="G150" i="164"/>
  <c r="G149" i="164"/>
  <c r="G146" i="164"/>
  <c r="G145" i="164"/>
  <c r="G144" i="164"/>
  <c r="G142" i="164"/>
  <c r="G141" i="164"/>
  <c r="G140" i="164"/>
  <c r="G139" i="164"/>
  <c r="G138" i="164"/>
  <c r="G135" i="164"/>
  <c r="G134" i="164"/>
  <c r="G133" i="164"/>
  <c r="G132" i="164"/>
  <c r="G131" i="164"/>
  <c r="G130" i="164"/>
  <c r="G129" i="164"/>
  <c r="G128" i="164"/>
  <c r="G127" i="164"/>
  <c r="G126" i="164"/>
  <c r="G124" i="164"/>
  <c r="G123" i="164"/>
  <c r="G122" i="164"/>
  <c r="G121" i="164"/>
  <c r="G120" i="164"/>
  <c r="G119" i="164"/>
  <c r="G118" i="164"/>
  <c r="G117" i="164"/>
  <c r="G114" i="164"/>
  <c r="G113" i="164"/>
  <c r="G111" i="164"/>
  <c r="E107" i="164"/>
  <c r="G107" i="164" s="1"/>
  <c r="E106" i="164"/>
  <c r="G106" i="164" s="1"/>
  <c r="E105" i="164"/>
  <c r="G105" i="164" s="1"/>
  <c r="E104" i="164"/>
  <c r="G104" i="164" s="1"/>
  <c r="G103" i="164"/>
  <c r="G102" i="164"/>
  <c r="G100" i="164"/>
  <c r="G99" i="164"/>
  <c r="G98" i="164"/>
  <c r="G97" i="164"/>
  <c r="G96" i="164"/>
  <c r="G95" i="164"/>
  <c r="G94" i="164"/>
  <c r="G93" i="164"/>
  <c r="G79" i="164"/>
  <c r="G78" i="164"/>
  <c r="G77" i="164"/>
  <c r="G76" i="164"/>
  <c r="G75" i="164"/>
  <c r="G74" i="164"/>
  <c r="G73" i="164"/>
  <c r="G72" i="164"/>
  <c r="G71" i="164"/>
  <c r="G69" i="164"/>
  <c r="G67" i="164"/>
  <c r="G66" i="164"/>
  <c r="E65" i="164"/>
  <c r="G65" i="164" s="1"/>
  <c r="G64" i="164"/>
  <c r="G63" i="164"/>
  <c r="G62" i="164"/>
  <c r="G61" i="164"/>
  <c r="G60" i="164"/>
  <c r="G59" i="164"/>
  <c r="E57" i="164"/>
  <c r="E58" i="164" s="1"/>
  <c r="G56" i="164"/>
  <c r="G55" i="164"/>
  <c r="G54" i="164"/>
  <c r="G52" i="164"/>
  <c r="G51" i="164"/>
  <c r="G50" i="164"/>
  <c r="G49" i="164"/>
  <c r="E48" i="164"/>
  <c r="G48" i="164" s="1"/>
  <c r="E47" i="164"/>
  <c r="G47" i="164" s="1"/>
  <c r="E44" i="164"/>
  <c r="G44" i="164" s="1"/>
  <c r="E43" i="164"/>
  <c r="E46" i="164" s="1"/>
  <c r="G46" i="164" s="1"/>
  <c r="G36" i="164"/>
  <c r="G35" i="164"/>
  <c r="G34" i="164"/>
  <c r="G33" i="164"/>
  <c r="G32" i="164"/>
  <c r="G31" i="164"/>
  <c r="G30" i="164"/>
  <c r="G29" i="164"/>
  <c r="G28" i="164"/>
  <c r="G27" i="164"/>
  <c r="G26" i="164"/>
  <c r="G25" i="164"/>
  <c r="G24" i="164"/>
  <c r="G256" i="163"/>
  <c r="G221" i="163"/>
  <c r="G220" i="163"/>
  <c r="G219" i="163"/>
  <c r="G218" i="163"/>
  <c r="G217" i="163"/>
  <c r="G215" i="163"/>
  <c r="G214" i="163"/>
  <c r="G213" i="163"/>
  <c r="G211" i="163"/>
  <c r="G210" i="163"/>
  <c r="G209" i="163"/>
  <c r="G207" i="163"/>
  <c r="G206" i="163"/>
  <c r="G205" i="163"/>
  <c r="G202" i="163"/>
  <c r="G201" i="163"/>
  <c r="G200" i="163"/>
  <c r="G199" i="163"/>
  <c r="G198" i="163"/>
  <c r="G197" i="163"/>
  <c r="G196" i="163"/>
  <c r="G195" i="163"/>
  <c r="G194" i="163"/>
  <c r="G192" i="163"/>
  <c r="G191" i="163"/>
  <c r="G190" i="163"/>
  <c r="G189" i="163"/>
  <c r="G188" i="163"/>
  <c r="G186" i="163"/>
  <c r="G185" i="163"/>
  <c r="G184" i="163"/>
  <c r="G183" i="163"/>
  <c r="G182" i="163"/>
  <c r="G181" i="163"/>
  <c r="G180" i="163"/>
  <c r="G179" i="163"/>
  <c r="G176" i="163"/>
  <c r="G175" i="163"/>
  <c r="G174" i="163"/>
  <c r="G173" i="163"/>
  <c r="G172" i="163"/>
  <c r="G171" i="163"/>
  <c r="G170" i="163"/>
  <c r="G169" i="163"/>
  <c r="G168" i="163"/>
  <c r="G167" i="163"/>
  <c r="G166" i="163"/>
  <c r="G165" i="163"/>
  <c r="G162" i="163"/>
  <c r="G161" i="163"/>
  <c r="G160" i="163"/>
  <c r="G159" i="163"/>
  <c r="G158" i="163"/>
  <c r="G157" i="163"/>
  <c r="G156" i="163"/>
  <c r="G155" i="163"/>
  <c r="G154" i="163"/>
  <c r="G153" i="163"/>
  <c r="G152" i="163"/>
  <c r="G151" i="163"/>
  <c r="G150" i="163"/>
  <c r="G149" i="163"/>
  <c r="G148" i="163"/>
  <c r="G147" i="163"/>
  <c r="G146" i="163"/>
  <c r="G143" i="163"/>
  <c r="G142" i="163"/>
  <c r="G141" i="163"/>
  <c r="G139" i="163"/>
  <c r="G138" i="163"/>
  <c r="G137" i="163"/>
  <c r="G136" i="163"/>
  <c r="G135" i="163"/>
  <c r="G132" i="163"/>
  <c r="G131" i="163"/>
  <c r="G130" i="163"/>
  <c r="G129" i="163"/>
  <c r="G128" i="163"/>
  <c r="G127" i="163"/>
  <c r="G126" i="163"/>
  <c r="G125" i="163"/>
  <c r="G124" i="163"/>
  <c r="G123" i="163"/>
  <c r="G121" i="163"/>
  <c r="G120" i="163"/>
  <c r="G119" i="163"/>
  <c r="G118" i="163"/>
  <c r="G117" i="163"/>
  <c r="G116" i="163"/>
  <c r="G115" i="163"/>
  <c r="G114" i="163"/>
  <c r="G111" i="163"/>
  <c r="G110" i="163"/>
  <c r="E106" i="163"/>
  <c r="G106" i="163" s="1"/>
  <c r="E105" i="163"/>
  <c r="G105" i="163" s="1"/>
  <c r="E104" i="163"/>
  <c r="G104" i="163" s="1"/>
  <c r="E103" i="163"/>
  <c r="G103" i="163" s="1"/>
  <c r="G102" i="163"/>
  <c r="G100" i="163"/>
  <c r="G99" i="163"/>
  <c r="G98" i="163"/>
  <c r="G97" i="163"/>
  <c r="G96" i="163"/>
  <c r="G95" i="163"/>
  <c r="G94" i="163"/>
  <c r="G93" i="163"/>
  <c r="G79" i="163"/>
  <c r="G78" i="163"/>
  <c r="G77" i="163"/>
  <c r="G76" i="163"/>
  <c r="G75" i="163"/>
  <c r="G74" i="163"/>
  <c r="G73" i="163"/>
  <c r="G72" i="163"/>
  <c r="G71" i="163"/>
  <c r="G69" i="163"/>
  <c r="G67" i="163"/>
  <c r="G66" i="163"/>
  <c r="E65" i="163"/>
  <c r="G65" i="163" s="1"/>
  <c r="G64" i="163"/>
  <c r="G63" i="163"/>
  <c r="G62" i="163"/>
  <c r="G61" i="163"/>
  <c r="G60" i="163"/>
  <c r="G59" i="163"/>
  <c r="E58" i="163"/>
  <c r="G58" i="163" s="1"/>
  <c r="G57" i="163"/>
  <c r="G56" i="163"/>
  <c r="G55" i="163"/>
  <c r="G54" i="163"/>
  <c r="G52" i="163"/>
  <c r="G51" i="163"/>
  <c r="G50" i="163"/>
  <c r="G49" i="163"/>
  <c r="E48" i="163"/>
  <c r="G48" i="163" s="1"/>
  <c r="E47" i="163"/>
  <c r="G47" i="163" s="1"/>
  <c r="E45" i="163"/>
  <c r="G45" i="163" s="1"/>
  <c r="G44" i="163"/>
  <c r="E43" i="163"/>
  <c r="E46" i="163" s="1"/>
  <c r="G46" i="163" s="1"/>
  <c r="G36" i="163"/>
  <c r="G35" i="163"/>
  <c r="G34" i="163"/>
  <c r="G33" i="163"/>
  <c r="G32" i="163"/>
  <c r="G31" i="163"/>
  <c r="G30" i="163"/>
  <c r="G29" i="163"/>
  <c r="G28" i="163"/>
  <c r="G27" i="163"/>
  <c r="G26" i="163"/>
  <c r="E25" i="163"/>
  <c r="G25" i="163" s="1"/>
  <c r="G24" i="163"/>
  <c r="G238" i="162"/>
  <c r="G236" i="162"/>
  <c r="G235" i="162"/>
  <c r="G234" i="162"/>
  <c r="G233" i="162"/>
  <c r="G232" i="162"/>
  <c r="G230" i="162"/>
  <c r="G229" i="162"/>
  <c r="G228" i="162"/>
  <c r="G226" i="162"/>
  <c r="G225" i="162"/>
  <c r="G224" i="162"/>
  <c r="G222" i="162"/>
  <c r="G221" i="162"/>
  <c r="G220" i="162"/>
  <c r="G217" i="162"/>
  <c r="G216" i="162"/>
  <c r="G215" i="162"/>
  <c r="G214" i="162"/>
  <c r="G213" i="162"/>
  <c r="G212" i="162"/>
  <c r="G211" i="162"/>
  <c r="G209" i="162"/>
  <c r="G208" i="162"/>
  <c r="G207" i="162"/>
  <c r="G206" i="162"/>
  <c r="G205" i="162"/>
  <c r="G204" i="162"/>
  <c r="G203" i="162"/>
  <c r="G202" i="162"/>
  <c r="G201" i="162"/>
  <c r="G199" i="162"/>
  <c r="G198" i="162"/>
  <c r="G197" i="162"/>
  <c r="G196" i="162"/>
  <c r="G195" i="162"/>
  <c r="G194" i="162"/>
  <c r="G193" i="162"/>
  <c r="G191" i="162"/>
  <c r="G190" i="162"/>
  <c r="G189" i="162"/>
  <c r="G188" i="162"/>
  <c r="G187" i="162"/>
  <c r="G185" i="162"/>
  <c r="G184" i="162"/>
  <c r="G183" i="162"/>
  <c r="G182" i="162"/>
  <c r="G181" i="162"/>
  <c r="G180" i="162"/>
  <c r="G177" i="162"/>
  <c r="G176" i="162"/>
  <c r="G175" i="162"/>
  <c r="G174" i="162"/>
  <c r="G173" i="162"/>
  <c r="G172" i="162"/>
  <c r="G171" i="162"/>
  <c r="G170" i="162"/>
  <c r="G169" i="162"/>
  <c r="G168" i="162"/>
  <c r="G167" i="162"/>
  <c r="G166" i="162"/>
  <c r="G163" i="162"/>
  <c r="G162" i="162"/>
  <c r="G161" i="162"/>
  <c r="G160" i="162"/>
  <c r="G159" i="162"/>
  <c r="G158" i="162"/>
  <c r="G157" i="162"/>
  <c r="G156" i="162"/>
  <c r="G155" i="162"/>
  <c r="G154" i="162"/>
  <c r="G153" i="162"/>
  <c r="G152" i="162"/>
  <c r="G151" i="162"/>
  <c r="G150" i="162"/>
  <c r="G149" i="162"/>
  <c r="G148" i="162"/>
  <c r="G145" i="162"/>
  <c r="G144" i="162"/>
  <c r="G143" i="162"/>
  <c r="G142" i="162"/>
  <c r="G141" i="162"/>
  <c r="G138" i="162"/>
  <c r="G137" i="162"/>
  <c r="G136" i="162"/>
  <c r="G135" i="162"/>
  <c r="G134" i="162"/>
  <c r="G133" i="162"/>
  <c r="G132" i="162"/>
  <c r="G131" i="162"/>
  <c r="G130" i="162"/>
  <c r="G129" i="162"/>
  <c r="G127" i="162"/>
  <c r="G126" i="162"/>
  <c r="G125" i="162"/>
  <c r="G124" i="162"/>
  <c r="G123" i="162"/>
  <c r="G122" i="162"/>
  <c r="G121" i="162"/>
  <c r="G120" i="162"/>
  <c r="G117" i="162"/>
  <c r="G116" i="162"/>
  <c r="G114" i="162"/>
  <c r="G113" i="162"/>
  <c r="E109" i="162"/>
  <c r="G109" i="162" s="1"/>
  <c r="E108" i="162"/>
  <c r="G108" i="162" s="1"/>
  <c r="E106" i="162"/>
  <c r="E107" i="162" s="1"/>
  <c r="G107" i="162" s="1"/>
  <c r="G105" i="162"/>
  <c r="G104" i="162"/>
  <c r="G102" i="162"/>
  <c r="G101" i="162"/>
  <c r="G100" i="162"/>
  <c r="G99" i="162"/>
  <c r="G98" i="162"/>
  <c r="G97" i="162"/>
  <c r="G96" i="162"/>
  <c r="G95" i="162"/>
  <c r="G94" i="162"/>
  <c r="G93" i="162"/>
  <c r="G79" i="162"/>
  <c r="G78" i="162"/>
  <c r="G77" i="162"/>
  <c r="G76" i="162"/>
  <c r="G75" i="162"/>
  <c r="G74" i="162"/>
  <c r="G73" i="162"/>
  <c r="G72" i="162"/>
  <c r="G70" i="162"/>
  <c r="G69" i="162"/>
  <c r="G67" i="162"/>
  <c r="G66" i="162"/>
  <c r="E65" i="162"/>
  <c r="G65" i="162" s="1"/>
  <c r="G64" i="162"/>
  <c r="G63" i="162"/>
  <c r="G62" i="162"/>
  <c r="G61" i="162"/>
  <c r="G60" i="162"/>
  <c r="G59" i="162"/>
  <c r="G58" i="162"/>
  <c r="E57" i="162"/>
  <c r="G57" i="162" s="1"/>
  <c r="G56" i="162"/>
  <c r="G55" i="162"/>
  <c r="G54" i="162"/>
  <c r="G53" i="162"/>
  <c r="G51" i="162"/>
  <c r="G50" i="162"/>
  <c r="G49" i="162"/>
  <c r="G48" i="162"/>
  <c r="E47" i="162"/>
  <c r="G47" i="162" s="1"/>
  <c r="E46" i="162"/>
  <c r="G46" i="162" s="1"/>
  <c r="E43" i="162"/>
  <c r="G43" i="162" s="1"/>
  <c r="E42" i="162"/>
  <c r="E44" i="162" s="1"/>
  <c r="G44" i="162" s="1"/>
  <c r="G35" i="162"/>
  <c r="G34" i="162"/>
  <c r="G33" i="162"/>
  <c r="G32" i="162"/>
  <c r="G31" i="162"/>
  <c r="G30" i="162"/>
  <c r="G29" i="162"/>
  <c r="G28" i="162"/>
  <c r="G27" i="162"/>
  <c r="G26" i="162"/>
  <c r="G25" i="162"/>
  <c r="G24" i="162"/>
  <c r="G206" i="161"/>
  <c r="G204" i="161"/>
  <c r="G203" i="161"/>
  <c r="G202" i="161"/>
  <c r="G200" i="161"/>
  <c r="G199" i="161"/>
  <c r="G198" i="161"/>
  <c r="G196" i="161"/>
  <c r="G195" i="161"/>
  <c r="G194" i="161"/>
  <c r="G191" i="161"/>
  <c r="G190" i="161"/>
  <c r="G189" i="161"/>
  <c r="G188" i="161"/>
  <c r="G187" i="161"/>
  <c r="G186" i="161"/>
  <c r="G185" i="161"/>
  <c r="G183" i="161"/>
  <c r="G182" i="161"/>
  <c r="G181" i="161"/>
  <c r="G180" i="161"/>
  <c r="G179" i="161"/>
  <c r="G178" i="161"/>
  <c r="G177" i="161"/>
  <c r="G176" i="161"/>
  <c r="G175" i="161"/>
  <c r="G173" i="161"/>
  <c r="G172" i="161"/>
  <c r="G171" i="161"/>
  <c r="G170" i="161"/>
  <c r="G169" i="161"/>
  <c r="G166" i="161"/>
  <c r="G165" i="161"/>
  <c r="G164" i="161"/>
  <c r="G163" i="161"/>
  <c r="G162" i="161"/>
  <c r="G161" i="161"/>
  <c r="G160" i="161"/>
  <c r="G159" i="161"/>
  <c r="G158" i="161"/>
  <c r="G157" i="161"/>
  <c r="G156" i="161"/>
  <c r="G155" i="161"/>
  <c r="G154" i="161"/>
  <c r="G153" i="161"/>
  <c r="G152" i="161"/>
  <c r="G151" i="161"/>
  <c r="G150" i="161"/>
  <c r="G148" i="161"/>
  <c r="G147" i="161"/>
  <c r="G146" i="161"/>
  <c r="G145" i="161"/>
  <c r="G144" i="161"/>
  <c r="G143" i="161"/>
  <c r="G142" i="161"/>
  <c r="G141" i="161"/>
  <c r="G140" i="161"/>
  <c r="G139" i="161"/>
  <c r="G138" i="161"/>
  <c r="G137" i="161"/>
  <c r="G136" i="161"/>
  <c r="G135" i="161"/>
  <c r="G134" i="161"/>
  <c r="G133" i="161"/>
  <c r="G130" i="161"/>
  <c r="G129" i="161"/>
  <c r="G128" i="161"/>
  <c r="G127" i="161"/>
  <c r="G126" i="161"/>
  <c r="G125" i="161"/>
  <c r="G124" i="161"/>
  <c r="G123" i="161"/>
  <c r="G122" i="161"/>
  <c r="G121" i="161"/>
  <c r="G119" i="161"/>
  <c r="G118" i="161"/>
  <c r="G117" i="161"/>
  <c r="G116" i="161"/>
  <c r="G115" i="161"/>
  <c r="G114" i="161"/>
  <c r="G113" i="161"/>
  <c r="G112" i="161"/>
  <c r="G109" i="161"/>
  <c r="G108" i="161"/>
  <c r="G106" i="161"/>
  <c r="G105" i="161"/>
  <c r="E101" i="161"/>
  <c r="G101" i="161" s="1"/>
  <c r="E100" i="161"/>
  <c r="G100" i="161" s="1"/>
  <c r="E99" i="161"/>
  <c r="G99" i="161" s="1"/>
  <c r="E98" i="161"/>
  <c r="G98" i="161" s="1"/>
  <c r="G97" i="161"/>
  <c r="G95" i="161"/>
  <c r="G94" i="161"/>
  <c r="G93" i="161"/>
  <c r="G92" i="161"/>
  <c r="G91" i="161"/>
  <c r="G90" i="161"/>
  <c r="G76" i="161"/>
  <c r="G75" i="161"/>
  <c r="G74" i="161"/>
  <c r="G73" i="161"/>
  <c r="G72" i="161"/>
  <c r="G71" i="161"/>
  <c r="G70" i="161"/>
  <c r="G69" i="161"/>
  <c r="G68" i="161"/>
  <c r="G66" i="161"/>
  <c r="G64" i="161"/>
  <c r="G63" i="161"/>
  <c r="E62" i="161"/>
  <c r="G62" i="161" s="1"/>
  <c r="G61" i="161"/>
  <c r="G60" i="161"/>
  <c r="G59" i="161"/>
  <c r="G58" i="161"/>
  <c r="E56" i="161"/>
  <c r="E57" i="161" s="1"/>
  <c r="G57" i="161" s="1"/>
  <c r="G55" i="161"/>
  <c r="G54" i="161"/>
  <c r="G53" i="161"/>
  <c r="G51" i="161"/>
  <c r="G50" i="161"/>
  <c r="E49" i="161"/>
  <c r="G49" i="161" s="1"/>
  <c r="G48" i="161"/>
  <c r="E47" i="161"/>
  <c r="G47" i="161" s="1"/>
  <c r="E46" i="161"/>
  <c r="G46" i="161" s="1"/>
  <c r="E43" i="161"/>
  <c r="G43" i="161" s="1"/>
  <c r="E42" i="161"/>
  <c r="E45" i="161" s="1"/>
  <c r="G45" i="161" s="1"/>
  <c r="G35" i="161"/>
  <c r="G34" i="161"/>
  <c r="G33" i="161"/>
  <c r="G32" i="161"/>
  <c r="G31" i="161"/>
  <c r="G30" i="161"/>
  <c r="G29" i="161"/>
  <c r="G28" i="161"/>
  <c r="G27" i="161"/>
  <c r="G26" i="161"/>
  <c r="E25" i="161"/>
  <c r="G25" i="161" s="1"/>
  <c r="G24" i="161"/>
  <c r="G229" i="160"/>
  <c r="G198" i="160"/>
  <c r="G197" i="160"/>
  <c r="G196" i="160"/>
  <c r="G195" i="160"/>
  <c r="G194" i="160"/>
  <c r="G192" i="160"/>
  <c r="G191" i="160"/>
  <c r="G190" i="160"/>
  <c r="G188" i="160"/>
  <c r="G187" i="160"/>
  <c r="G186" i="160"/>
  <c r="G183" i="160"/>
  <c r="G182" i="160"/>
  <c r="G181" i="160"/>
  <c r="G180" i="160"/>
  <c r="G179" i="160"/>
  <c r="G178" i="160"/>
  <c r="G177" i="160"/>
  <c r="G175" i="160"/>
  <c r="G174" i="160"/>
  <c r="G173" i="160"/>
  <c r="G172" i="160"/>
  <c r="G171" i="160"/>
  <c r="G168" i="160"/>
  <c r="G167" i="160"/>
  <c r="G166" i="160"/>
  <c r="G165" i="160"/>
  <c r="G164" i="160"/>
  <c r="G163" i="160"/>
  <c r="G162" i="160"/>
  <c r="G161" i="160"/>
  <c r="G160" i="160"/>
  <c r="G159" i="160"/>
  <c r="G158" i="160"/>
  <c r="G157" i="160"/>
  <c r="G156" i="160"/>
  <c r="G155" i="160"/>
  <c r="G154" i="160"/>
  <c r="G153" i="160"/>
  <c r="G152" i="160"/>
  <c r="G150" i="160"/>
  <c r="G149" i="160"/>
  <c r="G148" i="160"/>
  <c r="G147" i="160"/>
  <c r="G146" i="160"/>
  <c r="G145" i="160"/>
  <c r="G144" i="160"/>
  <c r="G143" i="160"/>
  <c r="G142" i="160"/>
  <c r="G141" i="160"/>
  <c r="G140" i="160"/>
  <c r="G139" i="160"/>
  <c r="G138" i="160"/>
  <c r="G137" i="160"/>
  <c r="G136" i="160"/>
  <c r="G135" i="160"/>
  <c r="G132" i="160"/>
  <c r="G131" i="160"/>
  <c r="G130" i="160"/>
  <c r="G129" i="160"/>
  <c r="G128" i="160"/>
  <c r="G127" i="160"/>
  <c r="G126" i="160"/>
  <c r="G125" i="160"/>
  <c r="G124" i="160"/>
  <c r="G123" i="160"/>
  <c r="G121" i="160"/>
  <c r="G120" i="160"/>
  <c r="G119" i="160"/>
  <c r="G118" i="160"/>
  <c r="G117" i="160"/>
  <c r="G116" i="160"/>
  <c r="G115" i="160"/>
  <c r="G114" i="160"/>
  <c r="G111" i="160"/>
  <c r="G110" i="160"/>
  <c r="G108" i="160"/>
  <c r="G107" i="160"/>
  <c r="E103" i="160"/>
  <c r="G103" i="160" s="1"/>
  <c r="E102" i="160"/>
  <c r="G102" i="160" s="1"/>
  <c r="E101" i="160"/>
  <c r="G101" i="160" s="1"/>
  <c r="E100" i="160"/>
  <c r="G100" i="160" s="1"/>
  <c r="G99" i="160"/>
  <c r="G98" i="160"/>
  <c r="G96" i="160"/>
  <c r="G95" i="160"/>
  <c r="G94" i="160"/>
  <c r="G93" i="160"/>
  <c r="G92" i="160"/>
  <c r="G91" i="160"/>
  <c r="G90" i="160"/>
  <c r="G89" i="160"/>
  <c r="G75" i="160"/>
  <c r="G74" i="160"/>
  <c r="G73" i="160"/>
  <c r="G72" i="160"/>
  <c r="G71" i="160"/>
  <c r="G70" i="160"/>
  <c r="G69" i="160"/>
  <c r="G68" i="160"/>
  <c r="G67" i="160"/>
  <c r="G65" i="160"/>
  <c r="G64" i="160"/>
  <c r="E63" i="160"/>
  <c r="G63" i="160" s="1"/>
  <c r="G62" i="160"/>
  <c r="G61" i="160"/>
  <c r="G60" i="160"/>
  <c r="G59" i="160"/>
  <c r="G58" i="160"/>
  <c r="G57" i="160"/>
  <c r="E55" i="160"/>
  <c r="E56" i="160" s="1"/>
  <c r="G56" i="160" s="1"/>
  <c r="G54" i="160"/>
  <c r="G53" i="160"/>
  <c r="G52" i="160"/>
  <c r="G50" i="160"/>
  <c r="G49" i="160"/>
  <c r="G48" i="160"/>
  <c r="G47" i="160"/>
  <c r="E46" i="160"/>
  <c r="G46" i="160" s="1"/>
  <c r="E45" i="160"/>
  <c r="G45" i="160" s="1"/>
  <c r="E42" i="160"/>
  <c r="G42" i="160" s="1"/>
  <c r="E41" i="160"/>
  <c r="G41" i="160" s="1"/>
  <c r="G34" i="160"/>
  <c r="G33" i="160"/>
  <c r="G32" i="160"/>
  <c r="G31" i="160"/>
  <c r="G30" i="160"/>
  <c r="G29" i="160"/>
  <c r="G28" i="160"/>
  <c r="G27" i="160"/>
  <c r="G26" i="160"/>
  <c r="E25" i="160"/>
  <c r="G25" i="160" s="1"/>
  <c r="G24" i="160"/>
  <c r="G162" i="159"/>
  <c r="G160" i="159"/>
  <c r="G159" i="159"/>
  <c r="G158" i="159"/>
  <c r="G157" i="159"/>
  <c r="G155" i="159"/>
  <c r="G154" i="159"/>
  <c r="G153" i="159"/>
  <c r="G150" i="159"/>
  <c r="G149" i="159"/>
  <c r="G148" i="159"/>
  <c r="G147" i="159"/>
  <c r="G146" i="159"/>
  <c r="G145" i="159"/>
  <c r="G144" i="159"/>
  <c r="G141" i="159"/>
  <c r="G140" i="159"/>
  <c r="G139" i="159"/>
  <c r="G138" i="159"/>
  <c r="G137" i="159"/>
  <c r="G136" i="159"/>
  <c r="G135" i="159"/>
  <c r="G134" i="159"/>
  <c r="G133" i="159"/>
  <c r="G132" i="159"/>
  <c r="G131" i="159"/>
  <c r="G130" i="159"/>
  <c r="G129" i="159"/>
  <c r="G128" i="159"/>
  <c r="G127" i="159"/>
  <c r="G126" i="159"/>
  <c r="G125" i="159"/>
  <c r="G122" i="159"/>
  <c r="G121" i="159"/>
  <c r="G120" i="159"/>
  <c r="G117" i="159"/>
  <c r="G116" i="159"/>
  <c r="G115" i="159"/>
  <c r="G114" i="159"/>
  <c r="G113" i="159"/>
  <c r="G112" i="159"/>
  <c r="G111" i="159"/>
  <c r="G110" i="159"/>
  <c r="G109" i="159"/>
  <c r="G108" i="159"/>
  <c r="G105" i="159"/>
  <c r="G104" i="159"/>
  <c r="E100" i="159"/>
  <c r="G100" i="159" s="1"/>
  <c r="E99" i="159"/>
  <c r="G99" i="159" s="1"/>
  <c r="E98" i="159"/>
  <c r="G98" i="159" s="1"/>
  <c r="E97" i="159"/>
  <c r="G97" i="159" s="1"/>
  <c r="G96" i="159"/>
  <c r="G95" i="159"/>
  <c r="G93" i="159"/>
  <c r="G92" i="159"/>
  <c r="G91" i="159"/>
  <c r="G90" i="159"/>
  <c r="G89" i="159"/>
  <c r="G88" i="159"/>
  <c r="G74" i="159"/>
  <c r="G73" i="159"/>
  <c r="G72" i="159"/>
  <c r="G71" i="159"/>
  <c r="G70" i="159"/>
  <c r="G69" i="159"/>
  <c r="G68" i="159"/>
  <c r="G67" i="159"/>
  <c r="G65" i="159"/>
  <c r="G64" i="159"/>
  <c r="E63" i="159"/>
  <c r="G63" i="159" s="1"/>
  <c r="G62" i="159"/>
  <c r="G61" i="159"/>
  <c r="G60" i="159"/>
  <c r="G59" i="159"/>
  <c r="G58" i="159"/>
  <c r="G57" i="159"/>
  <c r="E55" i="159"/>
  <c r="E56" i="159" s="1"/>
  <c r="G56" i="159" s="1"/>
  <c r="G54" i="159"/>
  <c r="G53" i="159"/>
  <c r="G52" i="159"/>
  <c r="G50" i="159"/>
  <c r="G49" i="159"/>
  <c r="G48" i="159"/>
  <c r="G47" i="159"/>
  <c r="E46" i="159"/>
  <c r="G46" i="159" s="1"/>
  <c r="E45" i="159"/>
  <c r="G45" i="159" s="1"/>
  <c r="E42" i="159"/>
  <c r="G42" i="159" s="1"/>
  <c r="E41" i="159"/>
  <c r="E44" i="159" s="1"/>
  <c r="G44" i="159" s="1"/>
  <c r="G34" i="159"/>
  <c r="G33" i="159"/>
  <c r="G32" i="159"/>
  <c r="G31" i="159"/>
  <c r="G30" i="159"/>
  <c r="G29" i="159"/>
  <c r="G28" i="159"/>
  <c r="G27" i="159"/>
  <c r="G26" i="159"/>
  <c r="E25" i="159"/>
  <c r="G25" i="159" s="1"/>
  <c r="G24" i="159"/>
  <c r="G286" i="158"/>
  <c r="G284" i="158"/>
  <c r="G283" i="158"/>
  <c r="G282" i="158"/>
  <c r="G281" i="158"/>
  <c r="G279" i="158"/>
  <c r="G278" i="158"/>
  <c r="G277" i="158"/>
  <c r="G275" i="158"/>
  <c r="G274" i="158"/>
  <c r="G273" i="158"/>
  <c r="G271" i="158"/>
  <c r="G270" i="158"/>
  <c r="G269" i="158"/>
  <c r="G267" i="158"/>
  <c r="G266" i="158"/>
  <c r="G265" i="158"/>
  <c r="G263" i="158"/>
  <c r="G262" i="158"/>
  <c r="G261" i="158"/>
  <c r="G258" i="158"/>
  <c r="G257" i="158"/>
  <c r="G256" i="158"/>
  <c r="G255" i="158"/>
  <c r="G254" i="158"/>
  <c r="G253" i="158"/>
  <c r="G252" i="158"/>
  <c r="G250" i="158"/>
  <c r="G249" i="158"/>
  <c r="G248" i="158"/>
  <c r="G247" i="158"/>
  <c r="G246" i="158"/>
  <c r="G245" i="158"/>
  <c r="G244" i="158"/>
  <c r="G243" i="158"/>
  <c r="G242" i="158"/>
  <c r="G240" i="158"/>
  <c r="G239" i="158"/>
  <c r="G238" i="158"/>
  <c r="G237" i="158"/>
  <c r="G236" i="158"/>
  <c r="G234" i="158"/>
  <c r="G233" i="158"/>
  <c r="G232" i="158"/>
  <c r="G231" i="158"/>
  <c r="G230" i="158"/>
  <c r="G229" i="158"/>
  <c r="G226" i="158"/>
  <c r="G225" i="158"/>
  <c r="G224" i="158"/>
  <c r="G223" i="158"/>
  <c r="G222" i="158"/>
  <c r="G219" i="158"/>
  <c r="G218" i="158"/>
  <c r="G217" i="158"/>
  <c r="G216" i="158"/>
  <c r="G215" i="158"/>
  <c r="G214" i="158"/>
  <c r="G213" i="158"/>
  <c r="G212" i="158"/>
  <c r="G211" i="158"/>
  <c r="G210" i="158"/>
  <c r="G209" i="158"/>
  <c r="G208" i="158"/>
  <c r="G206" i="158"/>
  <c r="G205" i="158"/>
  <c r="G204" i="158"/>
  <c r="G203" i="158"/>
  <c r="G202" i="158"/>
  <c r="G201" i="158"/>
  <c r="G200" i="158"/>
  <c r="G199" i="158"/>
  <c r="G198" i="158"/>
  <c r="G197" i="158"/>
  <c r="G196" i="158"/>
  <c r="G193" i="158"/>
  <c r="G192" i="158"/>
  <c r="G191" i="158"/>
  <c r="G190" i="158"/>
  <c r="G189" i="158"/>
  <c r="G188" i="158"/>
  <c r="G187" i="158"/>
  <c r="G186" i="158"/>
  <c r="G185" i="158"/>
  <c r="G184" i="158"/>
  <c r="G183" i="158"/>
  <c r="G182" i="158"/>
  <c r="G181" i="158"/>
  <c r="G180" i="158"/>
  <c r="G179" i="158"/>
  <c r="G178" i="158"/>
  <c r="G176" i="158"/>
  <c r="G175" i="158"/>
  <c r="G174" i="158"/>
  <c r="G173" i="158"/>
  <c r="G172" i="158"/>
  <c r="G171" i="158"/>
  <c r="G170" i="158"/>
  <c r="G169" i="158"/>
  <c r="G168" i="158"/>
  <c r="G167" i="158"/>
  <c r="G166" i="158"/>
  <c r="G165" i="158"/>
  <c r="G164" i="158"/>
  <c r="G163" i="158"/>
  <c r="G162" i="158"/>
  <c r="G161" i="158"/>
  <c r="G158" i="158"/>
  <c r="G157" i="158"/>
  <c r="G156" i="158"/>
  <c r="G155" i="158"/>
  <c r="G154" i="158"/>
  <c r="G151" i="158"/>
  <c r="G150" i="158"/>
  <c r="G149" i="158"/>
  <c r="G148" i="158"/>
  <c r="G147" i="158"/>
  <c r="G146" i="158"/>
  <c r="G145" i="158"/>
  <c r="G144" i="158"/>
  <c r="G143" i="158"/>
  <c r="G142" i="158"/>
  <c r="G140" i="158"/>
  <c r="G139" i="158"/>
  <c r="G138" i="158"/>
  <c r="G137" i="158"/>
  <c r="G136" i="158"/>
  <c r="G135" i="158"/>
  <c r="G134" i="158"/>
  <c r="G133" i="158"/>
  <c r="G131" i="158"/>
  <c r="G130" i="158"/>
  <c r="G129" i="158"/>
  <c r="G128" i="158"/>
  <c r="G127" i="158"/>
  <c r="G126" i="158"/>
  <c r="G125" i="158"/>
  <c r="G124" i="158"/>
  <c r="G121" i="158"/>
  <c r="G120" i="158"/>
  <c r="G118" i="158"/>
  <c r="G117" i="158"/>
  <c r="G115" i="158"/>
  <c r="G114" i="158"/>
  <c r="E110" i="158"/>
  <c r="G110" i="158" s="1"/>
  <c r="E109" i="158"/>
  <c r="G109" i="158" s="1"/>
  <c r="E108" i="158"/>
  <c r="G108" i="158" s="1"/>
  <c r="E107" i="158"/>
  <c r="G107" i="158" s="1"/>
  <c r="G106" i="158"/>
  <c r="G105" i="158"/>
  <c r="G103" i="158"/>
  <c r="G102" i="158"/>
  <c r="G101" i="158"/>
  <c r="G100" i="158"/>
  <c r="G99" i="158"/>
  <c r="G98" i="158"/>
  <c r="G97" i="158"/>
  <c r="G96" i="158"/>
  <c r="G95" i="158"/>
  <c r="G94" i="158"/>
  <c r="G80" i="158"/>
  <c r="G79" i="158"/>
  <c r="G78" i="158"/>
  <c r="G77" i="158"/>
  <c r="G76" i="158"/>
  <c r="G75" i="158"/>
  <c r="G74" i="158"/>
  <c r="G73" i="158"/>
  <c r="G72" i="158"/>
  <c r="G70" i="158"/>
  <c r="G69" i="158"/>
  <c r="G67" i="158"/>
  <c r="G66" i="158"/>
  <c r="E65" i="158"/>
  <c r="G65" i="158" s="1"/>
  <c r="G64" i="158"/>
  <c r="G63" i="158"/>
  <c r="G62" i="158"/>
  <c r="G61" i="158"/>
  <c r="G60" i="158"/>
  <c r="G59" i="158"/>
  <c r="G58" i="158"/>
  <c r="E57" i="158"/>
  <c r="G57" i="158" s="1"/>
  <c r="G56" i="158"/>
  <c r="G55" i="158"/>
  <c r="G54" i="158"/>
  <c r="G53" i="158"/>
  <c r="G51" i="158"/>
  <c r="G50" i="158"/>
  <c r="G49" i="158"/>
  <c r="G48" i="158"/>
  <c r="E48" i="158"/>
  <c r="G47" i="158"/>
  <c r="E46" i="158"/>
  <c r="G46" i="158" s="1"/>
  <c r="E45" i="158"/>
  <c r="G45" i="158" s="1"/>
  <c r="E42" i="158"/>
  <c r="G42" i="158" s="1"/>
  <c r="E41" i="158"/>
  <c r="E43" i="158" s="1"/>
  <c r="G43" i="158" s="1"/>
  <c r="G34" i="158"/>
  <c r="G33" i="158"/>
  <c r="G32" i="158"/>
  <c r="G31" i="158"/>
  <c r="G30" i="158"/>
  <c r="G29" i="158"/>
  <c r="G28" i="158"/>
  <c r="G27" i="158"/>
  <c r="G26" i="158"/>
  <c r="E25" i="158"/>
  <c r="G25" i="158" s="1"/>
  <c r="G24" i="158"/>
  <c r="G188" i="157"/>
  <c r="G186" i="157"/>
  <c r="G185" i="157"/>
  <c r="G184" i="157"/>
  <c r="G183" i="157"/>
  <c r="G181" i="157"/>
  <c r="G180" i="157"/>
  <c r="G179" i="157"/>
  <c r="G177" i="157"/>
  <c r="G176" i="157"/>
  <c r="G175" i="157"/>
  <c r="G172" i="157"/>
  <c r="G171" i="157"/>
  <c r="G170" i="157"/>
  <c r="G169" i="157"/>
  <c r="G168" i="157"/>
  <c r="G167" i="157"/>
  <c r="G166" i="157"/>
  <c r="G165" i="157"/>
  <c r="G164" i="157"/>
  <c r="G161" i="157"/>
  <c r="G160" i="157"/>
  <c r="G159" i="157"/>
  <c r="G158" i="157"/>
  <c r="G157" i="157"/>
  <c r="G154" i="157"/>
  <c r="G153" i="157"/>
  <c r="G152" i="157"/>
  <c r="G151" i="157"/>
  <c r="G150" i="157"/>
  <c r="G149" i="157"/>
  <c r="G148" i="157"/>
  <c r="G147" i="157"/>
  <c r="G146" i="157"/>
  <c r="G145" i="157"/>
  <c r="G144" i="157"/>
  <c r="G143" i="157"/>
  <c r="G140" i="157"/>
  <c r="G139" i="157"/>
  <c r="G138" i="157"/>
  <c r="G137" i="157"/>
  <c r="G136" i="157"/>
  <c r="G133" i="157"/>
  <c r="G132" i="157"/>
  <c r="G131" i="157"/>
  <c r="G130" i="157"/>
  <c r="G129" i="157"/>
  <c r="G128" i="157"/>
  <c r="G127" i="157"/>
  <c r="G126" i="157"/>
  <c r="G125" i="157"/>
  <c r="G124" i="157"/>
  <c r="G122" i="157"/>
  <c r="G121" i="157"/>
  <c r="G120" i="157"/>
  <c r="G119" i="157"/>
  <c r="G118" i="157"/>
  <c r="G117" i="157"/>
  <c r="G116" i="157"/>
  <c r="G115" i="157"/>
  <c r="G112" i="157"/>
  <c r="G111" i="157"/>
  <c r="G109" i="157"/>
  <c r="G108" i="157"/>
  <c r="E104" i="157"/>
  <c r="G104" i="157" s="1"/>
  <c r="E103" i="157"/>
  <c r="G103" i="157" s="1"/>
  <c r="E102" i="157"/>
  <c r="G102" i="157" s="1"/>
  <c r="E101" i="157"/>
  <c r="G101" i="157" s="1"/>
  <c r="G100" i="157"/>
  <c r="G99" i="157"/>
  <c r="G97" i="157"/>
  <c r="G96" i="157"/>
  <c r="G95" i="157"/>
  <c r="G94" i="157"/>
  <c r="G93" i="157"/>
  <c r="G92" i="157"/>
  <c r="G91" i="157"/>
  <c r="G90" i="157"/>
  <c r="G76" i="157"/>
  <c r="G75" i="157"/>
  <c r="G74" i="157"/>
  <c r="G73" i="157"/>
  <c r="G72" i="157"/>
  <c r="G71" i="157"/>
  <c r="G70" i="157"/>
  <c r="G69" i="157"/>
  <c r="G67" i="157"/>
  <c r="G65" i="157"/>
  <c r="G64" i="157"/>
  <c r="E63" i="157"/>
  <c r="G63" i="157" s="1"/>
  <c r="G62" i="157"/>
  <c r="G61" i="157"/>
  <c r="G60" i="157"/>
  <c r="G59" i="157"/>
  <c r="G58" i="157"/>
  <c r="G57" i="157"/>
  <c r="E55" i="157"/>
  <c r="E56" i="157" s="1"/>
  <c r="G56" i="157" s="1"/>
  <c r="G54" i="157"/>
  <c r="G53" i="157"/>
  <c r="G52" i="157"/>
  <c r="G50" i="157"/>
  <c r="G49" i="157"/>
  <c r="G48" i="157"/>
  <c r="G47" i="157"/>
  <c r="E47" i="157"/>
  <c r="E46" i="157"/>
  <c r="G46" i="157" s="1"/>
  <c r="G45" i="157"/>
  <c r="E45" i="157"/>
  <c r="E43" i="157"/>
  <c r="G43" i="157" s="1"/>
  <c r="E42" i="157"/>
  <c r="G42" i="157" s="1"/>
  <c r="E41" i="157"/>
  <c r="G41" i="157" s="1"/>
  <c r="G34" i="157"/>
  <c r="G33" i="157"/>
  <c r="G32" i="157"/>
  <c r="G31" i="157"/>
  <c r="G30" i="157"/>
  <c r="G29" i="157"/>
  <c r="G28" i="157"/>
  <c r="G27" i="157"/>
  <c r="G26" i="157"/>
  <c r="E25" i="157"/>
  <c r="G25" i="157" s="1"/>
  <c r="G24" i="157"/>
  <c r="G143" i="156"/>
  <c r="G141" i="156"/>
  <c r="G140" i="156"/>
  <c r="G139" i="156"/>
  <c r="G138" i="156"/>
  <c r="G136" i="156"/>
  <c r="G135" i="156"/>
  <c r="G134" i="156"/>
  <c r="G131" i="156"/>
  <c r="G130" i="156"/>
  <c r="G129" i="156"/>
  <c r="G128" i="156"/>
  <c r="G127" i="156"/>
  <c r="G126" i="156"/>
  <c r="G125" i="156"/>
  <c r="G122" i="156"/>
  <c r="G121" i="156"/>
  <c r="G120" i="156"/>
  <c r="G117" i="156"/>
  <c r="G116" i="156"/>
  <c r="G115" i="156"/>
  <c r="G114" i="156"/>
  <c r="G113" i="156"/>
  <c r="G112" i="156"/>
  <c r="G111" i="156"/>
  <c r="G110" i="156"/>
  <c r="G109" i="156"/>
  <c r="G108" i="156"/>
  <c r="G105" i="156"/>
  <c r="G104" i="156"/>
  <c r="E100" i="156"/>
  <c r="G100" i="156" s="1"/>
  <c r="E99" i="156"/>
  <c r="G99" i="156" s="1"/>
  <c r="E98" i="156"/>
  <c r="G98" i="156" s="1"/>
  <c r="E97" i="156"/>
  <c r="G97" i="156" s="1"/>
  <c r="G96" i="156"/>
  <c r="G95" i="156"/>
  <c r="G93" i="156"/>
  <c r="G92" i="156"/>
  <c r="G91" i="156"/>
  <c r="G90" i="156"/>
  <c r="G89" i="156"/>
  <c r="G88" i="156"/>
  <c r="G74" i="156"/>
  <c r="G73" i="156"/>
  <c r="G72" i="156"/>
  <c r="G71" i="156"/>
  <c r="G70" i="156"/>
  <c r="G69" i="156"/>
  <c r="G68" i="156"/>
  <c r="G67" i="156"/>
  <c r="G65" i="156"/>
  <c r="G64" i="156"/>
  <c r="G63" i="156"/>
  <c r="G62" i="156"/>
  <c r="G61" i="156"/>
  <c r="G60" i="156"/>
  <c r="G59" i="156"/>
  <c r="G58" i="156"/>
  <c r="G57" i="156"/>
  <c r="E55" i="156"/>
  <c r="E56" i="156" s="1"/>
  <c r="G56" i="156" s="1"/>
  <c r="G54" i="156"/>
  <c r="G53" i="156"/>
  <c r="G52" i="156"/>
  <c r="G50" i="156"/>
  <c r="G49" i="156"/>
  <c r="G48" i="156"/>
  <c r="G47" i="156"/>
  <c r="E46" i="156"/>
  <c r="G46" i="156" s="1"/>
  <c r="E45" i="156"/>
  <c r="G45" i="156" s="1"/>
  <c r="E42" i="156"/>
  <c r="G42" i="156" s="1"/>
  <c r="E41" i="156"/>
  <c r="G41" i="156" s="1"/>
  <c r="G34" i="156"/>
  <c r="G33" i="156"/>
  <c r="G32" i="156"/>
  <c r="G31" i="156"/>
  <c r="G30" i="156"/>
  <c r="G29" i="156"/>
  <c r="G28" i="156"/>
  <c r="G27" i="156"/>
  <c r="G26" i="156"/>
  <c r="G25" i="156"/>
  <c r="E25" i="156"/>
  <c r="G24" i="156"/>
  <c r="G346" i="155"/>
  <c r="G316" i="155"/>
  <c r="G315" i="155"/>
  <c r="G314" i="155"/>
  <c r="G312" i="155"/>
  <c r="G311" i="155"/>
  <c r="G310" i="155"/>
  <c r="G308" i="155"/>
  <c r="G307" i="155"/>
  <c r="G306" i="155"/>
  <c r="G304" i="155"/>
  <c r="G303" i="155"/>
  <c r="G302" i="155"/>
  <c r="G300" i="155"/>
  <c r="G299" i="155"/>
  <c r="G298" i="155"/>
  <c r="G295" i="155"/>
  <c r="G294" i="155"/>
  <c r="G293" i="155"/>
  <c r="G292" i="155"/>
  <c r="G291" i="155"/>
  <c r="G290" i="155"/>
  <c r="G289" i="155"/>
  <c r="G287" i="155"/>
  <c r="G286" i="155"/>
  <c r="G285" i="155"/>
  <c r="G284" i="155"/>
  <c r="G283" i="155"/>
  <c r="G281" i="155"/>
  <c r="G280" i="155"/>
  <c r="G279" i="155"/>
  <c r="G278" i="155"/>
  <c r="G277" i="155"/>
  <c r="G276" i="155"/>
  <c r="G275" i="155"/>
  <c r="G274" i="155"/>
  <c r="G273" i="155"/>
  <c r="G271" i="155"/>
  <c r="G270" i="155"/>
  <c r="G269" i="155"/>
  <c r="G268" i="155"/>
  <c r="G267" i="155"/>
  <c r="G266" i="155"/>
  <c r="G265" i="155"/>
  <c r="G263" i="155"/>
  <c r="G262" i="155"/>
  <c r="G261" i="155"/>
  <c r="G260" i="155"/>
  <c r="G259" i="155"/>
  <c r="G257" i="155"/>
  <c r="G256" i="155"/>
  <c r="G255" i="155"/>
  <c r="G254" i="155"/>
  <c r="G253" i="155"/>
  <c r="G252" i="155"/>
  <c r="G251" i="155"/>
  <c r="G250" i="155"/>
  <c r="G249" i="155"/>
  <c r="G247" i="155"/>
  <c r="G246" i="155"/>
  <c r="G245" i="155"/>
  <c r="G244" i="155"/>
  <c r="G243" i="155"/>
  <c r="G242" i="155"/>
  <c r="G241" i="155"/>
  <c r="G239" i="155"/>
  <c r="G238" i="155"/>
  <c r="G237" i="155"/>
  <c r="G236" i="155"/>
  <c r="G235" i="155"/>
  <c r="G234" i="155"/>
  <c r="G231" i="155"/>
  <c r="G230" i="155"/>
  <c r="G229" i="155"/>
  <c r="G228" i="155"/>
  <c r="G227" i="155"/>
  <c r="G225" i="155"/>
  <c r="G224" i="155"/>
  <c r="G223" i="155"/>
  <c r="G222" i="155"/>
  <c r="G221" i="155"/>
  <c r="G218" i="155"/>
  <c r="G217" i="155"/>
  <c r="G216" i="155"/>
  <c r="G215" i="155"/>
  <c r="G214" i="155"/>
  <c r="G213" i="155"/>
  <c r="G212" i="155"/>
  <c r="G211" i="155"/>
  <c r="G210" i="155"/>
  <c r="G209" i="155"/>
  <c r="G208" i="155"/>
  <c r="G207" i="155"/>
  <c r="G205" i="155"/>
  <c r="G204" i="155"/>
  <c r="G203" i="155"/>
  <c r="G202" i="155"/>
  <c r="G201" i="155"/>
  <c r="G200" i="155"/>
  <c r="G199" i="155"/>
  <c r="G198" i="155"/>
  <c r="G197" i="155"/>
  <c r="G196" i="155"/>
  <c r="G195" i="155"/>
  <c r="G192" i="155"/>
  <c r="G191" i="155"/>
  <c r="G190" i="155"/>
  <c r="G189" i="155"/>
  <c r="G188" i="155"/>
  <c r="G187" i="155"/>
  <c r="G186" i="155"/>
  <c r="G185" i="155"/>
  <c r="G184" i="155"/>
  <c r="G183" i="155"/>
  <c r="G182" i="155"/>
  <c r="G181" i="155"/>
  <c r="G180" i="155"/>
  <c r="G179" i="155"/>
  <c r="G178" i="155"/>
  <c r="G177" i="155"/>
  <c r="G175" i="155"/>
  <c r="G174" i="155"/>
  <c r="G173" i="155"/>
  <c r="G172" i="155"/>
  <c r="G171" i="155"/>
  <c r="G170" i="155"/>
  <c r="G169" i="155"/>
  <c r="G168" i="155"/>
  <c r="G167" i="155"/>
  <c r="G166" i="155"/>
  <c r="G165" i="155"/>
  <c r="G164" i="155"/>
  <c r="G163" i="155"/>
  <c r="G162" i="155"/>
  <c r="G161" i="155"/>
  <c r="G160" i="155"/>
  <c r="G157" i="155"/>
  <c r="G156" i="155"/>
  <c r="G155" i="155"/>
  <c r="G154" i="155"/>
  <c r="G153" i="155"/>
  <c r="G151" i="155"/>
  <c r="G150" i="155"/>
  <c r="G149" i="155"/>
  <c r="G148" i="155"/>
  <c r="G147" i="155"/>
  <c r="G144" i="155"/>
  <c r="G143" i="155"/>
  <c r="G142" i="155"/>
  <c r="G141" i="155"/>
  <c r="G140" i="155"/>
  <c r="G139" i="155"/>
  <c r="G138" i="155"/>
  <c r="G137" i="155"/>
  <c r="G135" i="155"/>
  <c r="G134" i="155"/>
  <c r="G133" i="155"/>
  <c r="G132" i="155"/>
  <c r="G131" i="155"/>
  <c r="G130" i="155"/>
  <c r="G129" i="155"/>
  <c r="G128" i="155"/>
  <c r="G125" i="155"/>
  <c r="G124" i="155"/>
  <c r="G122" i="155"/>
  <c r="G121" i="155"/>
  <c r="E117" i="155"/>
  <c r="G117" i="155" s="1"/>
  <c r="E116" i="155"/>
  <c r="G116" i="155" s="1"/>
  <c r="E115" i="155"/>
  <c r="G115" i="155" s="1"/>
  <c r="E114" i="155"/>
  <c r="G114" i="155" s="1"/>
  <c r="G113" i="155"/>
  <c r="G112" i="155"/>
  <c r="G111" i="155"/>
  <c r="G110" i="155"/>
  <c r="G108" i="155"/>
  <c r="G107" i="155"/>
  <c r="G106" i="155"/>
  <c r="G105" i="155"/>
  <c r="G104" i="155"/>
  <c r="G103" i="155"/>
  <c r="G102" i="155"/>
  <c r="G101" i="155"/>
  <c r="G100" i="155"/>
  <c r="G99" i="155"/>
  <c r="G98" i="155"/>
  <c r="G97" i="155"/>
  <c r="G83" i="155"/>
  <c r="G82" i="155"/>
  <c r="G81" i="155"/>
  <c r="G80" i="155"/>
  <c r="G79" i="155"/>
  <c r="G78" i="155"/>
  <c r="G77" i="155"/>
  <c r="G76" i="155"/>
  <c r="G75" i="155"/>
  <c r="G73" i="155"/>
  <c r="G72" i="155"/>
  <c r="G70" i="155"/>
  <c r="G69" i="155"/>
  <c r="G67" i="155"/>
  <c r="G66" i="155"/>
  <c r="E65" i="155"/>
  <c r="G65" i="155" s="1"/>
  <c r="G64" i="155"/>
  <c r="G63" i="155"/>
  <c r="G62" i="155"/>
  <c r="G61" i="155"/>
  <c r="G60" i="155"/>
  <c r="G59" i="155"/>
  <c r="G58" i="155"/>
  <c r="E57" i="155"/>
  <c r="G57" i="155" s="1"/>
  <c r="I56" i="155"/>
  <c r="G56" i="155"/>
  <c r="G55" i="155"/>
  <c r="G54" i="155"/>
  <c r="G53" i="155"/>
  <c r="G51" i="155"/>
  <c r="G50" i="155"/>
  <c r="G49" i="155"/>
  <c r="G48" i="155"/>
  <c r="E47" i="155"/>
  <c r="G47" i="155" s="1"/>
  <c r="E46" i="155"/>
  <c r="G46" i="155" s="1"/>
  <c r="E43" i="155"/>
  <c r="G43" i="155" s="1"/>
  <c r="E42" i="155"/>
  <c r="E45" i="155" s="1"/>
  <c r="G45" i="155" s="1"/>
  <c r="G35" i="155"/>
  <c r="G34" i="155"/>
  <c r="G33" i="155"/>
  <c r="G32" i="155"/>
  <c r="G31" i="155"/>
  <c r="G30" i="155"/>
  <c r="G29" i="155"/>
  <c r="G28" i="155"/>
  <c r="G27" i="155"/>
  <c r="G26" i="155"/>
  <c r="E25" i="155"/>
  <c r="G25" i="155" s="1"/>
  <c r="G24" i="155"/>
  <c r="G250" i="154"/>
  <c r="G188" i="154"/>
  <c r="G187" i="154"/>
  <c r="G186" i="154"/>
  <c r="G184" i="154"/>
  <c r="G183" i="154"/>
  <c r="G182" i="154"/>
  <c r="G180" i="154"/>
  <c r="G179" i="154"/>
  <c r="G178" i="154"/>
  <c r="G175" i="154"/>
  <c r="G174" i="154"/>
  <c r="G173" i="154"/>
  <c r="G172" i="154"/>
  <c r="G171" i="154"/>
  <c r="G170" i="154"/>
  <c r="G169" i="154"/>
  <c r="G168" i="154"/>
  <c r="G167" i="154"/>
  <c r="G165" i="154"/>
  <c r="G164" i="154"/>
  <c r="G163" i="154"/>
  <c r="G162" i="154"/>
  <c r="G161" i="154"/>
  <c r="G160" i="154"/>
  <c r="G159" i="154"/>
  <c r="G157" i="154"/>
  <c r="G156" i="154"/>
  <c r="G155" i="154"/>
  <c r="G154" i="154"/>
  <c r="G153" i="154"/>
  <c r="G150" i="154"/>
  <c r="G149" i="154"/>
  <c r="G148" i="154"/>
  <c r="G147" i="154"/>
  <c r="G146" i="154"/>
  <c r="G143" i="154"/>
  <c r="G142" i="154"/>
  <c r="G141" i="154"/>
  <c r="G140" i="154"/>
  <c r="G139" i="154"/>
  <c r="G138" i="154"/>
  <c r="G137" i="154"/>
  <c r="G136" i="154"/>
  <c r="G135" i="154"/>
  <c r="G134" i="154"/>
  <c r="G133" i="154"/>
  <c r="G132" i="154"/>
  <c r="G131" i="154"/>
  <c r="G130" i="154"/>
  <c r="G129" i="154"/>
  <c r="G128" i="154"/>
  <c r="G125" i="154"/>
  <c r="G124" i="154"/>
  <c r="G123" i="154"/>
  <c r="G122" i="154"/>
  <c r="G121" i="154"/>
  <c r="G120" i="154"/>
  <c r="G119" i="154"/>
  <c r="G118" i="154"/>
  <c r="G115" i="154"/>
  <c r="G114" i="154"/>
  <c r="G112" i="154"/>
  <c r="G111" i="154"/>
  <c r="E107" i="154"/>
  <c r="G107" i="154" s="1"/>
  <c r="E106" i="154"/>
  <c r="G106" i="154" s="1"/>
  <c r="E105" i="154"/>
  <c r="G105" i="154" s="1"/>
  <c r="E104" i="154"/>
  <c r="G104" i="154" s="1"/>
  <c r="G103" i="154"/>
  <c r="G102" i="154"/>
  <c r="G101" i="154"/>
  <c r="G99" i="154"/>
  <c r="G98" i="154"/>
  <c r="G97" i="154"/>
  <c r="G96" i="154"/>
  <c r="G95" i="154"/>
  <c r="G94" i="154"/>
  <c r="G93" i="154"/>
  <c r="G92" i="154"/>
  <c r="G78" i="154"/>
  <c r="G77" i="154"/>
  <c r="G76" i="154"/>
  <c r="G75" i="154"/>
  <c r="G74" i="154"/>
  <c r="G73" i="154"/>
  <c r="G72" i="154"/>
  <c r="G71" i="154"/>
  <c r="G70" i="154"/>
  <c r="G69" i="154"/>
  <c r="G67" i="154"/>
  <c r="G66" i="154"/>
  <c r="E65" i="154"/>
  <c r="G65" i="154" s="1"/>
  <c r="G64" i="154"/>
  <c r="G63" i="154"/>
  <c r="G62" i="154"/>
  <c r="G61" i="154"/>
  <c r="G60" i="154"/>
  <c r="G59" i="154"/>
  <c r="G58" i="154"/>
  <c r="E57" i="154"/>
  <c r="G57" i="154" s="1"/>
  <c r="G56" i="154"/>
  <c r="G55" i="154"/>
  <c r="G54" i="154"/>
  <c r="G53" i="154"/>
  <c r="G51" i="154"/>
  <c r="G50" i="154"/>
  <c r="E49" i="154"/>
  <c r="G49" i="154" s="1"/>
  <c r="G48" i="154"/>
  <c r="E47" i="154"/>
  <c r="G47" i="154" s="1"/>
  <c r="E46" i="154"/>
  <c r="G46" i="154" s="1"/>
  <c r="E43" i="154"/>
  <c r="G43" i="154" s="1"/>
  <c r="E42" i="154"/>
  <c r="E44" i="154" s="1"/>
  <c r="G44" i="154" s="1"/>
  <c r="G35" i="154"/>
  <c r="G34" i="154"/>
  <c r="G33" i="154"/>
  <c r="G32" i="154"/>
  <c r="G31" i="154"/>
  <c r="G30" i="154"/>
  <c r="G29" i="154"/>
  <c r="G28" i="154"/>
  <c r="G27" i="154"/>
  <c r="G26" i="154"/>
  <c r="E25" i="154"/>
  <c r="G25" i="154" s="1"/>
  <c r="G24" i="154"/>
  <c r="G187" i="153"/>
  <c r="G185" i="153"/>
  <c r="G184" i="153"/>
  <c r="G183" i="153"/>
  <c r="G182" i="153"/>
  <c r="G180" i="153"/>
  <c r="G179" i="153"/>
  <c r="G178" i="153"/>
  <c r="G176" i="153"/>
  <c r="G175" i="153"/>
  <c r="G174" i="153"/>
  <c r="G171" i="153"/>
  <c r="G170" i="153"/>
  <c r="G169" i="153"/>
  <c r="G168" i="153"/>
  <c r="G167" i="153"/>
  <c r="G166" i="153"/>
  <c r="G165" i="153"/>
  <c r="G164" i="153"/>
  <c r="G163" i="153"/>
  <c r="G161" i="153"/>
  <c r="G160" i="153"/>
  <c r="G159" i="153"/>
  <c r="G158" i="153"/>
  <c r="G157" i="153"/>
  <c r="G155" i="153"/>
  <c r="G154" i="153"/>
  <c r="G153" i="153"/>
  <c r="G152" i="153"/>
  <c r="G151" i="153"/>
  <c r="G150" i="153"/>
  <c r="G147" i="153"/>
  <c r="G146" i="153"/>
  <c r="G145" i="153"/>
  <c r="G144" i="153"/>
  <c r="G141" i="153"/>
  <c r="G140" i="153"/>
  <c r="G139" i="153"/>
  <c r="G138" i="153"/>
  <c r="G137" i="153"/>
  <c r="G136" i="153"/>
  <c r="G135" i="153"/>
  <c r="G134" i="153"/>
  <c r="G133" i="153"/>
  <c r="G132" i="153"/>
  <c r="G131" i="153"/>
  <c r="G130" i="153"/>
  <c r="G129" i="153"/>
  <c r="G128" i="153"/>
  <c r="G127" i="153"/>
  <c r="G126" i="153"/>
  <c r="G123" i="153"/>
  <c r="G122" i="153"/>
  <c r="G121" i="153"/>
  <c r="G120" i="153"/>
  <c r="G119" i="153"/>
  <c r="G118" i="153"/>
  <c r="G117" i="153"/>
  <c r="G116" i="153"/>
  <c r="G113" i="153"/>
  <c r="G112" i="153"/>
  <c r="E108" i="153"/>
  <c r="G108" i="153" s="1"/>
  <c r="E107" i="153"/>
  <c r="G107" i="153" s="1"/>
  <c r="E106" i="153"/>
  <c r="G106" i="153" s="1"/>
  <c r="E105" i="153"/>
  <c r="G105" i="153" s="1"/>
  <c r="G104" i="153"/>
  <c r="G103" i="153"/>
  <c r="G102" i="153"/>
  <c r="G100" i="153"/>
  <c r="G99" i="153"/>
  <c r="G98" i="153"/>
  <c r="G97" i="153"/>
  <c r="G96" i="153"/>
  <c r="G95" i="153"/>
  <c r="G94" i="153"/>
  <c r="G93" i="153"/>
  <c r="G79" i="153"/>
  <c r="G78" i="153"/>
  <c r="G77" i="153"/>
  <c r="G76" i="153"/>
  <c r="G75" i="153"/>
  <c r="G74" i="153"/>
  <c r="G73" i="153"/>
  <c r="G72" i="153"/>
  <c r="G70" i="153"/>
  <c r="G69" i="153"/>
  <c r="G67" i="153"/>
  <c r="G66" i="153"/>
  <c r="E65" i="153"/>
  <c r="G65" i="153" s="1"/>
  <c r="G64" i="153"/>
  <c r="G63" i="153"/>
  <c r="G62" i="153"/>
  <c r="G61" i="153"/>
  <c r="G60" i="153"/>
  <c r="G59" i="153"/>
  <c r="G58" i="153"/>
  <c r="E56" i="153"/>
  <c r="G56" i="153" s="1"/>
  <c r="G55" i="153"/>
  <c r="G54" i="153"/>
  <c r="G53" i="153"/>
  <c r="G51" i="153"/>
  <c r="G50" i="153"/>
  <c r="G49" i="153"/>
  <c r="E48" i="153"/>
  <c r="G48" i="153" s="1"/>
  <c r="E47" i="153"/>
  <c r="G47" i="153" s="1"/>
  <c r="E46" i="153"/>
  <c r="G46" i="153" s="1"/>
  <c r="G43" i="153"/>
  <c r="E42" i="153"/>
  <c r="E44" i="153" s="1"/>
  <c r="G44" i="153" s="1"/>
  <c r="G35" i="153"/>
  <c r="G34" i="153"/>
  <c r="G33" i="153"/>
  <c r="G32" i="153"/>
  <c r="G31" i="153"/>
  <c r="G30" i="153"/>
  <c r="G29" i="153"/>
  <c r="G28" i="153"/>
  <c r="G27" i="153"/>
  <c r="G26" i="153"/>
  <c r="G25" i="153"/>
  <c r="G24" i="153"/>
  <c r="G220" i="152"/>
  <c r="G218" i="152"/>
  <c r="G217" i="152"/>
  <c r="G216" i="152"/>
  <c r="G214" i="152"/>
  <c r="G213" i="152"/>
  <c r="G212" i="152"/>
  <c r="G210" i="152"/>
  <c r="G209" i="152"/>
  <c r="G208" i="152"/>
  <c r="G205" i="152"/>
  <c r="G204" i="152"/>
  <c r="G203" i="152"/>
  <c r="G202" i="152"/>
  <c r="G201" i="152"/>
  <c r="G200" i="152"/>
  <c r="G199" i="152"/>
  <c r="G197" i="152"/>
  <c r="G196" i="152"/>
  <c r="G195" i="152"/>
  <c r="G194" i="152"/>
  <c r="G193" i="152"/>
  <c r="G192" i="152"/>
  <c r="G191" i="152"/>
  <c r="G190" i="152"/>
  <c r="G188" i="152"/>
  <c r="G187" i="152"/>
  <c r="G186" i="152"/>
  <c r="G185" i="152"/>
  <c r="G184" i="152"/>
  <c r="G183" i="152"/>
  <c r="G181" i="152"/>
  <c r="G180" i="152"/>
  <c r="G179" i="152"/>
  <c r="G178" i="152"/>
  <c r="G177" i="152"/>
  <c r="G176" i="152"/>
  <c r="G174" i="152"/>
  <c r="G173" i="152"/>
  <c r="G172" i="152"/>
  <c r="G171" i="152"/>
  <c r="G168" i="152"/>
  <c r="G167" i="152"/>
  <c r="G166" i="152"/>
  <c r="G165" i="152"/>
  <c r="G164" i="152"/>
  <c r="G161" i="152"/>
  <c r="G160" i="152"/>
  <c r="G159" i="152"/>
  <c r="G158" i="152"/>
  <c r="G157" i="152"/>
  <c r="G156" i="152"/>
  <c r="G155" i="152"/>
  <c r="G154" i="152"/>
  <c r="G153" i="152"/>
  <c r="G152" i="152"/>
  <c r="G151" i="152"/>
  <c r="G148" i="152"/>
  <c r="G147" i="152"/>
  <c r="G146" i="152"/>
  <c r="G145" i="152"/>
  <c r="G144" i="152"/>
  <c r="G143" i="152"/>
  <c r="G142" i="152"/>
  <c r="G141" i="152"/>
  <c r="G140" i="152"/>
  <c r="G139" i="152"/>
  <c r="G138" i="152"/>
  <c r="G137" i="152"/>
  <c r="G136" i="152"/>
  <c r="G135" i="152"/>
  <c r="G134" i="152"/>
  <c r="G131" i="152"/>
  <c r="G130" i="152"/>
  <c r="G129" i="152"/>
  <c r="G128" i="152"/>
  <c r="G127" i="152"/>
  <c r="G124" i="152"/>
  <c r="G123" i="152"/>
  <c r="G122" i="152"/>
  <c r="G121" i="152"/>
  <c r="G120" i="152"/>
  <c r="G119" i="152"/>
  <c r="G118" i="152"/>
  <c r="G115" i="152"/>
  <c r="G113" i="152"/>
  <c r="G112" i="152"/>
  <c r="G111" i="152"/>
  <c r="G110" i="152"/>
  <c r="G109" i="152"/>
  <c r="E102" i="152"/>
  <c r="E105" i="152" s="1"/>
  <c r="G105" i="152" s="1"/>
  <c r="G101" i="152"/>
  <c r="G100" i="152"/>
  <c r="G98" i="152"/>
  <c r="G97" i="152"/>
  <c r="G96" i="152"/>
  <c r="G95" i="152"/>
  <c r="G94" i="152"/>
  <c r="G93" i="152"/>
  <c r="G92" i="152"/>
  <c r="G91" i="152"/>
  <c r="G77" i="152"/>
  <c r="G76" i="152"/>
  <c r="G75" i="152"/>
  <c r="G74" i="152"/>
  <c r="G73" i="152"/>
  <c r="G72" i="152"/>
  <c r="G71" i="152"/>
  <c r="G70" i="152"/>
  <c r="G68" i="152"/>
  <c r="G67" i="152"/>
  <c r="G65" i="152"/>
  <c r="G64" i="152"/>
  <c r="G63" i="152"/>
  <c r="G62" i="152"/>
  <c r="G61" i="152"/>
  <c r="G60" i="152"/>
  <c r="G59" i="152"/>
  <c r="G58" i="152"/>
  <c r="G57" i="152"/>
  <c r="E56" i="152"/>
  <c r="G56" i="152" s="1"/>
  <c r="G55" i="152"/>
  <c r="G54" i="152"/>
  <c r="G53" i="152"/>
  <c r="G52" i="152"/>
  <c r="G50" i="152"/>
  <c r="G49" i="152"/>
  <c r="E48" i="152"/>
  <c r="G48" i="152" s="1"/>
  <c r="G47" i="152"/>
  <c r="E46" i="152"/>
  <c r="G46" i="152" s="1"/>
  <c r="E45" i="152"/>
  <c r="G45" i="152" s="1"/>
  <c r="G44" i="152"/>
  <c r="G43" i="152"/>
  <c r="E42" i="152"/>
  <c r="G42" i="152" s="1"/>
  <c r="G41" i="152"/>
  <c r="G34" i="152"/>
  <c r="G33" i="152"/>
  <c r="G32" i="152"/>
  <c r="G31" i="152"/>
  <c r="G30" i="152"/>
  <c r="G29" i="152"/>
  <c r="G28" i="152"/>
  <c r="G27" i="152"/>
  <c r="G26" i="152"/>
  <c r="G25" i="152"/>
  <c r="G24" i="152"/>
  <c r="G35" i="152" s="1"/>
  <c r="G15" i="152" s="1"/>
  <c r="G56" i="161" l="1"/>
  <c r="G43" i="164"/>
  <c r="E45" i="164"/>
  <c r="G45" i="164" s="1"/>
  <c r="G43" i="168"/>
  <c r="G43" i="166"/>
  <c r="I59" i="165"/>
  <c r="G58" i="165"/>
  <c r="G57" i="165"/>
  <c r="E45" i="165"/>
  <c r="G45" i="165" s="1"/>
  <c r="E46" i="165"/>
  <c r="G46" i="165" s="1"/>
  <c r="G55" i="159"/>
  <c r="E43" i="159"/>
  <c r="G43" i="159" s="1"/>
  <c r="E44" i="158"/>
  <c r="G44" i="158" s="1"/>
  <c r="G55" i="157"/>
  <c r="E44" i="157"/>
  <c r="G44" i="157" s="1"/>
  <c r="E44" i="155"/>
  <c r="G44" i="155" s="1"/>
  <c r="E45" i="153"/>
  <c r="G45" i="153" s="1"/>
  <c r="E104" i="152"/>
  <c r="G104" i="152" s="1"/>
  <c r="E44" i="167"/>
  <c r="G44" i="167" s="1"/>
  <c r="G130" i="170"/>
  <c r="G213" i="170"/>
  <c r="G17" i="170" s="1"/>
  <c r="G399" i="170"/>
  <c r="G348" i="171"/>
  <c r="G124" i="171"/>
  <c r="G43" i="163"/>
  <c r="G80" i="163" s="1"/>
  <c r="G16" i="163" s="1"/>
  <c r="G37" i="166"/>
  <c r="G15" i="166" s="1"/>
  <c r="E45" i="166"/>
  <c r="G45" i="166" s="1"/>
  <c r="E57" i="153"/>
  <c r="G57" i="153" s="1"/>
  <c r="G36" i="161"/>
  <c r="G15" i="161" s="1"/>
  <c r="G37" i="164"/>
  <c r="G15" i="164" s="1"/>
  <c r="G419" i="171"/>
  <c r="G379" i="171"/>
  <c r="G366" i="171"/>
  <c r="G331" i="171"/>
  <c r="G276" i="171"/>
  <c r="G214" i="171"/>
  <c r="G167" i="171"/>
  <c r="G17" i="171" s="1"/>
  <c r="G94" i="171"/>
  <c r="G78" i="171"/>
  <c r="G66" i="171"/>
  <c r="G53" i="171"/>
  <c r="G32" i="171"/>
  <c r="G15" i="171" s="1"/>
  <c r="G450" i="170"/>
  <c r="G429" i="170"/>
  <c r="G415" i="170"/>
  <c r="G380" i="170"/>
  <c r="G324" i="170"/>
  <c r="G100" i="170"/>
  <c r="G84" i="170"/>
  <c r="G73" i="170"/>
  <c r="G60" i="170"/>
  <c r="G36" i="170"/>
  <c r="G15" i="170" s="1"/>
  <c r="G78" i="169"/>
  <c r="G16" i="169" s="1"/>
  <c r="G37" i="169"/>
  <c r="G15" i="169" s="1"/>
  <c r="G229" i="168"/>
  <c r="G17" i="168" s="1"/>
  <c r="G37" i="168"/>
  <c r="G15" i="168" s="1"/>
  <c r="G82" i="165"/>
  <c r="G16" i="165" s="1"/>
  <c r="G37" i="165"/>
  <c r="G15" i="165" s="1"/>
  <c r="G36" i="162"/>
  <c r="G15" i="162" s="1"/>
  <c r="G35" i="159"/>
  <c r="G15" i="159" s="1"/>
  <c r="G35" i="158"/>
  <c r="G15" i="158" s="1"/>
  <c r="G189" i="157"/>
  <c r="G17" i="157" s="1"/>
  <c r="G77" i="157"/>
  <c r="G16" i="157" s="1"/>
  <c r="G35" i="157"/>
  <c r="G15" i="157" s="1"/>
  <c r="G35" i="156"/>
  <c r="G15" i="156" s="1"/>
  <c r="G347" i="155"/>
  <c r="G17" i="155" s="1"/>
  <c r="G36" i="154"/>
  <c r="G15" i="154" s="1"/>
  <c r="G188" i="153"/>
  <c r="G17" i="153" s="1"/>
  <c r="G36" i="153"/>
  <c r="G15" i="153" s="1"/>
  <c r="G78" i="152"/>
  <c r="G16" i="152" s="1"/>
  <c r="G36" i="167"/>
  <c r="G15" i="167" s="1"/>
  <c r="G163" i="159"/>
  <c r="G17" i="159" s="1"/>
  <c r="G260" i="170"/>
  <c r="G400" i="171"/>
  <c r="G183" i="167"/>
  <c r="G17" i="167" s="1"/>
  <c r="G251" i="154"/>
  <c r="G17" i="154" s="1"/>
  <c r="G144" i="156"/>
  <c r="G17" i="156" s="1"/>
  <c r="G287" i="158"/>
  <c r="G17" i="158" s="1"/>
  <c r="G189" i="166"/>
  <c r="G17" i="166" s="1"/>
  <c r="G78" i="168"/>
  <c r="G16" i="168" s="1"/>
  <c r="G470" i="170"/>
  <c r="G35" i="160"/>
  <c r="G15" i="160" s="1"/>
  <c r="G207" i="161"/>
  <c r="G17" i="161" s="1"/>
  <c r="G230" i="160"/>
  <c r="G17" i="160" s="1"/>
  <c r="G37" i="163"/>
  <c r="G15" i="163" s="1"/>
  <c r="G211" i="164"/>
  <c r="G17" i="164" s="1"/>
  <c r="G241" i="165"/>
  <c r="G17" i="165" s="1"/>
  <c r="G36" i="155"/>
  <c r="G15" i="155" s="1"/>
  <c r="G257" i="163"/>
  <c r="G17" i="163" s="1"/>
  <c r="G58" i="164"/>
  <c r="I62" i="164"/>
  <c r="G173" i="169"/>
  <c r="G17" i="169" s="1"/>
  <c r="G42" i="153"/>
  <c r="G80" i="153" s="1"/>
  <c r="G16" i="153" s="1"/>
  <c r="E45" i="154"/>
  <c r="G45" i="154" s="1"/>
  <c r="J57" i="157"/>
  <c r="K59" i="157" s="1"/>
  <c r="E43" i="160"/>
  <c r="G43" i="160" s="1"/>
  <c r="G55" i="160"/>
  <c r="G42" i="161"/>
  <c r="E45" i="162"/>
  <c r="G45" i="162" s="1"/>
  <c r="G42" i="155"/>
  <c r="G84" i="155" s="1"/>
  <c r="G16" i="155" s="1"/>
  <c r="E43" i="156"/>
  <c r="G43" i="156" s="1"/>
  <c r="G55" i="156"/>
  <c r="G41" i="159"/>
  <c r="G75" i="159" s="1"/>
  <c r="G16" i="159" s="1"/>
  <c r="I58" i="162"/>
  <c r="I61" i="162" s="1"/>
  <c r="G57" i="164"/>
  <c r="G80" i="164" s="1"/>
  <c r="G16" i="164" s="1"/>
  <c r="G57" i="166"/>
  <c r="G78" i="166" s="1"/>
  <c r="G16" i="166" s="1"/>
  <c r="G102" i="152"/>
  <c r="E44" i="160"/>
  <c r="G44" i="160" s="1"/>
  <c r="G42" i="167"/>
  <c r="G79" i="167" s="1"/>
  <c r="G16" i="167" s="1"/>
  <c r="E103" i="152"/>
  <c r="G103" i="152" s="1"/>
  <c r="G42" i="154"/>
  <c r="G79" i="154" s="1"/>
  <c r="G16" i="154" s="1"/>
  <c r="E44" i="156"/>
  <c r="G44" i="156" s="1"/>
  <c r="G41" i="158"/>
  <c r="G81" i="158" s="1"/>
  <c r="G16" i="158" s="1"/>
  <c r="E44" i="161"/>
  <c r="G44" i="161" s="1"/>
  <c r="G42" i="162"/>
  <c r="G80" i="162" s="1"/>
  <c r="G16" i="162" s="1"/>
  <c r="G106" i="162"/>
  <c r="G239" i="162" s="1"/>
  <c r="G17" i="162" s="1"/>
  <c r="G381" i="171" l="1"/>
  <c r="G18" i="171" s="1"/>
  <c r="G421" i="171"/>
  <c r="G19" i="171" s="1"/>
  <c r="G75" i="156"/>
  <c r="G16" i="156" s="1"/>
  <c r="G18" i="156" s="1"/>
  <c r="G21" i="151" s="1"/>
  <c r="G472" i="170"/>
  <c r="G19" i="170" s="1"/>
  <c r="G431" i="170"/>
  <c r="G18" i="170" s="1"/>
  <c r="G126" i="171"/>
  <c r="G16" i="171" s="1"/>
  <c r="G132" i="170"/>
  <c r="G16" i="170" s="1"/>
  <c r="G18" i="164"/>
  <c r="G39" i="151" s="1"/>
  <c r="G18" i="169"/>
  <c r="G30" i="151" s="1"/>
  <c r="G18" i="168"/>
  <c r="G29" i="151" s="1"/>
  <c r="G18" i="166"/>
  <c r="G28" i="151" s="1"/>
  <c r="G18" i="165"/>
  <c r="G27" i="151" s="1"/>
  <c r="G76" i="160"/>
  <c r="G16" i="160" s="1"/>
  <c r="G18" i="160" s="1"/>
  <c r="G25" i="151" s="1"/>
  <c r="G18" i="159"/>
  <c r="G24" i="151" s="1"/>
  <c r="G18" i="158"/>
  <c r="G23" i="151" s="1"/>
  <c r="G18" i="157"/>
  <c r="G22" i="151" s="1"/>
  <c r="G18" i="154"/>
  <c r="G19" i="151" s="1"/>
  <c r="G18" i="153"/>
  <c r="G18" i="151" s="1"/>
  <c r="G221" i="152"/>
  <c r="G17" i="152" s="1"/>
  <c r="G18" i="152" s="1"/>
  <c r="G17" i="151" s="1"/>
  <c r="G18" i="167"/>
  <c r="G14" i="151" s="1"/>
  <c r="G18" i="162"/>
  <c r="G26" i="151" s="1"/>
  <c r="G77" i="161"/>
  <c r="G16" i="161" s="1"/>
  <c r="G18" i="161" s="1"/>
  <c r="G40" i="151" s="1"/>
  <c r="G18" i="163"/>
  <c r="G38" i="151" s="1"/>
  <c r="G18" i="155"/>
  <c r="G20" i="151" s="1"/>
  <c r="G15" i="151" l="1"/>
  <c r="G34" i="25" s="1"/>
  <c r="G41" i="151"/>
  <c r="G20" i="171"/>
  <c r="G32" i="151" s="1"/>
  <c r="G20" i="170"/>
  <c r="G31" i="151" s="1"/>
  <c r="G158" i="86" l="1"/>
  <c r="G157" i="86"/>
  <c r="G156" i="86"/>
  <c r="G155" i="86"/>
  <c r="E153" i="86"/>
  <c r="G153" i="86" s="1"/>
  <c r="E152" i="86"/>
  <c r="G152" i="86" s="1"/>
  <c r="G128" i="86"/>
  <c r="G126" i="86"/>
  <c r="G124" i="86"/>
  <c r="G122" i="86"/>
  <c r="G120" i="86"/>
  <c r="E118" i="86"/>
  <c r="G118" i="86" s="1"/>
  <c r="E116" i="86"/>
  <c r="G116" i="86" s="1"/>
  <c r="E114" i="86"/>
  <c r="G114" i="86" s="1"/>
  <c r="E112" i="86"/>
  <c r="G112" i="86" s="1"/>
  <c r="G110" i="86"/>
  <c r="G108" i="86"/>
  <c r="G106" i="86"/>
  <c r="G104" i="86"/>
  <c r="G102" i="86"/>
  <c r="G100" i="86"/>
  <c r="E98" i="86"/>
  <c r="G98" i="86" s="1"/>
  <c r="G96" i="86"/>
  <c r="E94" i="86"/>
  <c r="G94" i="86" s="1"/>
  <c r="G92" i="86"/>
  <c r="G90" i="86"/>
  <c r="E88" i="86"/>
  <c r="G88" i="86" s="1"/>
  <c r="G86" i="86"/>
  <c r="G84" i="86"/>
  <c r="E82" i="86"/>
  <c r="G82" i="86" s="1"/>
  <c r="G80" i="86"/>
  <c r="G78" i="86"/>
  <c r="G76" i="86"/>
  <c r="E74" i="86"/>
  <c r="G74" i="86" s="1"/>
  <c r="G72" i="86"/>
  <c r="G70" i="86"/>
  <c r="E68" i="86"/>
  <c r="G68" i="86" s="1"/>
  <c r="G66" i="86"/>
  <c r="G64" i="86"/>
  <c r="G62" i="86"/>
  <c r="G60" i="86"/>
  <c r="G58" i="86"/>
  <c r="B58" i="86"/>
  <c r="B60" i="86" s="1"/>
  <c r="B62" i="86" s="1"/>
  <c r="B64" i="86" s="1"/>
  <c r="B66" i="86" s="1"/>
  <c r="B68" i="86" s="1"/>
  <c r="B70" i="86" s="1"/>
  <c r="B72" i="86" s="1"/>
  <c r="B74" i="86" s="1"/>
  <c r="B76" i="86" s="1"/>
  <c r="B78" i="86" s="1"/>
  <c r="B80" i="86" s="1"/>
  <c r="B82" i="86" s="1"/>
  <c r="B84" i="86" s="1"/>
  <c r="B86" i="86" s="1"/>
  <c r="B88" i="86" s="1"/>
  <c r="B90" i="86" s="1"/>
  <c r="B92" i="86" s="1"/>
  <c r="B94" i="86" s="1"/>
  <c r="B96" i="86" s="1"/>
  <c r="B98" i="86" s="1"/>
  <c r="B100" i="86" s="1"/>
  <c r="B102" i="86" s="1"/>
  <c r="B104" i="86" s="1"/>
  <c r="B106" i="86" s="1"/>
  <c r="B108" i="86" s="1"/>
  <c r="B110" i="86" s="1"/>
  <c r="B112" i="86" s="1"/>
  <c r="B114" i="86" s="1"/>
  <c r="B116" i="86" s="1"/>
  <c r="B118" i="86" s="1"/>
  <c r="B120" i="86" s="1"/>
  <c r="B122" i="86" s="1"/>
  <c r="B124" i="86" s="1"/>
  <c r="B126" i="86" s="1"/>
  <c r="B128" i="86" s="1"/>
  <c r="G45" i="86"/>
  <c r="G43" i="86"/>
  <c r="G41" i="86"/>
  <c r="G39" i="86"/>
  <c r="G37" i="86"/>
  <c r="B37" i="86"/>
  <c r="B39" i="86" s="1"/>
  <c r="B41" i="86" s="1"/>
  <c r="G35" i="86"/>
  <c r="G33" i="86"/>
  <c r="E31" i="86"/>
  <c r="G31" i="86" s="1"/>
  <c r="G25" i="86"/>
  <c r="G157" i="85"/>
  <c r="G154" i="85"/>
  <c r="G153" i="85"/>
  <c r="G120" i="85"/>
  <c r="G117" i="85"/>
  <c r="G114" i="85"/>
  <c r="G113" i="85"/>
  <c r="G112" i="85"/>
  <c r="G111" i="85"/>
  <c r="E84" i="85"/>
  <c r="G84" i="85" s="1"/>
  <c r="E70" i="85"/>
  <c r="G70" i="85" s="1"/>
  <c r="E68" i="85"/>
  <c r="G68" i="85" s="1"/>
  <c r="E64" i="85"/>
  <c r="G64" i="85" s="1"/>
  <c r="E62" i="85"/>
  <c r="G62" i="85" s="1"/>
  <c r="E60" i="85"/>
  <c r="G60" i="85" s="1"/>
  <c r="E58" i="85"/>
  <c r="G24" i="85"/>
  <c r="G131" i="84"/>
  <c r="G128" i="84"/>
  <c r="G127" i="84"/>
  <c r="G126" i="84"/>
  <c r="G125" i="84"/>
  <c r="G123" i="84"/>
  <c r="G122" i="84"/>
  <c r="G121" i="84"/>
  <c r="G120" i="84"/>
  <c r="E96" i="84"/>
  <c r="G96" i="84" s="1"/>
  <c r="E93" i="84"/>
  <c r="G93" i="84" s="1"/>
  <c r="E85" i="84"/>
  <c r="G85" i="84" s="1"/>
  <c r="E75" i="84"/>
  <c r="E71" i="84"/>
  <c r="G71" i="84" s="1"/>
  <c r="E69" i="84"/>
  <c r="G69" i="84" s="1"/>
  <c r="E65" i="84"/>
  <c r="G65" i="84" s="1"/>
  <c r="E63" i="84"/>
  <c r="G63" i="84" s="1"/>
  <c r="E61" i="84"/>
  <c r="G61" i="84" s="1"/>
  <c r="E59" i="84"/>
  <c r="G59" i="84" s="1"/>
  <c r="E55" i="84"/>
  <c r="G55" i="84" s="1"/>
  <c r="G24" i="84"/>
  <c r="E103" i="83"/>
  <c r="G103" i="83" s="1"/>
  <c r="E96" i="83"/>
  <c r="G96" i="83" s="1"/>
  <c r="E80" i="83"/>
  <c r="G80" i="83" s="1"/>
  <c r="E76" i="83"/>
  <c r="G76" i="83" s="1"/>
  <c r="E74" i="83"/>
  <c r="G74" i="83" s="1"/>
  <c r="E70" i="83"/>
  <c r="G70" i="83" s="1"/>
  <c r="E68" i="83"/>
  <c r="G68" i="83" s="1"/>
  <c r="E66" i="83"/>
  <c r="G66" i="83" s="1"/>
  <c r="E64" i="83"/>
  <c r="G64" i="83" s="1"/>
  <c r="G24" i="83"/>
  <c r="G299" i="82"/>
  <c r="G296" i="82"/>
  <c r="G295" i="82"/>
  <c r="G294" i="82"/>
  <c r="G292" i="82"/>
  <c r="G291" i="82"/>
  <c r="G290" i="82"/>
  <c r="G288" i="82"/>
  <c r="G287" i="82"/>
  <c r="G131" i="82"/>
  <c r="G130" i="82"/>
  <c r="G129" i="82"/>
  <c r="G128" i="82"/>
  <c r="G126" i="82"/>
  <c r="G125" i="82"/>
  <c r="G124" i="82"/>
  <c r="G123" i="82"/>
  <c r="G122" i="82"/>
  <c r="G24" i="82"/>
  <c r="G124" i="81"/>
  <c r="G123" i="81"/>
  <c r="G122" i="81"/>
  <c r="G121" i="81"/>
  <c r="G119" i="81"/>
  <c r="G118" i="81"/>
  <c r="G117" i="81"/>
  <c r="G116" i="81"/>
  <c r="G27" i="81"/>
  <c r="G25" i="81"/>
  <c r="G276" i="80"/>
  <c r="G273" i="80"/>
  <c r="G272" i="80"/>
  <c r="G271" i="80"/>
  <c r="G269" i="80"/>
  <c r="G268" i="80"/>
  <c r="G267" i="80"/>
  <c r="G134" i="80"/>
  <c r="G133" i="80"/>
  <c r="G132" i="80"/>
  <c r="G131" i="80"/>
  <c r="G129" i="80"/>
  <c r="G126" i="80"/>
  <c r="G125" i="80"/>
  <c r="G124" i="80"/>
  <c r="G123" i="80"/>
  <c r="G122" i="80"/>
  <c r="G25" i="80"/>
  <c r="G201" i="79"/>
  <c r="G435" i="79" s="1"/>
  <c r="G18" i="79" s="1"/>
  <c r="G114" i="79"/>
  <c r="G113" i="79"/>
  <c r="G112" i="79"/>
  <c r="G111" i="79"/>
  <c r="G110" i="79"/>
  <c r="G109" i="79"/>
  <c r="G108" i="79"/>
  <c r="G107" i="79"/>
  <c r="G106" i="79"/>
  <c r="G105" i="79"/>
  <c r="G104" i="79"/>
  <c r="G103" i="79"/>
  <c r="G102" i="79"/>
  <c r="G101" i="79"/>
  <c r="G100" i="79"/>
  <c r="G93" i="79"/>
  <c r="G92" i="79"/>
  <c r="G87" i="79"/>
  <c r="G86" i="79"/>
  <c r="G85" i="79"/>
  <c r="G84" i="79"/>
  <c r="G83" i="79"/>
  <c r="G76" i="79"/>
  <c r="G75" i="79"/>
  <c r="G74" i="79"/>
  <c r="G73" i="79"/>
  <c r="G66" i="79"/>
  <c r="G65" i="79"/>
  <c r="G63" i="79"/>
  <c r="G62" i="79"/>
  <c r="G61" i="79"/>
  <c r="G60" i="79"/>
  <c r="G53" i="79"/>
  <c r="G52" i="79"/>
  <c r="G51" i="79"/>
  <c r="G50" i="79"/>
  <c r="G49" i="79"/>
  <c r="G48" i="79"/>
  <c r="G47" i="79"/>
  <c r="G46" i="79"/>
  <c r="G45" i="79"/>
  <c r="G44" i="79"/>
  <c r="G43" i="79"/>
  <c r="G42" i="79"/>
  <c r="G41" i="79"/>
  <c r="G40" i="79"/>
  <c r="G39" i="79"/>
  <c r="G38" i="79"/>
  <c r="G30" i="79"/>
  <c r="G29" i="79"/>
  <c r="G28" i="79"/>
  <c r="G27" i="79"/>
  <c r="G26" i="79"/>
  <c r="G25" i="79"/>
  <c r="G190" i="78"/>
  <c r="G189" i="78"/>
  <c r="G188" i="78"/>
  <c r="G187" i="78"/>
  <c r="G186" i="78"/>
  <c r="G185" i="78"/>
  <c r="G184" i="78"/>
  <c r="G183" i="78"/>
  <c r="G182" i="78"/>
  <c r="G181" i="78"/>
  <c r="G180" i="78"/>
  <c r="G179" i="78"/>
  <c r="G178" i="78"/>
  <c r="G177" i="78"/>
  <c r="G174" i="78"/>
  <c r="G173" i="78"/>
  <c r="G172" i="78"/>
  <c r="G171" i="78"/>
  <c r="G170" i="78"/>
  <c r="G169" i="78"/>
  <c r="G168" i="78"/>
  <c r="G167" i="78"/>
  <c r="G166" i="78"/>
  <c r="G165" i="78"/>
  <c r="G164" i="78"/>
  <c r="G163" i="78"/>
  <c r="G162" i="78"/>
  <c r="G159" i="78"/>
  <c r="G158" i="78"/>
  <c r="G157" i="78"/>
  <c r="G156" i="78"/>
  <c r="G155" i="78"/>
  <c r="G154" i="78"/>
  <c r="G153" i="78"/>
  <c r="G152" i="78"/>
  <c r="G151" i="78"/>
  <c r="G148" i="78"/>
  <c r="G123" i="78"/>
  <c r="G122" i="78"/>
  <c r="G121" i="78"/>
  <c r="G120" i="78"/>
  <c r="G119" i="78"/>
  <c r="G118" i="78"/>
  <c r="G117" i="78"/>
  <c r="G116" i="78"/>
  <c r="G115" i="78"/>
  <c r="G114" i="78"/>
  <c r="G113" i="78"/>
  <c r="G112" i="78"/>
  <c r="G111" i="78"/>
  <c r="G110" i="78"/>
  <c r="G108" i="78"/>
  <c r="G107" i="78"/>
  <c r="G106" i="78"/>
  <c r="G105" i="78"/>
  <c r="G98" i="78"/>
  <c r="G97" i="78"/>
  <c r="G95" i="78"/>
  <c r="G94" i="78"/>
  <c r="G93" i="78"/>
  <c r="G92" i="78"/>
  <c r="G91" i="78"/>
  <c r="G90" i="78"/>
  <c r="G89" i="78"/>
  <c r="G88" i="78"/>
  <c r="G87" i="78"/>
  <c r="G86" i="78"/>
  <c r="G79" i="78"/>
  <c r="G78" i="78"/>
  <c r="G76" i="78"/>
  <c r="G75" i="78"/>
  <c r="G74" i="78"/>
  <c r="G73" i="78"/>
  <c r="G72" i="78"/>
  <c r="G71" i="78"/>
  <c r="G70" i="78"/>
  <c r="G69" i="78"/>
  <c r="G62" i="78"/>
  <c r="G61" i="78"/>
  <c r="G59" i="78"/>
  <c r="G58" i="78"/>
  <c r="G57" i="78"/>
  <c r="G56" i="78"/>
  <c r="G55" i="78"/>
  <c r="G48" i="78"/>
  <c r="G47" i="78"/>
  <c r="G46" i="78"/>
  <c r="G45" i="78"/>
  <c r="G44" i="78"/>
  <c r="G43" i="78"/>
  <c r="G42" i="78"/>
  <c r="G41" i="78"/>
  <c r="G40" i="78"/>
  <c r="G39" i="78"/>
  <c r="G38" i="78"/>
  <c r="G25" i="78"/>
  <c r="G394" i="77"/>
  <c r="G393" i="77"/>
  <c r="G390" i="77"/>
  <c r="G389" i="77"/>
  <c r="G130" i="77"/>
  <c r="G129" i="77"/>
  <c r="G128" i="77"/>
  <c r="G122" i="77"/>
  <c r="G121" i="77"/>
  <c r="G120" i="77"/>
  <c r="G119" i="77"/>
  <c r="G118" i="77"/>
  <c r="G117" i="77"/>
  <c r="G116" i="77"/>
  <c r="G115" i="77"/>
  <c r="G114" i="77"/>
  <c r="G113" i="77"/>
  <c r="G16" i="77"/>
  <c r="G25" i="77"/>
  <c r="G207" i="76"/>
  <c r="G204" i="76"/>
  <c r="G203" i="76"/>
  <c r="G125" i="76"/>
  <c r="G124" i="76"/>
  <c r="G123" i="76"/>
  <c r="G122" i="76"/>
  <c r="G120" i="76"/>
  <c r="G117" i="76"/>
  <c r="G116" i="76"/>
  <c r="G115" i="76"/>
  <c r="G114" i="76"/>
  <c r="G98" i="76"/>
  <c r="G96" i="76"/>
  <c r="G94" i="76"/>
  <c r="G92" i="76"/>
  <c r="G89" i="76"/>
  <c r="G87" i="76"/>
  <c r="G85" i="76"/>
  <c r="G83" i="76"/>
  <c r="G81" i="76"/>
  <c r="G79" i="76"/>
  <c r="G77" i="76"/>
  <c r="G75" i="76"/>
  <c r="G73" i="76"/>
  <c r="G71" i="76"/>
  <c r="G69" i="76"/>
  <c r="G67" i="76"/>
  <c r="G65" i="76"/>
  <c r="G63" i="76"/>
  <c r="G61" i="76"/>
  <c r="G59" i="76"/>
  <c r="G49" i="76"/>
  <c r="G47" i="76"/>
  <c r="G45" i="76"/>
  <c r="G43" i="76"/>
  <c r="G41" i="76"/>
  <c r="G39" i="76"/>
  <c r="G37" i="76"/>
  <c r="G35" i="76"/>
  <c r="G33" i="76"/>
  <c r="G31" i="76"/>
  <c r="G29" i="76"/>
  <c r="G27" i="76"/>
  <c r="G25" i="76"/>
  <c r="G63" i="75"/>
  <c r="G61" i="75"/>
  <c r="E57" i="75"/>
  <c r="G57" i="75" s="1"/>
  <c r="E55" i="75"/>
  <c r="G55" i="75" s="1"/>
  <c r="E53" i="75"/>
  <c r="G51" i="75"/>
  <c r="G41" i="75"/>
  <c r="G39" i="75"/>
  <c r="G37" i="75"/>
  <c r="G35" i="75"/>
  <c r="G33" i="75"/>
  <c r="G31" i="75"/>
  <c r="G28" i="75"/>
  <c r="G26" i="75"/>
  <c r="G156" i="74"/>
  <c r="G153" i="74"/>
  <c r="G152" i="74"/>
  <c r="G151" i="74"/>
  <c r="G149" i="74"/>
  <c r="G148" i="74"/>
  <c r="G147" i="74"/>
  <c r="G145" i="74"/>
  <c r="G144" i="74"/>
  <c r="G143" i="74"/>
  <c r="G122" i="74"/>
  <c r="G121" i="74"/>
  <c r="G120" i="74"/>
  <c r="G119" i="74"/>
  <c r="G117" i="74"/>
  <c r="G25" i="74"/>
  <c r="G251" i="73"/>
  <c r="G131" i="73"/>
  <c r="G130" i="73"/>
  <c r="G129" i="73"/>
  <c r="G128" i="73"/>
  <c r="G107" i="73"/>
  <c r="G105" i="73"/>
  <c r="G103" i="73"/>
  <c r="G101" i="73"/>
  <c r="G98" i="73"/>
  <c r="G95" i="73"/>
  <c r="G92" i="73"/>
  <c r="G89" i="73"/>
  <c r="E87" i="73"/>
  <c r="G87" i="73" s="1"/>
  <c r="E85" i="73"/>
  <c r="G85" i="73" s="1"/>
  <c r="G83" i="73"/>
  <c r="G81" i="73"/>
  <c r="G79" i="73"/>
  <c r="G77" i="73"/>
  <c r="G75" i="73"/>
  <c r="E71" i="73"/>
  <c r="G71" i="73" s="1"/>
  <c r="E69" i="73"/>
  <c r="G69" i="73" s="1"/>
  <c r="E65" i="73"/>
  <c r="G65" i="73" s="1"/>
  <c r="E63" i="73"/>
  <c r="G63" i="73" s="1"/>
  <c r="E61" i="73"/>
  <c r="G61" i="73" s="1"/>
  <c r="E59" i="73"/>
  <c r="G59" i="73" s="1"/>
  <c r="G57" i="73"/>
  <c r="G47" i="73"/>
  <c r="G45" i="73"/>
  <c r="G43" i="73"/>
  <c r="G41" i="73"/>
  <c r="G39" i="73"/>
  <c r="G37" i="73"/>
  <c r="G35" i="73"/>
  <c r="G33" i="73"/>
  <c r="G31" i="73"/>
  <c r="G29" i="73"/>
  <c r="G27" i="73"/>
  <c r="G25" i="73"/>
  <c r="G221" i="72"/>
  <c r="G218" i="72"/>
  <c r="G217" i="72"/>
  <c r="G216" i="72"/>
  <c r="G127" i="72"/>
  <c r="G126" i="72"/>
  <c r="G125" i="72"/>
  <c r="G124" i="72"/>
  <c r="G101" i="72"/>
  <c r="G99" i="72"/>
  <c r="G97" i="72"/>
  <c r="G95" i="72"/>
  <c r="G94" i="72"/>
  <c r="G91" i="72"/>
  <c r="G89" i="72"/>
  <c r="G87" i="72"/>
  <c r="G85" i="72"/>
  <c r="G83" i="72"/>
  <c r="G81" i="72"/>
  <c r="G79" i="72"/>
  <c r="G77" i="72"/>
  <c r="G75" i="72"/>
  <c r="G73" i="72"/>
  <c r="G71" i="72"/>
  <c r="G69" i="72"/>
  <c r="G67" i="72"/>
  <c r="G65" i="72"/>
  <c r="G63" i="72"/>
  <c r="G61" i="72"/>
  <c r="G59" i="72"/>
  <c r="G49" i="72"/>
  <c r="G47" i="72"/>
  <c r="G45" i="72"/>
  <c r="G43" i="72"/>
  <c r="G41" i="72"/>
  <c r="G39" i="72"/>
  <c r="G37" i="72"/>
  <c r="G35" i="72"/>
  <c r="G33" i="72"/>
  <c r="G31" i="72"/>
  <c r="G29" i="72"/>
  <c r="G27" i="72"/>
  <c r="G25" i="72"/>
  <c r="G125" i="78" l="1"/>
  <c r="G302" i="82"/>
  <c r="G17" i="82" s="1"/>
  <c r="G194" i="84"/>
  <c r="G17" i="84" s="1"/>
  <c r="G94" i="79"/>
  <c r="G103" i="72"/>
  <c r="G16" i="72" s="1"/>
  <c r="E66" i="85"/>
  <c r="G66" i="85" s="1"/>
  <c r="G58" i="85"/>
  <c r="E77" i="84"/>
  <c r="G77" i="84" s="1"/>
  <c r="G75" i="84"/>
  <c r="G250" i="81"/>
  <c r="G17" i="81" s="1"/>
  <c r="G77" i="79"/>
  <c r="G100" i="76"/>
  <c r="G16" i="76" s="1"/>
  <c r="E59" i="75"/>
  <c r="G59" i="75" s="1"/>
  <c r="G209" i="76"/>
  <c r="G17" i="76" s="1"/>
  <c r="E82" i="83"/>
  <c r="G107" i="80"/>
  <c r="G16" i="80" s="1"/>
  <c r="G278" i="80"/>
  <c r="G17" i="80" s="1"/>
  <c r="G51" i="83"/>
  <c r="G15" i="83" s="1"/>
  <c r="G51" i="72"/>
  <c r="G15" i="72" s="1"/>
  <c r="G49" i="78"/>
  <c r="G51" i="80"/>
  <c r="G15" i="80" s="1"/>
  <c r="G51" i="74"/>
  <c r="G15" i="74" s="1"/>
  <c r="G97" i="74"/>
  <c r="G16" i="74" s="1"/>
  <c r="G43" i="75"/>
  <c r="G15" i="75" s="1"/>
  <c r="G31" i="78"/>
  <c r="G15" i="78" s="1"/>
  <c r="G67" i="79"/>
  <c r="G17" i="79"/>
  <c r="G16" i="82"/>
  <c r="G109" i="75"/>
  <c r="G17" i="75" s="1"/>
  <c r="G99" i="78"/>
  <c r="G48" i="84"/>
  <c r="G15" i="84" s="1"/>
  <c r="G54" i="79"/>
  <c r="G31" i="79"/>
  <c r="G15" i="79" s="1"/>
  <c r="G115" i="79"/>
  <c r="G16" i="81"/>
  <c r="G223" i="72"/>
  <c r="G17" i="72" s="1"/>
  <c r="G158" i="74"/>
  <c r="G17" i="74" s="1"/>
  <c r="G51" i="76"/>
  <c r="G15" i="76" s="1"/>
  <c r="G50" i="85"/>
  <c r="G15" i="85" s="1"/>
  <c r="G51" i="77"/>
  <c r="G15" i="77" s="1"/>
  <c r="G192" i="78"/>
  <c r="G17" i="78" s="1"/>
  <c r="G403" i="77"/>
  <c r="G17" i="77" s="1"/>
  <c r="G49" i="73"/>
  <c r="G15" i="73" s="1"/>
  <c r="G45" i="81"/>
  <c r="G15" i="81" s="1"/>
  <c r="G49" i="86"/>
  <c r="G15" i="86" s="1"/>
  <c r="G80" i="78"/>
  <c r="G63" i="78"/>
  <c r="G254" i="73"/>
  <c r="G17" i="73" s="1"/>
  <c r="G44" i="82"/>
  <c r="G15" i="82" s="1"/>
  <c r="G159" i="85"/>
  <c r="G17" i="85" s="1"/>
  <c r="G305" i="86"/>
  <c r="G17" i="86" s="1"/>
  <c r="G136" i="86"/>
  <c r="G16" i="86" s="1"/>
  <c r="G17" i="83"/>
  <c r="G53" i="75"/>
  <c r="E90" i="83"/>
  <c r="G90" i="83" s="1"/>
  <c r="E67" i="73"/>
  <c r="G67" i="73" s="1"/>
  <c r="E67" i="84"/>
  <c r="G67" i="84" s="1"/>
  <c r="G355" i="67"/>
  <c r="E339" i="67"/>
  <c r="G339" i="67" s="1"/>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2" i="67"/>
  <c r="G125" i="67"/>
  <c r="G124" i="67"/>
  <c r="G123" i="67"/>
  <c r="G122" i="67"/>
  <c r="G121" i="67"/>
  <c r="G120" i="67"/>
  <c r="G119" i="67"/>
  <c r="E118" i="67"/>
  <c r="G118" i="67" s="1"/>
  <c r="G117" i="67"/>
  <c r="G116" i="67"/>
  <c r="E115" i="67"/>
  <c r="G115" i="67" s="1"/>
  <c r="G114" i="67"/>
  <c r="E113" i="67"/>
  <c r="G113" i="67" s="1"/>
  <c r="E112" i="67"/>
  <c r="G112" i="67" s="1"/>
  <c r="G110" i="67"/>
  <c r="G109" i="67"/>
  <c r="E108" i="67"/>
  <c r="G108" i="67" s="1"/>
  <c r="E107" i="67"/>
  <c r="G107" i="67" s="1"/>
  <c r="G100" i="67"/>
  <c r="G99" i="67"/>
  <c r="E97" i="67"/>
  <c r="G97" i="67" s="1"/>
  <c r="E96" i="67"/>
  <c r="G96" i="67" s="1"/>
  <c r="E94" i="67"/>
  <c r="E95" i="67" s="1"/>
  <c r="G95" i="67" s="1"/>
  <c r="E93" i="67"/>
  <c r="G93" i="67" s="1"/>
  <c r="E92" i="67"/>
  <c r="G92" i="67" s="1"/>
  <c r="E91" i="67"/>
  <c r="G91" i="67" s="1"/>
  <c r="G90" i="67"/>
  <c r="E89" i="67"/>
  <c r="G89" i="67" s="1"/>
  <c r="E88" i="67"/>
  <c r="G88" i="67" s="1"/>
  <c r="G81" i="67"/>
  <c r="G80" i="67"/>
  <c r="E76" i="67"/>
  <c r="G76" i="67" s="1"/>
  <c r="G75" i="67"/>
  <c r="E74" i="67"/>
  <c r="G74" i="67" s="1"/>
  <c r="E73" i="67"/>
  <c r="G73" i="67" s="1"/>
  <c r="E72" i="67"/>
  <c r="G72" i="67" s="1"/>
  <c r="E71" i="67"/>
  <c r="G71" i="67" s="1"/>
  <c r="G64" i="67"/>
  <c r="G63" i="67"/>
  <c r="E61" i="67"/>
  <c r="G61" i="67" s="1"/>
  <c r="E60" i="67"/>
  <c r="G60" i="67" s="1"/>
  <c r="E59" i="67"/>
  <c r="G59" i="67" s="1"/>
  <c r="E58" i="67"/>
  <c r="G58" i="67" s="1"/>
  <c r="E57" i="67"/>
  <c r="G57" i="67" s="1"/>
  <c r="E50" i="67"/>
  <c r="G50" i="67" s="1"/>
  <c r="E46" i="67"/>
  <c r="G46" i="67" s="1"/>
  <c r="E44" i="67"/>
  <c r="G44" i="67" s="1"/>
  <c r="E43" i="67"/>
  <c r="G43" i="67" s="1"/>
  <c r="E42" i="67"/>
  <c r="G42" i="67" s="1"/>
  <c r="E41" i="67"/>
  <c r="G41" i="67" s="1"/>
  <c r="E40" i="67"/>
  <c r="E47" i="67" s="1"/>
  <c r="G47" i="67" s="1"/>
  <c r="G32" i="67"/>
  <c r="G31" i="67"/>
  <c r="G28" i="67"/>
  <c r="G27" i="67"/>
  <c r="G26" i="67"/>
  <c r="G25" i="67"/>
  <c r="G148" i="66"/>
  <c r="G147" i="66"/>
  <c r="G146" i="66"/>
  <c r="G145" i="66"/>
  <c r="G144" i="66"/>
  <c r="G143" i="66"/>
  <c r="G141" i="66"/>
  <c r="G140" i="66"/>
  <c r="G139" i="66"/>
  <c r="G138" i="66"/>
  <c r="G137" i="66"/>
  <c r="G136" i="66"/>
  <c r="G135" i="66"/>
  <c r="G134" i="66"/>
  <c r="G133" i="66"/>
  <c r="G132" i="66"/>
  <c r="G130" i="66"/>
  <c r="G129" i="66"/>
  <c r="G128" i="66"/>
  <c r="G127" i="66"/>
  <c r="G126" i="66"/>
  <c r="G125" i="66"/>
  <c r="G124" i="66"/>
  <c r="G123" i="66"/>
  <c r="G122" i="66"/>
  <c r="G121" i="66"/>
  <c r="G120" i="66"/>
  <c r="G119" i="66"/>
  <c r="G118" i="66"/>
  <c r="G117" i="66"/>
  <c r="G116" i="66"/>
  <c r="G115" i="66"/>
  <c r="G114" i="66"/>
  <c r="G113" i="66"/>
  <c r="G111" i="66"/>
  <c r="G110" i="66"/>
  <c r="G109" i="66"/>
  <c r="G108" i="66"/>
  <c r="G107" i="66"/>
  <c r="G106" i="66"/>
  <c r="G105" i="66"/>
  <c r="G104" i="66"/>
  <c r="G102" i="66"/>
  <c r="G101" i="66"/>
  <c r="G100" i="66"/>
  <c r="G99" i="66"/>
  <c r="G98" i="66"/>
  <c r="G97" i="66"/>
  <c r="G90" i="66"/>
  <c r="E88" i="66"/>
  <c r="G87" i="66"/>
  <c r="G75" i="66"/>
  <c r="G74" i="66"/>
  <c r="G73" i="66"/>
  <c r="G72" i="66"/>
  <c r="G71" i="66"/>
  <c r="G70" i="66"/>
  <c r="G69" i="66"/>
  <c r="G68" i="66"/>
  <c r="G66" i="66"/>
  <c r="E63" i="66"/>
  <c r="G63" i="66" s="1"/>
  <c r="E62" i="66"/>
  <c r="G62" i="66" s="1"/>
  <c r="G61" i="66"/>
  <c r="G59" i="66"/>
  <c r="G58" i="66"/>
  <c r="G57" i="66"/>
  <c r="G56" i="66"/>
  <c r="G55" i="66"/>
  <c r="G54" i="66"/>
  <c r="E52" i="66"/>
  <c r="G52" i="66" s="1"/>
  <c r="E51" i="66"/>
  <c r="G51" i="66" s="1"/>
  <c r="G48" i="66"/>
  <c r="E42" i="66"/>
  <c r="E60" i="66" s="1"/>
  <c r="G60" i="66" s="1"/>
  <c r="G35" i="66"/>
  <c r="G34" i="66"/>
  <c r="G33" i="66"/>
  <c r="G32" i="66"/>
  <c r="G30" i="66"/>
  <c r="G29" i="66"/>
  <c r="G28" i="66"/>
  <c r="G27" i="66"/>
  <c r="G26" i="66"/>
  <c r="E24" i="66"/>
  <c r="E49" i="66" s="1"/>
  <c r="G427" i="67" l="1"/>
  <c r="G88" i="66"/>
  <c r="E91" i="66"/>
  <c r="G117" i="79"/>
  <c r="G16" i="79" s="1"/>
  <c r="G19" i="79" s="1"/>
  <c r="G21" i="71" s="1"/>
  <c r="G127" i="78"/>
  <c r="G16" i="78" s="1"/>
  <c r="E72" i="85"/>
  <c r="E79" i="84"/>
  <c r="G79" i="84" s="1"/>
  <c r="E84" i="83"/>
  <c r="G82" i="83"/>
  <c r="G18" i="78"/>
  <c r="G19" i="78" s="1"/>
  <c r="G20" i="71" s="1"/>
  <c r="G65" i="75"/>
  <c r="G16" i="75" s="1"/>
  <c r="G19" i="75" s="1"/>
  <c r="G17" i="71" s="1"/>
  <c r="G18" i="80"/>
  <c r="G32" i="71" s="1"/>
  <c r="G18" i="82"/>
  <c r="G23" i="71" s="1"/>
  <c r="G18" i="81"/>
  <c r="G22" i="71" s="1"/>
  <c r="G18" i="77"/>
  <c r="G19" i="71" s="1"/>
  <c r="G18" i="76"/>
  <c r="G18" i="71" s="1"/>
  <c r="G18" i="72"/>
  <c r="G15" i="71" s="1"/>
  <c r="G18" i="86"/>
  <c r="G12" i="71" s="1"/>
  <c r="E64" i="66"/>
  <c r="G64" i="66" s="1"/>
  <c r="E31" i="66"/>
  <c r="G31" i="66" s="1"/>
  <c r="E43" i="66"/>
  <c r="G43" i="66" s="1"/>
  <c r="G24" i="66"/>
  <c r="E25" i="66"/>
  <c r="G25" i="66" s="1"/>
  <c r="E46" i="66"/>
  <c r="G46" i="66" s="1"/>
  <c r="E45" i="66"/>
  <c r="G45" i="66" s="1"/>
  <c r="G171" i="67"/>
  <c r="G17" i="67" s="1"/>
  <c r="E47" i="66"/>
  <c r="G47" i="66" s="1"/>
  <c r="G33" i="67"/>
  <c r="G15" i="67" s="1"/>
  <c r="G94" i="67"/>
  <c r="G101" i="67" s="1"/>
  <c r="G18" i="74"/>
  <c r="G31" i="71" s="1"/>
  <c r="E45" i="67"/>
  <c r="G45" i="67" s="1"/>
  <c r="E92" i="83"/>
  <c r="G92" i="83" s="1"/>
  <c r="E73" i="73"/>
  <c r="G73" i="73" s="1"/>
  <c r="G109" i="73" s="1"/>
  <c r="E87" i="84"/>
  <c r="G87" i="84" s="1"/>
  <c r="G126" i="67"/>
  <c r="E50" i="66"/>
  <c r="G50" i="66" s="1"/>
  <c r="G49" i="66"/>
  <c r="G65" i="67"/>
  <c r="G42" i="66"/>
  <c r="E77" i="67"/>
  <c r="G77" i="67" s="1"/>
  <c r="E44" i="66"/>
  <c r="G44" i="66" s="1"/>
  <c r="G40" i="67"/>
  <c r="E78" i="67"/>
  <c r="G78" i="67" s="1"/>
  <c r="E94" i="66" l="1"/>
  <c r="G94" i="66" s="1"/>
  <c r="E92" i="66"/>
  <c r="G91" i="66"/>
  <c r="G72" i="85"/>
  <c r="G97" i="85" s="1"/>
  <c r="G16" i="85" s="1"/>
  <c r="G18" i="85" s="1"/>
  <c r="G34" i="71" s="1"/>
  <c r="G13" i="71"/>
  <c r="G30" i="25" s="1"/>
  <c r="E81" i="84"/>
  <c r="G81" i="84" s="1"/>
  <c r="G84" i="83"/>
  <c r="E86" i="83"/>
  <c r="G86" i="83" s="1"/>
  <c r="G16" i="73"/>
  <c r="G18" i="73" s="1"/>
  <c r="G16" i="71" s="1"/>
  <c r="E83" i="84"/>
  <c r="G83" i="84" s="1"/>
  <c r="G82" i="67"/>
  <c r="G18" i="67"/>
  <c r="G36" i="66"/>
  <c r="G15" i="66" s="1"/>
  <c r="E48" i="67"/>
  <c r="E49" i="67" s="1"/>
  <c r="G49" i="67" s="1"/>
  <c r="E89" i="84"/>
  <c r="G89" i="84" s="1"/>
  <c r="G76" i="66"/>
  <c r="G16" i="66" s="1"/>
  <c r="E93" i="66" l="1"/>
  <c r="G93" i="66" s="1"/>
  <c r="G92" i="66"/>
  <c r="G149" i="66" s="1"/>
  <c r="G17" i="66" s="1"/>
  <c r="G18" i="66" s="1"/>
  <c r="G12" i="65" s="1"/>
  <c r="E91" i="84"/>
  <c r="G91" i="84" s="1"/>
  <c r="E88" i="83"/>
  <c r="G88" i="83" s="1"/>
  <c r="G48" i="67"/>
  <c r="G51" i="67"/>
  <c r="G128" i="67" l="1"/>
  <c r="G16" i="67" s="1"/>
  <c r="G19" i="67" s="1"/>
  <c r="G13" i="65" s="1"/>
  <c r="G104" i="84"/>
  <c r="G16" i="84" s="1"/>
  <c r="G18" i="84" s="1"/>
  <c r="E94" i="83"/>
  <c r="G94" i="83" s="1"/>
  <c r="G113" i="83" s="1"/>
  <c r="G16" i="83" s="1"/>
  <c r="G18" i="83" s="1"/>
  <c r="G24" i="71" s="1"/>
  <c r="G112" i="61"/>
  <c r="G110" i="61"/>
  <c r="G109" i="61"/>
  <c r="G108" i="61"/>
  <c r="G105" i="61"/>
  <c r="G104" i="61"/>
  <c r="G103" i="61"/>
  <c r="G102" i="61"/>
  <c r="G101" i="61"/>
  <c r="G100" i="61"/>
  <c r="G99" i="61"/>
  <c r="G98" i="61"/>
  <c r="G97" i="61"/>
  <c r="G96" i="61"/>
  <c r="G93" i="61"/>
  <c r="G92" i="61"/>
  <c r="G91" i="61"/>
  <c r="G90" i="61"/>
  <c r="G89" i="61"/>
  <c r="G88" i="61"/>
  <c r="G87" i="61"/>
  <c r="G86" i="61"/>
  <c r="G85" i="61"/>
  <c r="G84" i="61"/>
  <c r="G80" i="61"/>
  <c r="G79" i="61"/>
  <c r="G78" i="61"/>
  <c r="G77" i="61"/>
  <c r="G76" i="61"/>
  <c r="G74" i="61"/>
  <c r="G73" i="61"/>
  <c r="G59" i="61"/>
  <c r="G58" i="61"/>
  <c r="G57" i="61"/>
  <c r="G56" i="61"/>
  <c r="G55" i="61"/>
  <c r="G54" i="61"/>
  <c r="G53" i="61"/>
  <c r="G52" i="61"/>
  <c r="G51" i="61"/>
  <c r="G50" i="61"/>
  <c r="G49" i="61"/>
  <c r="G48" i="61"/>
  <c r="G47" i="61"/>
  <c r="G46" i="61"/>
  <c r="G45" i="61"/>
  <c r="G44" i="61"/>
  <c r="G43" i="61"/>
  <c r="G42" i="61"/>
  <c r="G41" i="61"/>
  <c r="G34" i="61"/>
  <c r="G33" i="61"/>
  <c r="G32" i="61"/>
  <c r="G31" i="61"/>
  <c r="G30" i="61"/>
  <c r="G29" i="61"/>
  <c r="G28" i="61"/>
  <c r="G27" i="61"/>
  <c r="G26" i="61"/>
  <c r="G25" i="61"/>
  <c r="G24" i="61"/>
  <c r="G166" i="60"/>
  <c r="G165" i="60"/>
  <c r="G164" i="60"/>
  <c r="G163" i="60"/>
  <c r="G162" i="60"/>
  <c r="G161" i="60"/>
  <c r="G160" i="60"/>
  <c r="G159" i="60"/>
  <c r="G158" i="60"/>
  <c r="G157" i="60"/>
  <c r="G156" i="60"/>
  <c r="G155" i="60"/>
  <c r="G154" i="60"/>
  <c r="G153" i="60"/>
  <c r="G152" i="60"/>
  <c r="G151" i="60"/>
  <c r="G150" i="60"/>
  <c r="G149" i="60"/>
  <c r="G148" i="60"/>
  <c r="G145" i="60"/>
  <c r="G144" i="60"/>
  <c r="G143" i="60"/>
  <c r="G141" i="60"/>
  <c r="G140" i="60"/>
  <c r="G139" i="60"/>
  <c r="G136" i="60"/>
  <c r="G135" i="60"/>
  <c r="G134" i="60"/>
  <c r="G133" i="60"/>
  <c r="G130" i="60"/>
  <c r="G129" i="60"/>
  <c r="G128" i="60"/>
  <c r="G127" i="60"/>
  <c r="G126" i="60"/>
  <c r="G125" i="60"/>
  <c r="G124" i="60"/>
  <c r="G123" i="60"/>
  <c r="G122" i="60"/>
  <c r="G121" i="60"/>
  <c r="G120" i="60"/>
  <c r="G119" i="60"/>
  <c r="G118" i="60"/>
  <c r="G117" i="60"/>
  <c r="G116" i="60"/>
  <c r="G113" i="60"/>
  <c r="G112" i="60"/>
  <c r="G111" i="60"/>
  <c r="G110" i="60"/>
  <c r="G109" i="60"/>
  <c r="G108" i="60"/>
  <c r="G107" i="60"/>
  <c r="G104" i="60"/>
  <c r="G103" i="60"/>
  <c r="G102" i="60"/>
  <c r="G101" i="60"/>
  <c r="G100" i="60"/>
  <c r="G96" i="60"/>
  <c r="G95" i="60"/>
  <c r="G94" i="60"/>
  <c r="G93" i="60"/>
  <c r="G92" i="60"/>
  <c r="G91" i="60"/>
  <c r="G167" i="60" s="1"/>
  <c r="G77" i="60"/>
  <c r="G76" i="60"/>
  <c r="G75" i="60"/>
  <c r="G74" i="60"/>
  <c r="G73" i="60"/>
  <c r="G72" i="60"/>
  <c r="G71" i="60"/>
  <c r="G70" i="60"/>
  <c r="G69" i="60"/>
  <c r="G67" i="60"/>
  <c r="G65" i="60"/>
  <c r="G64" i="60"/>
  <c r="G63" i="60"/>
  <c r="G62" i="60"/>
  <c r="G61" i="60"/>
  <c r="G60" i="60"/>
  <c r="G59" i="60"/>
  <c r="G58" i="60"/>
  <c r="G57" i="60"/>
  <c r="G56" i="60"/>
  <c r="G55" i="60"/>
  <c r="G54" i="60"/>
  <c r="G53" i="60"/>
  <c r="G51" i="60"/>
  <c r="G50" i="60"/>
  <c r="G49" i="60"/>
  <c r="G48" i="60"/>
  <c r="G47" i="60"/>
  <c r="G46" i="60"/>
  <c r="G45" i="60"/>
  <c r="G44" i="60"/>
  <c r="G43" i="60"/>
  <c r="G42" i="60"/>
  <c r="G35" i="60"/>
  <c r="G34" i="60"/>
  <c r="G33" i="60"/>
  <c r="G32" i="60"/>
  <c r="G31" i="60"/>
  <c r="G30" i="60"/>
  <c r="G29" i="60"/>
  <c r="G28" i="60"/>
  <c r="G27" i="60"/>
  <c r="G26" i="60"/>
  <c r="G25" i="60"/>
  <c r="G24" i="60"/>
  <c r="G421" i="59"/>
  <c r="G420" i="59"/>
  <c r="G419" i="59"/>
  <c r="G418" i="59"/>
  <c r="G417" i="59"/>
  <c r="G416" i="59"/>
  <c r="G414" i="59"/>
  <c r="G412" i="59"/>
  <c r="G408" i="59"/>
  <c r="G406" i="59"/>
  <c r="G404" i="59"/>
  <c r="G402" i="59"/>
  <c r="G400" i="59"/>
  <c r="G398" i="59"/>
  <c r="G396" i="59"/>
  <c r="G394" i="59"/>
  <c r="G392" i="59"/>
  <c r="G390" i="59"/>
  <c r="G388" i="59"/>
  <c r="G386" i="59"/>
  <c r="G382" i="59"/>
  <c r="G380" i="59"/>
  <c r="G378" i="59"/>
  <c r="G376" i="59"/>
  <c r="G374" i="59"/>
  <c r="G372" i="59"/>
  <c r="G370" i="59"/>
  <c r="G368" i="59"/>
  <c r="G366" i="59"/>
  <c r="G362" i="59"/>
  <c r="G360" i="59"/>
  <c r="G358" i="59"/>
  <c r="G356" i="59"/>
  <c r="G354" i="59"/>
  <c r="G352" i="59"/>
  <c r="G350" i="59"/>
  <c r="G348" i="59"/>
  <c r="G346" i="59"/>
  <c r="G344" i="59"/>
  <c r="G339" i="59"/>
  <c r="G337" i="59"/>
  <c r="G335" i="59"/>
  <c r="G333" i="59"/>
  <c r="G331" i="59"/>
  <c r="G329" i="59"/>
  <c r="G326" i="59"/>
  <c r="G322" i="59"/>
  <c r="G320" i="59"/>
  <c r="G318" i="59"/>
  <c r="G316" i="59"/>
  <c r="G312" i="59"/>
  <c r="G310" i="59"/>
  <c r="G308" i="59"/>
  <c r="G306" i="59"/>
  <c r="G300" i="59"/>
  <c r="G298" i="59"/>
  <c r="G296" i="59"/>
  <c r="G294" i="59"/>
  <c r="G292" i="59"/>
  <c r="G290" i="59"/>
  <c r="G288" i="59"/>
  <c r="G286" i="59"/>
  <c r="G284" i="59"/>
  <c r="G282" i="59"/>
  <c r="G280" i="59"/>
  <c r="G277" i="59"/>
  <c r="G275" i="59"/>
  <c r="G273" i="59"/>
  <c r="G271" i="59"/>
  <c r="G269" i="59"/>
  <c r="G267" i="59"/>
  <c r="G265" i="59"/>
  <c r="G263" i="59"/>
  <c r="G261" i="59"/>
  <c r="G259" i="59"/>
  <c r="G257" i="59"/>
  <c r="G255" i="59"/>
  <c r="G253" i="59"/>
  <c r="G251" i="59"/>
  <c r="G249" i="59"/>
  <c r="G247" i="59"/>
  <c r="G245" i="59"/>
  <c r="G243" i="59"/>
  <c r="G241" i="59"/>
  <c r="G239" i="59"/>
  <c r="G237" i="59"/>
  <c r="G235" i="59"/>
  <c r="G233" i="59"/>
  <c r="G231" i="59"/>
  <c r="G229" i="59"/>
  <c r="G227" i="59"/>
  <c r="G225" i="59"/>
  <c r="G205" i="59"/>
  <c r="G204" i="59"/>
  <c r="G203" i="59"/>
  <c r="G202" i="59"/>
  <c r="G201" i="59"/>
  <c r="G200" i="59"/>
  <c r="G199" i="59"/>
  <c r="G198" i="59"/>
  <c r="G197" i="59"/>
  <c r="G196" i="59"/>
  <c r="G195" i="59"/>
  <c r="G194" i="59"/>
  <c r="G193" i="59"/>
  <c r="G192" i="59"/>
  <c r="G191" i="59"/>
  <c r="G190" i="59"/>
  <c r="G189" i="59"/>
  <c r="G186" i="59"/>
  <c r="G185" i="59"/>
  <c r="G184" i="59"/>
  <c r="G183" i="59"/>
  <c r="G182" i="59"/>
  <c r="G181" i="59"/>
  <c r="G180" i="59"/>
  <c r="G179" i="59"/>
  <c r="G178" i="59"/>
  <c r="G177" i="59"/>
  <c r="G176" i="59"/>
  <c r="G175" i="59"/>
  <c r="G174" i="59"/>
  <c r="G173" i="59"/>
  <c r="G170" i="59"/>
  <c r="G169" i="59"/>
  <c r="G168" i="59"/>
  <c r="G167" i="59"/>
  <c r="G166" i="59"/>
  <c r="G165" i="59"/>
  <c r="G164" i="59"/>
  <c r="G163" i="59"/>
  <c r="G162" i="59"/>
  <c r="G159" i="59"/>
  <c r="G134" i="59"/>
  <c r="G133" i="59"/>
  <c r="G132" i="59"/>
  <c r="G131" i="59"/>
  <c r="G130" i="59"/>
  <c r="G129" i="59"/>
  <c r="G128" i="59"/>
  <c r="G127" i="59"/>
  <c r="G126" i="59"/>
  <c r="G125" i="59"/>
  <c r="G124" i="59"/>
  <c r="G123" i="59"/>
  <c r="G122" i="59"/>
  <c r="G121" i="59"/>
  <c r="G120" i="59"/>
  <c r="G119" i="59"/>
  <c r="G118" i="59"/>
  <c r="G117" i="59"/>
  <c r="G116" i="59"/>
  <c r="G115" i="59"/>
  <c r="G114" i="59"/>
  <c r="G113" i="59"/>
  <c r="G112" i="59"/>
  <c r="G105" i="59"/>
  <c r="G104" i="59"/>
  <c r="G102" i="59"/>
  <c r="G98" i="59"/>
  <c r="G97" i="59"/>
  <c r="G96" i="59"/>
  <c r="G95" i="59"/>
  <c r="G94" i="59"/>
  <c r="G93" i="59"/>
  <c r="G92" i="59"/>
  <c r="G91" i="59"/>
  <c r="G90" i="59"/>
  <c r="G83" i="59"/>
  <c r="G82" i="59"/>
  <c r="G80" i="59"/>
  <c r="G79" i="59"/>
  <c r="G78" i="59"/>
  <c r="G77" i="59"/>
  <c r="G76" i="59"/>
  <c r="G75" i="59"/>
  <c r="G74" i="59"/>
  <c r="G73" i="59"/>
  <c r="G72" i="59"/>
  <c r="G71" i="59"/>
  <c r="G70" i="59"/>
  <c r="G63" i="59"/>
  <c r="G62" i="59"/>
  <c r="G60" i="59"/>
  <c r="G59" i="59"/>
  <c r="G58" i="59"/>
  <c r="G57" i="59"/>
  <c r="G56" i="59"/>
  <c r="G55" i="59"/>
  <c r="G48" i="59"/>
  <c r="G47" i="59"/>
  <c r="G46" i="59"/>
  <c r="G45" i="59"/>
  <c r="G44" i="59"/>
  <c r="G43" i="59"/>
  <c r="G42" i="59"/>
  <c r="G41" i="59"/>
  <c r="G40" i="59"/>
  <c r="G39" i="59"/>
  <c r="G38" i="59"/>
  <c r="G37" i="59"/>
  <c r="G29" i="59"/>
  <c r="G28" i="59"/>
  <c r="G27" i="59"/>
  <c r="G26" i="59"/>
  <c r="G25" i="59"/>
  <c r="G24" i="59"/>
  <c r="G319" i="58"/>
  <c r="G119" i="58"/>
  <c r="G118" i="58"/>
  <c r="G116" i="58"/>
  <c r="G114" i="58"/>
  <c r="G113" i="58"/>
  <c r="G109" i="58"/>
  <c r="G108" i="58"/>
  <c r="G107" i="58"/>
  <c r="G106" i="58"/>
  <c r="G105" i="58"/>
  <c r="G104" i="58"/>
  <c r="G103" i="58"/>
  <c r="G101" i="58"/>
  <c r="G100" i="58"/>
  <c r="G99" i="58"/>
  <c r="G98" i="58"/>
  <c r="G97" i="58"/>
  <c r="G96" i="58"/>
  <c r="G95" i="58"/>
  <c r="G94" i="58"/>
  <c r="G80" i="58"/>
  <c r="G79" i="58"/>
  <c r="G78" i="58"/>
  <c r="G77" i="58"/>
  <c r="G76" i="58"/>
  <c r="G75" i="58"/>
  <c r="G74" i="58"/>
  <c r="G73" i="58"/>
  <c r="G72" i="58"/>
  <c r="G71" i="58"/>
  <c r="G70" i="58"/>
  <c r="G69" i="58"/>
  <c r="G67" i="58"/>
  <c r="G65" i="58"/>
  <c r="G64" i="58"/>
  <c r="G63" i="58"/>
  <c r="G62" i="58"/>
  <c r="G61" i="58"/>
  <c r="G60" i="58"/>
  <c r="G59" i="58"/>
  <c r="G58" i="58"/>
  <c r="G57" i="58"/>
  <c r="G56" i="58"/>
  <c r="G55" i="58"/>
  <c r="G54" i="58"/>
  <c r="G53" i="58"/>
  <c r="G51" i="58"/>
  <c r="G50" i="58"/>
  <c r="G49" i="58"/>
  <c r="G48" i="58"/>
  <c r="G47" i="58"/>
  <c r="G46" i="58"/>
  <c r="G45" i="58"/>
  <c r="G44" i="58"/>
  <c r="G43" i="58"/>
  <c r="G42" i="58"/>
  <c r="G35" i="58"/>
  <c r="G34" i="58"/>
  <c r="G33" i="58"/>
  <c r="G32" i="58"/>
  <c r="G31" i="58"/>
  <c r="G30" i="58"/>
  <c r="G29" i="58"/>
  <c r="G28" i="58"/>
  <c r="G27" i="58"/>
  <c r="G26" i="58"/>
  <c r="G25" i="58"/>
  <c r="G24" i="58"/>
  <c r="G170" i="57"/>
  <c r="G168" i="57"/>
  <c r="G167" i="57"/>
  <c r="G166" i="57"/>
  <c r="G164" i="57"/>
  <c r="G163" i="57"/>
  <c r="G162" i="57"/>
  <c r="G160" i="57"/>
  <c r="G159" i="57"/>
  <c r="G158" i="57"/>
  <c r="G155" i="57"/>
  <c r="G154" i="57"/>
  <c r="G153" i="57"/>
  <c r="G152" i="57"/>
  <c r="G151" i="57"/>
  <c r="G150" i="57"/>
  <c r="G149" i="57"/>
  <c r="G148" i="57"/>
  <c r="G147" i="57"/>
  <c r="G144" i="57"/>
  <c r="G143" i="57"/>
  <c r="G142" i="57"/>
  <c r="G141" i="57"/>
  <c r="G140" i="57"/>
  <c r="G139" i="57"/>
  <c r="G138" i="57"/>
  <c r="G137" i="57"/>
  <c r="G136" i="57"/>
  <c r="G135" i="57"/>
  <c r="G134" i="57"/>
  <c r="G133" i="57"/>
  <c r="G130" i="57"/>
  <c r="G129" i="57"/>
  <c r="G128" i="57"/>
  <c r="G127" i="57"/>
  <c r="G126" i="57"/>
  <c r="G125" i="57"/>
  <c r="G124" i="57"/>
  <c r="G123" i="57"/>
  <c r="G122" i="57"/>
  <c r="G121" i="57"/>
  <c r="G120" i="57"/>
  <c r="G119" i="57"/>
  <c r="G118" i="57"/>
  <c r="G117" i="57"/>
  <c r="G116" i="57"/>
  <c r="G113" i="57"/>
  <c r="G112" i="57"/>
  <c r="G111" i="57"/>
  <c r="G110" i="57"/>
  <c r="G109" i="57"/>
  <c r="G108" i="57"/>
  <c r="G107" i="57"/>
  <c r="G106" i="57"/>
  <c r="G103" i="57"/>
  <c r="G102" i="57"/>
  <c r="G98" i="57"/>
  <c r="G97" i="57"/>
  <c r="G96" i="57"/>
  <c r="G95" i="57"/>
  <c r="G94" i="57"/>
  <c r="G93" i="57"/>
  <c r="G92" i="57"/>
  <c r="G90" i="57"/>
  <c r="G89" i="57"/>
  <c r="G88" i="57"/>
  <c r="G87" i="57"/>
  <c r="G86" i="57"/>
  <c r="G85" i="57"/>
  <c r="G84" i="57"/>
  <c r="G83" i="57"/>
  <c r="G69" i="57"/>
  <c r="G68" i="57"/>
  <c r="G67" i="57"/>
  <c r="G66" i="57"/>
  <c r="G65" i="57"/>
  <c r="G64" i="57"/>
  <c r="G63" i="57"/>
  <c r="G62" i="57"/>
  <c r="G61" i="57"/>
  <c r="G60" i="57"/>
  <c r="G59" i="57"/>
  <c r="G58" i="57"/>
  <c r="G57" i="57"/>
  <c r="G56" i="57"/>
  <c r="G55" i="57"/>
  <c r="G54" i="57"/>
  <c r="G53" i="57"/>
  <c r="G52" i="57"/>
  <c r="G50" i="57"/>
  <c r="G49" i="57"/>
  <c r="G48" i="57"/>
  <c r="G47" i="57"/>
  <c r="G46" i="57"/>
  <c r="G45" i="57"/>
  <c r="G44" i="57"/>
  <c r="G43" i="57"/>
  <c r="G42" i="57"/>
  <c r="G35" i="57"/>
  <c r="G34" i="57"/>
  <c r="G33" i="57"/>
  <c r="G32" i="57"/>
  <c r="G31" i="57"/>
  <c r="G30" i="57"/>
  <c r="G29" i="57"/>
  <c r="G28" i="57"/>
  <c r="G27" i="57"/>
  <c r="G26" i="57"/>
  <c r="G25" i="57"/>
  <c r="G24" i="57"/>
  <c r="G274" i="56"/>
  <c r="G272" i="56"/>
  <c r="G271" i="56"/>
  <c r="G270" i="56"/>
  <c r="G269" i="56"/>
  <c r="G268" i="56"/>
  <c r="G267"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1" i="56"/>
  <c r="G240" i="56"/>
  <c r="G239" i="56"/>
  <c r="G238" i="56"/>
  <c r="G237" i="56"/>
  <c r="G236" i="56"/>
  <c r="G235" i="56"/>
  <c r="G234" i="56"/>
  <c r="G233" i="56"/>
  <c r="G232" i="56"/>
  <c r="G231" i="56"/>
  <c r="G230" i="56"/>
  <c r="G229" i="56"/>
  <c r="G228" i="56"/>
  <c r="G227" i="56"/>
  <c r="G226" i="56"/>
  <c r="G225" i="56"/>
  <c r="G224" i="56"/>
  <c r="G223" i="56"/>
  <c r="G222" i="56"/>
  <c r="G221" i="56"/>
  <c r="G220" i="56"/>
  <c r="G219" i="56"/>
  <c r="G218" i="56"/>
  <c r="G217" i="56"/>
  <c r="G216" i="56"/>
  <c r="G213" i="56"/>
  <c r="G212" i="56"/>
  <c r="G211" i="56"/>
  <c r="G210" i="56"/>
  <c r="G209" i="56"/>
  <c r="G208" i="56"/>
  <c r="G207" i="56"/>
  <c r="G206" i="56"/>
  <c r="G205" i="56"/>
  <c r="G204" i="56"/>
  <c r="G203" i="56"/>
  <c r="G202" i="56"/>
  <c r="G201" i="56"/>
  <c r="G200" i="56"/>
  <c r="G199" i="56"/>
  <c r="G198" i="56"/>
  <c r="G197" i="56"/>
  <c r="G196" i="56"/>
  <c r="G195" i="56"/>
  <c r="G192" i="56"/>
  <c r="G191" i="56"/>
  <c r="G190" i="56"/>
  <c r="G188" i="56"/>
  <c r="G187" i="56"/>
  <c r="G186" i="56"/>
  <c r="G183" i="56"/>
  <c r="G182" i="56"/>
  <c r="G181" i="56"/>
  <c r="G180" i="56"/>
  <c r="G179" i="56"/>
  <c r="G178" i="56"/>
  <c r="G177" i="56"/>
  <c r="G176" i="56"/>
  <c r="G175" i="56"/>
  <c r="G173" i="56"/>
  <c r="G172" i="56"/>
  <c r="G171" i="56"/>
  <c r="G170" i="56"/>
  <c r="G169" i="56"/>
  <c r="G168" i="56"/>
  <c r="G167" i="56"/>
  <c r="G165" i="56"/>
  <c r="G164" i="56"/>
  <c r="G163" i="56"/>
  <c r="G162" i="56"/>
  <c r="G161" i="56"/>
  <c r="G158" i="56"/>
  <c r="G157" i="56"/>
  <c r="G156" i="56"/>
  <c r="G155" i="56"/>
  <c r="G154" i="56"/>
  <c r="G153" i="56"/>
  <c r="G152" i="56"/>
  <c r="G151" i="56"/>
  <c r="G150" i="56"/>
  <c r="G149" i="56"/>
  <c r="G148" i="56"/>
  <c r="G147" i="56"/>
  <c r="G144" i="56"/>
  <c r="G143" i="56"/>
  <c r="G142" i="56"/>
  <c r="G141" i="56"/>
  <c r="G140" i="56"/>
  <c r="G139" i="56"/>
  <c r="G138" i="56"/>
  <c r="G137" i="56"/>
  <c r="G136" i="56"/>
  <c r="G135" i="56"/>
  <c r="G134" i="56"/>
  <c r="G133" i="56"/>
  <c r="G132" i="56"/>
  <c r="G131" i="56"/>
  <c r="G130" i="56"/>
  <c r="G127" i="56"/>
  <c r="G126" i="56"/>
  <c r="G125" i="56"/>
  <c r="G122" i="56"/>
  <c r="G121" i="56"/>
  <c r="G120" i="56"/>
  <c r="G119" i="56"/>
  <c r="G118" i="56"/>
  <c r="G117" i="56"/>
  <c r="G116" i="56"/>
  <c r="G115" i="56"/>
  <c r="G112" i="56"/>
  <c r="G111" i="56"/>
  <c r="G109" i="56"/>
  <c r="G108" i="56"/>
  <c r="G104" i="56"/>
  <c r="G103" i="56"/>
  <c r="G102" i="56"/>
  <c r="G101" i="56"/>
  <c r="G100" i="56"/>
  <c r="G99" i="56"/>
  <c r="G98" i="56"/>
  <c r="G96" i="56"/>
  <c r="G95" i="56"/>
  <c r="G94" i="56"/>
  <c r="G93" i="56"/>
  <c r="G79" i="56"/>
  <c r="G78" i="56"/>
  <c r="G77" i="56"/>
  <c r="G76" i="56"/>
  <c r="G75" i="56"/>
  <c r="G74" i="56"/>
  <c r="G73" i="56"/>
  <c r="G72" i="56"/>
  <c r="G71" i="56"/>
  <c r="G70" i="56"/>
  <c r="G69" i="56"/>
  <c r="G68" i="56"/>
  <c r="G67" i="56"/>
  <c r="G66" i="56"/>
  <c r="G65" i="56"/>
  <c r="G63" i="56"/>
  <c r="G62" i="56"/>
  <c r="G61" i="56"/>
  <c r="G60" i="56"/>
  <c r="G59" i="56"/>
  <c r="G58" i="56"/>
  <c r="G57" i="56"/>
  <c r="G56" i="56"/>
  <c r="G55" i="56"/>
  <c r="G54" i="56"/>
  <c r="G53" i="56"/>
  <c r="G52" i="56"/>
  <c r="G50" i="56"/>
  <c r="G49" i="56"/>
  <c r="G48" i="56"/>
  <c r="G47" i="56"/>
  <c r="G46" i="56"/>
  <c r="G45" i="56"/>
  <c r="G44" i="56"/>
  <c r="G43" i="56"/>
  <c r="G42" i="56"/>
  <c r="G35" i="56"/>
  <c r="G34" i="56"/>
  <c r="G33" i="56"/>
  <c r="G32" i="56"/>
  <c r="G31" i="56"/>
  <c r="G30" i="56"/>
  <c r="G29" i="56"/>
  <c r="G28" i="56"/>
  <c r="G27" i="56"/>
  <c r="G26" i="56"/>
  <c r="G25" i="56"/>
  <c r="G24" i="56"/>
  <c r="G113" i="61" l="1"/>
  <c r="G171" i="57"/>
  <c r="G17" i="57" s="1"/>
  <c r="G136" i="59"/>
  <c r="G33" i="71"/>
  <c r="G35" i="71" s="1"/>
  <c r="G49" i="59"/>
  <c r="G207" i="59"/>
  <c r="G16" i="59" s="1"/>
  <c r="G447" i="59"/>
  <c r="G30" i="59"/>
  <c r="G14" i="59" s="1"/>
  <c r="G17" i="61"/>
  <c r="G320" i="58"/>
  <c r="G17" i="58" s="1"/>
  <c r="G64" i="59"/>
  <c r="G80" i="56"/>
  <c r="G16" i="56" s="1"/>
  <c r="G84" i="59"/>
  <c r="G78" i="60"/>
  <c r="G16" i="60" s="1"/>
  <c r="G81" i="58"/>
  <c r="G16" i="58" s="1"/>
  <c r="G17" i="60"/>
  <c r="G60" i="61"/>
  <c r="G16" i="61" s="1"/>
  <c r="G36" i="56"/>
  <c r="G15" i="56" s="1"/>
  <c r="G70" i="57"/>
  <c r="G16" i="57" s="1"/>
  <c r="G36" i="60"/>
  <c r="G15" i="60" s="1"/>
  <c r="G275" i="56"/>
  <c r="G17" i="56" s="1"/>
  <c r="G36" i="57"/>
  <c r="G15" i="57" s="1"/>
  <c r="G106" i="59"/>
  <c r="G35" i="61"/>
  <c r="G15" i="61" s="1"/>
  <c r="G36" i="58"/>
  <c r="G15" i="58" s="1"/>
  <c r="G138" i="59" l="1"/>
  <c r="G15" i="59" s="1"/>
  <c r="G17" i="59"/>
  <c r="G18" i="58"/>
  <c r="G24" i="62" s="1"/>
  <c r="G18" i="57"/>
  <c r="G23" i="62" s="1"/>
  <c r="G18" i="61"/>
  <c r="G25" i="62" s="1"/>
  <c r="G18" i="56"/>
  <c r="G12" i="62" s="1"/>
  <c r="G18" i="60"/>
  <c r="G13" i="62" s="1"/>
  <c r="G237" i="55"/>
  <c r="G235" i="55"/>
  <c r="G234" i="55"/>
  <c r="G233" i="55"/>
  <c r="G231" i="55"/>
  <c r="G230" i="55"/>
  <c r="G229" i="55"/>
  <c r="G227" i="55"/>
  <c r="G226" i="55"/>
  <c r="G225" i="55"/>
  <c r="G223" i="55"/>
  <c r="G222" i="55"/>
  <c r="G221" i="55"/>
  <c r="G219" i="55"/>
  <c r="G218" i="55"/>
  <c r="G217" i="55"/>
  <c r="G214" i="55"/>
  <c r="G213" i="55"/>
  <c r="G212" i="55"/>
  <c r="G211" i="55"/>
  <c r="G210" i="55"/>
  <c r="G209" i="55"/>
  <c r="G208" i="55"/>
  <c r="G207" i="55"/>
  <c r="G206" i="55"/>
  <c r="G205" i="55"/>
  <c r="G204" i="55"/>
  <c r="G203" i="55"/>
  <c r="G202" i="55"/>
  <c r="G201" i="55"/>
  <c r="G200" i="55"/>
  <c r="G199" i="55"/>
  <c r="G198" i="55"/>
  <c r="G196" i="55"/>
  <c r="G195" i="55"/>
  <c r="G194" i="55"/>
  <c r="G193" i="55"/>
  <c r="G192" i="55"/>
  <c r="G191" i="55"/>
  <c r="G190" i="55"/>
  <c r="G189" i="55"/>
  <c r="G188" i="55"/>
  <c r="G187" i="55"/>
  <c r="G186" i="55"/>
  <c r="G185" i="55"/>
  <c r="G184" i="55"/>
  <c r="G183" i="55"/>
  <c r="G182" i="55"/>
  <c r="G181" i="55"/>
  <c r="G180" i="55"/>
  <c r="G178" i="55"/>
  <c r="G177" i="55"/>
  <c r="G176" i="55"/>
  <c r="G175" i="55"/>
  <c r="G174" i="55"/>
  <c r="G173" i="55"/>
  <c r="G172" i="55"/>
  <c r="G170" i="55"/>
  <c r="G169" i="55"/>
  <c r="G168" i="55"/>
  <c r="G167" i="55"/>
  <c r="G166" i="55"/>
  <c r="G165" i="55"/>
  <c r="G162" i="55"/>
  <c r="G161" i="55"/>
  <c r="G160" i="55"/>
  <c r="G159" i="55"/>
  <c r="G158" i="55"/>
  <c r="G157" i="55"/>
  <c r="G156" i="55"/>
  <c r="G155" i="55"/>
  <c r="G154" i="55"/>
  <c r="G153" i="55"/>
  <c r="G152" i="55"/>
  <c r="G149" i="55"/>
  <c r="G148" i="55"/>
  <c r="G147" i="55"/>
  <c r="G146" i="55"/>
  <c r="G145" i="55"/>
  <c r="G144" i="55"/>
  <c r="G143" i="55"/>
  <c r="G142" i="55"/>
  <c r="G141" i="55"/>
  <c r="G140" i="55"/>
  <c r="G139" i="55"/>
  <c r="G138" i="55"/>
  <c r="G137" i="55"/>
  <c r="G136" i="55"/>
  <c r="G135" i="55"/>
  <c r="G132" i="55"/>
  <c r="G131" i="55"/>
  <c r="G130" i="55"/>
  <c r="G127" i="55"/>
  <c r="G126" i="55"/>
  <c r="G125" i="55"/>
  <c r="G124" i="55"/>
  <c r="G123" i="55"/>
  <c r="G122" i="55"/>
  <c r="G121" i="55"/>
  <c r="G120" i="55"/>
  <c r="G119" i="55"/>
  <c r="G117" i="55"/>
  <c r="G116" i="55"/>
  <c r="G115" i="55"/>
  <c r="G114" i="55"/>
  <c r="G113" i="55"/>
  <c r="G112" i="55"/>
  <c r="G111" i="55"/>
  <c r="G108" i="55"/>
  <c r="G107" i="55"/>
  <c r="G105" i="55"/>
  <c r="G104" i="55"/>
  <c r="E100" i="55"/>
  <c r="G100" i="55" s="1"/>
  <c r="E99" i="55"/>
  <c r="G99" i="55" s="1"/>
  <c r="E98" i="55"/>
  <c r="G98" i="55" s="1"/>
  <c r="E97" i="55"/>
  <c r="G97" i="55" s="1"/>
  <c r="G96" i="55"/>
  <c r="G95" i="55"/>
  <c r="G94" i="55"/>
  <c r="G92" i="55"/>
  <c r="G91" i="55"/>
  <c r="G90" i="55"/>
  <c r="G89" i="55"/>
  <c r="G88" i="55"/>
  <c r="G87" i="55"/>
  <c r="G74" i="55"/>
  <c r="G73" i="55"/>
  <c r="G72" i="55"/>
  <c r="G71" i="55"/>
  <c r="G70" i="55"/>
  <c r="G69" i="55"/>
  <c r="G68" i="55"/>
  <c r="G67" i="55"/>
  <c r="G66" i="55"/>
  <c r="G65" i="55"/>
  <c r="G63" i="55"/>
  <c r="E62" i="55"/>
  <c r="G62" i="55" s="1"/>
  <c r="E58" i="55"/>
  <c r="G58" i="55" s="1"/>
  <c r="G57" i="55"/>
  <c r="G56" i="55"/>
  <c r="G55" i="55"/>
  <c r="G54" i="55"/>
  <c r="G53" i="55"/>
  <c r="G52" i="55"/>
  <c r="E50" i="55"/>
  <c r="G50" i="55" s="1"/>
  <c r="E48" i="55"/>
  <c r="G48" i="55" s="1"/>
  <c r="G47" i="55"/>
  <c r="G46" i="55"/>
  <c r="E45" i="55"/>
  <c r="G45" i="55" s="1"/>
  <c r="G44" i="55"/>
  <c r="G43" i="55"/>
  <c r="E42" i="55"/>
  <c r="E59" i="55" s="1"/>
  <c r="G59" i="55" s="1"/>
  <c r="E32" i="55"/>
  <c r="G32" i="55" s="1"/>
  <c r="G25" i="55"/>
  <c r="G238" i="55" l="1"/>
  <c r="G18" i="55" s="1"/>
  <c r="G18" i="59"/>
  <c r="G14" i="62" s="1"/>
  <c r="G26" i="62"/>
  <c r="G42" i="55"/>
  <c r="G36" i="55"/>
  <c r="G16" i="55" s="1"/>
  <c r="E60" i="55"/>
  <c r="E61" i="55" s="1"/>
  <c r="G61" i="55" s="1"/>
  <c r="G60" i="55" l="1"/>
  <c r="G75" i="55" s="1"/>
  <c r="G17" i="55" s="1"/>
  <c r="G19" i="55" s="1"/>
  <c r="G20" i="63" s="1"/>
  <c r="G25" i="49"/>
  <c r="G26" i="49"/>
  <c r="G27" i="49"/>
  <c r="G28" i="49"/>
  <c r="G29" i="49"/>
  <c r="G30" i="49"/>
  <c r="G31" i="49"/>
  <c r="G32" i="49"/>
  <c r="G33" i="49"/>
  <c r="G34" i="49"/>
  <c r="G35" i="49"/>
  <c r="G36" i="49"/>
  <c r="G37" i="49"/>
  <c r="G44" i="49"/>
  <c r="G45" i="49"/>
  <c r="G46" i="49"/>
  <c r="G47" i="49"/>
  <c r="G48" i="49"/>
  <c r="G49" i="49"/>
  <c r="G50" i="49"/>
  <c r="G51" i="49"/>
  <c r="G52" i="49"/>
  <c r="G53" i="49"/>
  <c r="G54" i="49"/>
  <c r="G55" i="49"/>
  <c r="G69" i="49"/>
  <c r="G70" i="49"/>
  <c r="G71" i="49"/>
  <c r="G72" i="49"/>
  <c r="G73" i="49"/>
  <c r="G74" i="49"/>
  <c r="G75" i="49"/>
  <c r="G79" i="49"/>
  <c r="G80" i="49"/>
  <c r="G81" i="49"/>
  <c r="G82" i="49"/>
  <c r="G83" i="49"/>
  <c r="G84" i="49"/>
  <c r="G85" i="49"/>
  <c r="G86" i="49"/>
  <c r="G87" i="49"/>
  <c r="G88" i="49"/>
  <c r="G89" i="49"/>
  <c r="G90" i="49"/>
  <c r="G93" i="49"/>
  <c r="G94" i="49"/>
  <c r="G95" i="49"/>
  <c r="G96" i="49"/>
  <c r="G97" i="49"/>
  <c r="G98" i="49"/>
  <c r="G99" i="49"/>
  <c r="G100" i="49"/>
  <c r="G101" i="49"/>
  <c r="G102" i="49"/>
  <c r="G103" i="49"/>
  <c r="G104" i="49"/>
  <c r="G105"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6" i="49"/>
  <c r="G147" i="49"/>
  <c r="G148" i="49"/>
  <c r="G149" i="49"/>
  <c r="G150" i="49"/>
  <c r="G151" i="49"/>
  <c r="G153" i="49"/>
  <c r="G154" i="49"/>
  <c r="G155" i="49"/>
  <c r="G157" i="49"/>
  <c r="G158" i="49"/>
  <c r="G159" i="49"/>
  <c r="G160" i="49"/>
  <c r="G161" i="49"/>
  <c r="G163" i="49"/>
  <c r="G164" i="49"/>
  <c r="G165" i="49"/>
  <c r="G166" i="49"/>
  <c r="G167" i="49"/>
  <c r="G168" i="49"/>
  <c r="G169" i="49"/>
  <c r="G170" i="49"/>
  <c r="G171" i="49"/>
  <c r="G173" i="49"/>
  <c r="G174" i="49"/>
  <c r="G175" i="49"/>
  <c r="G176" i="49"/>
  <c r="G177" i="49"/>
  <c r="G178" i="49"/>
  <c r="G179" i="49"/>
  <c r="G180" i="49"/>
  <c r="G181" i="49"/>
  <c r="G182" i="49"/>
  <c r="G183" i="49"/>
  <c r="G185" i="49"/>
  <c r="G186" i="49"/>
  <c r="G187" i="49"/>
  <c r="G188" i="49"/>
  <c r="G189" i="49"/>
  <c r="G190" i="49"/>
  <c r="G191" i="49"/>
  <c r="G193" i="49"/>
  <c r="G194" i="49"/>
  <c r="G195" i="49"/>
  <c r="G196" i="49"/>
  <c r="G197" i="49"/>
  <c r="G199" i="49"/>
  <c r="G200" i="49"/>
  <c r="G201" i="49"/>
  <c r="G202" i="49"/>
  <c r="G203" i="49"/>
  <c r="G204" i="49"/>
  <c r="G205" i="49"/>
  <c r="G206" i="49"/>
  <c r="G207" i="49"/>
  <c r="G208" i="49"/>
  <c r="G25" i="48"/>
  <c r="G26" i="48"/>
  <c r="G27" i="48"/>
  <c r="G28" i="48"/>
  <c r="G29" i="48"/>
  <c r="G30" i="48"/>
  <c r="G31" i="48"/>
  <c r="G32" i="48"/>
  <c r="G33" i="48"/>
  <c r="G34" i="48"/>
  <c r="G35" i="48"/>
  <c r="G36" i="48"/>
  <c r="G37" i="48"/>
  <c r="G38" i="48"/>
  <c r="G45" i="48"/>
  <c r="G46" i="48"/>
  <c r="G47" i="48"/>
  <c r="G48" i="48"/>
  <c r="G49" i="48"/>
  <c r="G50" i="48"/>
  <c r="G51" i="48"/>
  <c r="G52" i="48"/>
  <c r="G53" i="48"/>
  <c r="G54" i="48"/>
  <c r="G55" i="48"/>
  <c r="G56" i="48"/>
  <c r="G57" i="48"/>
  <c r="G58" i="48"/>
  <c r="G59" i="48"/>
  <c r="G60" i="48"/>
  <c r="G61" i="48"/>
  <c r="G62" i="48"/>
  <c r="G63" i="48"/>
  <c r="G64" i="48"/>
  <c r="G65" i="48"/>
  <c r="G66" i="48"/>
  <c r="G80" i="48"/>
  <c r="G81" i="48"/>
  <c r="G82" i="48"/>
  <c r="G83" i="48"/>
  <c r="G84"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7" i="48"/>
  <c r="G118" i="48"/>
  <c r="G119" i="48"/>
  <c r="G120"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61" i="48"/>
  <c r="G162" i="48"/>
  <c r="G163" i="48"/>
  <c r="G164" i="48"/>
  <c r="G165" i="48"/>
  <c r="G166" i="48"/>
  <c r="G168" i="48"/>
  <c r="G169" i="48"/>
  <c r="G170" i="48"/>
  <c r="G172" i="48"/>
  <c r="G173" i="48"/>
  <c r="G174" i="48"/>
  <c r="G175" i="48"/>
  <c r="G176" i="48"/>
  <c r="G178" i="48"/>
  <c r="G179" i="48"/>
  <c r="G180" i="48"/>
  <c r="G181" i="48"/>
  <c r="G182" i="48"/>
  <c r="G183" i="48"/>
  <c r="G184" i="48"/>
  <c r="G185" i="48"/>
  <c r="G186" i="48"/>
  <c r="G188" i="48"/>
  <c r="G189" i="48"/>
  <c r="G190" i="48"/>
  <c r="G191" i="48"/>
  <c r="G192" i="48"/>
  <c r="G193" i="48"/>
  <c r="G194" i="48"/>
  <c r="G195" i="48"/>
  <c r="G196" i="48"/>
  <c r="G197" i="48"/>
  <c r="G198" i="48"/>
  <c r="G200" i="48"/>
  <c r="G201" i="48"/>
  <c r="G202" i="48"/>
  <c r="G203" i="48"/>
  <c r="G204" i="48"/>
  <c r="G205" i="48"/>
  <c r="G206" i="48"/>
  <c r="G208" i="48"/>
  <c r="G209" i="48"/>
  <c r="G210" i="48"/>
  <c r="G211" i="48"/>
  <c r="G212" i="48"/>
  <c r="G214" i="48"/>
  <c r="G215" i="48"/>
  <c r="G216" i="48"/>
  <c r="G217" i="48"/>
  <c r="G218" i="48"/>
  <c r="G219" i="48"/>
  <c r="G220" i="48"/>
  <c r="G221" i="48"/>
  <c r="G222" i="48"/>
  <c r="G223" i="48"/>
  <c r="G25" i="47"/>
  <c r="G26" i="47"/>
  <c r="G27" i="47"/>
  <c r="G28" i="47"/>
  <c r="G29" i="47"/>
  <c r="G30" i="47"/>
  <c r="G31" i="47"/>
  <c r="G32" i="47"/>
  <c r="G33" i="47"/>
  <c r="G34" i="47"/>
  <c r="G35" i="47"/>
  <c r="G36" i="47"/>
  <c r="G43" i="47"/>
  <c r="G44" i="47"/>
  <c r="G45" i="47"/>
  <c r="G46" i="47"/>
  <c r="G47" i="47"/>
  <c r="G48" i="47"/>
  <c r="G49" i="47"/>
  <c r="G50" i="47"/>
  <c r="G51" i="47"/>
  <c r="G52" i="47"/>
  <c r="G53" i="47"/>
  <c r="G54" i="47"/>
  <c r="G55" i="47"/>
  <c r="G69" i="47"/>
  <c r="G70" i="47"/>
  <c r="G71" i="47"/>
  <c r="G72" i="47"/>
  <c r="G73" i="47"/>
  <c r="G77" i="47"/>
  <c r="G79" i="47"/>
  <c r="G80" i="47"/>
  <c r="G81" i="47"/>
  <c r="G82" i="47"/>
  <c r="G83" i="47"/>
  <c r="G84" i="47"/>
  <c r="G85" i="47"/>
  <c r="G86" i="47"/>
  <c r="G87" i="47"/>
  <c r="G88" i="47"/>
  <c r="G89" i="47"/>
  <c r="G90" i="47"/>
  <c r="G91" i="47"/>
  <c r="G92" i="47"/>
  <c r="G93" i="47"/>
  <c r="G94" i="47"/>
  <c r="G95" i="47"/>
  <c r="G96" i="47"/>
  <c r="G97" i="47"/>
  <c r="G98" i="47"/>
  <c r="G99" i="47"/>
  <c r="G101" i="47"/>
  <c r="G102" i="47"/>
  <c r="G103" i="47"/>
  <c r="G104" i="47"/>
  <c r="G105" i="47"/>
  <c r="G106" i="47"/>
  <c r="G107" i="47"/>
  <c r="G108" i="47"/>
  <c r="G109" i="47"/>
  <c r="G110" i="47"/>
  <c r="G111" i="47"/>
  <c r="G112" i="47"/>
  <c r="G113" i="47"/>
  <c r="G114" i="47"/>
  <c r="G115" i="47"/>
  <c r="G116" i="47"/>
  <c r="G117" i="47"/>
  <c r="G118" i="47"/>
  <c r="G119" i="47"/>
  <c r="G120" i="47"/>
  <c r="G121"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3" i="47"/>
  <c r="G164" i="47"/>
  <c r="G165" i="47"/>
  <c r="G166" i="47"/>
  <c r="G167" i="47"/>
  <c r="G168" i="47"/>
  <c r="G170" i="47"/>
  <c r="G171" i="47"/>
  <c r="G172" i="47"/>
  <c r="G174" i="47"/>
  <c r="G175" i="47"/>
  <c r="G176" i="47"/>
  <c r="G177" i="47"/>
  <c r="G178" i="47"/>
  <c r="G180" i="47"/>
  <c r="G181" i="47"/>
  <c r="G182" i="47"/>
  <c r="G183" i="47"/>
  <c r="G184" i="47"/>
  <c r="G185" i="47"/>
  <c r="G186" i="47"/>
  <c r="G187" i="47"/>
  <c r="G188" i="47"/>
  <c r="G190" i="47"/>
  <c r="G191" i="47"/>
  <c r="G192" i="47"/>
  <c r="G193" i="47"/>
  <c r="G194" i="47"/>
  <c r="G195" i="47"/>
  <c r="G196" i="47"/>
  <c r="G197" i="47"/>
  <c r="G198" i="47"/>
  <c r="G199" i="47"/>
  <c r="G200" i="47"/>
  <c r="G202" i="47"/>
  <c r="G203" i="47"/>
  <c r="G204" i="47"/>
  <c r="G205" i="47"/>
  <c r="G206" i="47"/>
  <c r="G207" i="47"/>
  <c r="G208" i="47"/>
  <c r="G210" i="47"/>
  <c r="G211" i="47"/>
  <c r="G212" i="47"/>
  <c r="G213" i="47"/>
  <c r="G214" i="47"/>
  <c r="G216" i="47"/>
  <c r="G217" i="47"/>
  <c r="G218" i="47"/>
  <c r="G219" i="47"/>
  <c r="G220" i="47"/>
  <c r="G221" i="47"/>
  <c r="G222" i="47"/>
  <c r="G223" i="47"/>
  <c r="G224" i="47"/>
  <c r="G225" i="47"/>
  <c r="G28" i="46"/>
  <c r="G29" i="46"/>
  <c r="G30" i="46"/>
  <c r="G31" i="46"/>
  <c r="G32" i="46"/>
  <c r="G33" i="46"/>
  <c r="G34" i="46"/>
  <c r="G35" i="46"/>
  <c r="G55" i="46"/>
  <c r="G69" i="46"/>
  <c r="G70" i="46"/>
  <c r="G71" i="46"/>
  <c r="G72" i="46"/>
  <c r="G73" i="46"/>
  <c r="G74" i="46"/>
  <c r="G75" i="46"/>
  <c r="G76" i="46"/>
  <c r="G77" i="46"/>
  <c r="G78" i="46"/>
  <c r="G79" i="46"/>
  <c r="G80" i="46"/>
  <c r="G81" i="46"/>
  <c r="G82" i="46"/>
  <c r="G83" i="46"/>
  <c r="G84" i="46"/>
  <c r="G85" i="46"/>
  <c r="G86" i="46"/>
  <c r="G87" i="46"/>
  <c r="G88" i="46"/>
  <c r="G89" i="46"/>
  <c r="G93" i="46"/>
  <c r="G94" i="46"/>
  <c r="G95" i="46"/>
  <c r="G96" i="46"/>
  <c r="G97" i="46"/>
  <c r="G98" i="46"/>
  <c r="G99" i="46"/>
  <c r="G100" i="46"/>
  <c r="G103" i="46"/>
  <c r="G104" i="46"/>
  <c r="G107" i="46"/>
  <c r="G108" i="46"/>
  <c r="G109" i="46"/>
  <c r="G110" i="46"/>
  <c r="G111" i="46"/>
  <c r="G112" i="46"/>
  <c r="G115" i="46"/>
  <c r="G116" i="46"/>
  <c r="G117" i="46"/>
  <c r="G118" i="46"/>
  <c r="G119" i="46"/>
  <c r="G120" i="46"/>
  <c r="G121" i="46"/>
  <c r="G122" i="46"/>
  <c r="G125" i="46"/>
  <c r="G126" i="46"/>
  <c r="G127" i="46"/>
  <c r="G128" i="46"/>
  <c r="G129" i="46"/>
  <c r="G130" i="46"/>
  <c r="G131" i="46"/>
  <c r="G134" i="46"/>
  <c r="G135" i="46"/>
  <c r="G136" i="46"/>
  <c r="G139" i="46"/>
  <c r="G140" i="46"/>
  <c r="G141" i="46"/>
  <c r="G24" i="45"/>
  <c r="G25" i="45"/>
  <c r="G26" i="45"/>
  <c r="G27" i="45"/>
  <c r="G28" i="45"/>
  <c r="G35" i="45"/>
  <c r="G36" i="45"/>
  <c r="G37" i="45"/>
  <c r="G51" i="45"/>
  <c r="G52" i="45"/>
  <c r="G53" i="45"/>
  <c r="G54" i="45"/>
  <c r="G55" i="45"/>
  <c r="G56" i="45"/>
  <c r="G57" i="45"/>
  <c r="G58" i="45"/>
  <c r="G59" i="45"/>
  <c r="G60" i="45"/>
  <c r="G61" i="45"/>
  <c r="G62" i="45"/>
  <c r="G63" i="45"/>
  <c r="G64" i="45"/>
  <c r="G65" i="45"/>
  <c r="G66" i="45"/>
  <c r="G67" i="45"/>
  <c r="G68" i="45"/>
  <c r="G69" i="45"/>
  <c r="G70" i="45"/>
  <c r="G71" i="45"/>
  <c r="G72" i="45"/>
  <c r="G73" i="45"/>
  <c r="G74" i="45"/>
  <c r="G76" i="45"/>
  <c r="G77" i="45"/>
  <c r="G78" i="45"/>
  <c r="G79" i="45"/>
  <c r="G80" i="45"/>
  <c r="G81" i="45"/>
  <c r="G82" i="45"/>
  <c r="G86" i="45"/>
  <c r="G87" i="45"/>
  <c r="G88" i="45"/>
  <c r="G89" i="45"/>
  <c r="G91" i="45"/>
  <c r="G92" i="45"/>
  <c r="G93" i="45"/>
  <c r="G94" i="45"/>
  <c r="G95" i="45"/>
  <c r="G97" i="45"/>
  <c r="G98" i="45"/>
  <c r="G99" i="45"/>
  <c r="G100" i="45"/>
  <c r="G101" i="45"/>
  <c r="G103" i="45"/>
  <c r="G104" i="45"/>
  <c r="G105" i="45"/>
  <c r="G106" i="45"/>
  <c r="G107" i="45"/>
  <c r="G109" i="45"/>
  <c r="G110" i="45"/>
  <c r="G111" i="45"/>
  <c r="G112" i="45"/>
  <c r="G113" i="45"/>
  <c r="G115" i="45"/>
  <c r="G116" i="45"/>
  <c r="G118" i="45"/>
  <c r="G119" i="45"/>
  <c r="G121" i="45"/>
  <c r="G122" i="45"/>
  <c r="G124" i="45"/>
  <c r="G125" i="45"/>
  <c r="G128" i="45"/>
  <c r="G129" i="45"/>
  <c r="G130" i="45"/>
  <c r="G131" i="45"/>
  <c r="G132" i="45"/>
  <c r="G133" i="45"/>
  <c r="G134" i="45"/>
  <c r="G135" i="45"/>
  <c r="G136" i="45"/>
  <c r="G137" i="45"/>
  <c r="G138" i="45"/>
  <c r="G140" i="45"/>
  <c r="G141" i="45"/>
  <c r="G142" i="45"/>
  <c r="G143" i="45"/>
  <c r="G144" i="45"/>
  <c r="G145" i="45"/>
  <c r="G146" i="45"/>
  <c r="G147" i="45"/>
  <c r="G148" i="45"/>
  <c r="G149" i="45"/>
  <c r="G150" i="45"/>
  <c r="G152" i="45"/>
  <c r="G153" i="45"/>
  <c r="G154" i="45"/>
  <c r="G155" i="45"/>
  <c r="G156" i="45"/>
  <c r="G157" i="45"/>
  <c r="G158" i="45"/>
  <c r="G159" i="45"/>
  <c r="G160" i="45"/>
  <c r="G161" i="45"/>
  <c r="G162" i="45"/>
  <c r="G164" i="45"/>
  <c r="G165" i="45"/>
  <c r="G166" i="45"/>
  <c r="G167" i="45"/>
  <c r="G168" i="45"/>
  <c r="G169" i="45"/>
  <c r="G170" i="45"/>
  <c r="G172" i="45"/>
  <c r="G173" i="45"/>
  <c r="G174" i="45"/>
  <c r="G175" i="45"/>
  <c r="G176" i="45"/>
  <c r="G177" i="45"/>
  <c r="G178" i="45"/>
  <c r="G180" i="45"/>
  <c r="G181" i="45"/>
  <c r="G182" i="45"/>
  <c r="G183" i="45"/>
  <c r="G184" i="45"/>
  <c r="G185" i="45"/>
  <c r="G186" i="45"/>
  <c r="G187" i="45"/>
  <c r="G189" i="45"/>
  <c r="G190" i="45"/>
  <c r="G191" i="45"/>
  <c r="G192" i="45"/>
  <c r="G193" i="45"/>
  <c r="G194" i="45"/>
  <c r="G195" i="45"/>
  <c r="G196" i="45"/>
  <c r="G198" i="45"/>
  <c r="G199" i="45"/>
  <c r="G200" i="45"/>
  <c r="G201" i="45"/>
  <c r="G202" i="45"/>
  <c r="G203" i="45"/>
  <c r="G204" i="45"/>
  <c r="G205" i="45"/>
  <c r="G207" i="45"/>
  <c r="G208" i="45"/>
  <c r="G209" i="45"/>
  <c r="G210" i="45"/>
  <c r="G211" i="45"/>
  <c r="G212" i="45"/>
  <c r="G213" i="45"/>
  <c r="G214" i="45"/>
  <c r="G215" i="45"/>
  <c r="G216" i="45"/>
  <c r="G219" i="45"/>
  <c r="G220" i="45"/>
  <c r="G221" i="45"/>
  <c r="G222" i="45"/>
  <c r="G223" i="45"/>
  <c r="G225" i="45"/>
  <c r="G226" i="45"/>
  <c r="G227" i="45"/>
  <c r="G228" i="45"/>
  <c r="G229" i="45"/>
  <c r="G231" i="45"/>
  <c r="G232" i="45"/>
  <c r="G233" i="45"/>
  <c r="G234" i="45"/>
  <c r="G235" i="45"/>
  <c r="G237" i="45"/>
  <c r="G238" i="45"/>
  <c r="G239" i="45"/>
  <c r="G242" i="45"/>
  <c r="G243" i="45"/>
  <c r="G244" i="45"/>
  <c r="G245" i="45"/>
  <c r="G246" i="45"/>
  <c r="G247" i="45"/>
  <c r="G248" i="45"/>
  <c r="G249" i="45"/>
  <c r="G250" i="45"/>
  <c r="G251" i="45"/>
  <c r="G252" i="45"/>
  <c r="G253" i="45"/>
  <c r="G254" i="45"/>
  <c r="G256" i="45"/>
  <c r="G257" i="45"/>
  <c r="G258" i="45"/>
  <c r="G259" i="45"/>
  <c r="G260" i="45"/>
  <c r="G261" i="45"/>
  <c r="G262" i="45"/>
  <c r="G263" i="45"/>
  <c r="G264" i="45"/>
  <c r="G265" i="45"/>
  <c r="G266" i="45"/>
  <c r="G267" i="45"/>
  <c r="G268" i="45"/>
  <c r="G269" i="45"/>
  <c r="G270" i="45"/>
  <c r="G272" i="45"/>
  <c r="G273" i="45"/>
  <c r="G274" i="45"/>
  <c r="G275" i="45"/>
  <c r="G276" i="45"/>
  <c r="G277" i="45"/>
  <c r="G278" i="45"/>
  <c r="G279" i="45"/>
  <c r="G280" i="45"/>
  <c r="G281" i="45"/>
  <c r="G282" i="45"/>
  <c r="G283" i="45"/>
  <c r="G284" i="45"/>
  <c r="G285" i="45"/>
  <c r="G286" i="45"/>
  <c r="G288" i="45"/>
  <c r="G289" i="45"/>
  <c r="G290" i="45"/>
  <c r="G291" i="45"/>
  <c r="G292" i="45"/>
  <c r="G293" i="45"/>
  <c r="G294" i="45"/>
  <c r="G295" i="45"/>
  <c r="G296" i="45"/>
  <c r="G297" i="45"/>
  <c r="G298" i="45"/>
  <c r="G299" i="45"/>
  <c r="G300" i="45"/>
  <c r="G301" i="45"/>
  <c r="G302" i="45"/>
  <c r="G304" i="45"/>
  <c r="G305" i="45"/>
  <c r="G306" i="45"/>
  <c r="G307" i="45"/>
  <c r="G308" i="45"/>
  <c r="G309" i="45"/>
  <c r="G310" i="45"/>
  <c r="G311" i="45"/>
  <c r="G312" i="45"/>
  <c r="G313" i="45"/>
  <c r="G314" i="45"/>
  <c r="G315" i="45"/>
  <c r="G316" i="45"/>
  <c r="G317" i="45"/>
  <c r="G318" i="45"/>
  <c r="G320" i="45"/>
  <c r="G321" i="45"/>
  <c r="G322" i="45"/>
  <c r="G323" i="45"/>
  <c r="G324" i="45"/>
  <c r="G325" i="45"/>
  <c r="G326" i="45"/>
  <c r="G327" i="45"/>
  <c r="G328" i="45"/>
  <c r="G329" i="45"/>
  <c r="G330" i="45"/>
  <c r="G331" i="45"/>
  <c r="G332" i="45"/>
  <c r="G333" i="45"/>
  <c r="G334" i="45"/>
  <c r="G335" i="45"/>
  <c r="G337" i="45"/>
  <c r="G338" i="45"/>
  <c r="G339" i="45"/>
  <c r="G340" i="45"/>
  <c r="G341" i="45"/>
  <c r="G342" i="45"/>
  <c r="G343" i="45"/>
  <c r="G344" i="45"/>
  <c r="G345" i="45"/>
  <c r="G346" i="45"/>
  <c r="G347" i="45"/>
  <c r="G348" i="45"/>
  <c r="G349" i="45"/>
  <c r="G350" i="45"/>
  <c r="G351" i="45"/>
  <c r="G352" i="45"/>
  <c r="G354" i="45"/>
  <c r="G355" i="45"/>
  <c r="G356" i="45"/>
  <c r="G357" i="45"/>
  <c r="G358" i="45"/>
  <c r="G359" i="45"/>
  <c r="G360" i="45"/>
  <c r="G361" i="45"/>
  <c r="G362" i="45"/>
  <c r="G363" i="45"/>
  <c r="G364" i="45"/>
  <c r="G365" i="45"/>
  <c r="G366" i="45"/>
  <c r="G367" i="45"/>
  <c r="G368" i="45"/>
  <c r="G369" i="45"/>
  <c r="G372" i="45"/>
  <c r="G373" i="45"/>
  <c r="G374" i="45"/>
  <c r="G375" i="45"/>
  <c r="G376" i="45"/>
  <c r="G377" i="45"/>
  <c r="G378" i="45"/>
  <c r="G379" i="45"/>
  <c r="G380" i="45"/>
  <c r="G382" i="45"/>
  <c r="G383" i="45"/>
  <c r="G384" i="45"/>
  <c r="G385" i="45"/>
  <c r="G386" i="45"/>
  <c r="G387" i="45"/>
  <c r="G388" i="45"/>
  <c r="G389" i="45"/>
  <c r="G390" i="45"/>
  <c r="G391" i="45"/>
  <c r="G393" i="45"/>
  <c r="G394" i="45"/>
  <c r="G395" i="45"/>
  <c r="G396" i="45"/>
  <c r="G397" i="45"/>
  <c r="G398" i="45"/>
  <c r="G399" i="45"/>
  <c r="G400" i="45"/>
  <c r="G401" i="45"/>
  <c r="G402" i="45"/>
  <c r="G404" i="45"/>
  <c r="G405" i="45"/>
  <c r="G406" i="45"/>
  <c r="G407" i="45"/>
  <c r="G408" i="45"/>
  <c r="G409" i="45"/>
  <c r="G410" i="45"/>
  <c r="G411" i="45"/>
  <c r="G412" i="45"/>
  <c r="G413" i="45"/>
  <c r="G415" i="45"/>
  <c r="G416" i="45"/>
  <c r="G417" i="45"/>
  <c r="G418" i="45"/>
  <c r="G419" i="45"/>
  <c r="G420" i="45"/>
  <c r="G421" i="45"/>
  <c r="G422" i="45"/>
  <c r="G423" i="45"/>
  <c r="G424" i="45"/>
  <c r="G426" i="45"/>
  <c r="G427" i="45"/>
  <c r="G428" i="45"/>
  <c r="G429" i="45"/>
  <c r="G430" i="45"/>
  <c r="G431" i="45"/>
  <c r="G432" i="45"/>
  <c r="G433" i="45"/>
  <c r="G434" i="45"/>
  <c r="G435" i="45"/>
  <c r="G436" i="45"/>
  <c r="G438" i="45"/>
  <c r="G439" i="45"/>
  <c r="G440" i="45"/>
  <c r="G441" i="45"/>
  <c r="G442" i="45"/>
  <c r="G443" i="45"/>
  <c r="G444" i="45"/>
  <c r="G445" i="45"/>
  <c r="G446" i="45"/>
  <c r="G447" i="45"/>
  <c r="G448" i="45"/>
  <c r="G449" i="45"/>
  <c r="G452" i="45"/>
  <c r="G453" i="45"/>
  <c r="G454" i="45"/>
  <c r="G455" i="45"/>
  <c r="G456" i="45"/>
  <c r="G457" i="45"/>
  <c r="G459" i="45"/>
  <c r="G460" i="45"/>
  <c r="G461" i="45"/>
  <c r="G462" i="45"/>
  <c r="G464" i="45"/>
  <c r="G465" i="45"/>
  <c r="G466" i="45"/>
  <c r="G467" i="45"/>
  <c r="G469" i="45"/>
  <c r="G470" i="45"/>
  <c r="G471" i="45"/>
  <c r="G472" i="45"/>
  <c r="G474" i="45"/>
  <c r="G475" i="45"/>
  <c r="G476" i="45"/>
  <c r="G477" i="45"/>
  <c r="G479" i="45"/>
  <c r="G480" i="45"/>
  <c r="G481" i="45"/>
  <c r="G482" i="45"/>
  <c r="G483" i="45"/>
  <c r="G485" i="45"/>
  <c r="G486" i="45"/>
  <c r="G487" i="45"/>
  <c r="G488" i="45"/>
  <c r="G489" i="45"/>
  <c r="G491" i="45"/>
  <c r="G492" i="45"/>
  <c r="G493" i="45"/>
  <c r="G494" i="45"/>
  <c r="G495" i="45"/>
  <c r="G498" i="45"/>
  <c r="G499" i="45"/>
  <c r="G500" i="45"/>
  <c r="G501" i="45"/>
  <c r="G502" i="45"/>
  <c r="G503" i="45"/>
  <c r="G504" i="45"/>
  <c r="G506" i="45"/>
  <c r="G507" i="45"/>
  <c r="G508" i="45"/>
  <c r="G509" i="45"/>
  <c r="G510" i="45"/>
  <c r="G511" i="45"/>
  <c r="G512" i="45"/>
  <c r="G514" i="45"/>
  <c r="G515" i="45"/>
  <c r="G516" i="45"/>
  <c r="G517" i="45"/>
  <c r="G518" i="45"/>
  <c r="G519" i="45"/>
  <c r="G520" i="45"/>
  <c r="G522" i="45"/>
  <c r="G523" i="45"/>
  <c r="G524" i="45"/>
  <c r="G525" i="45"/>
  <c r="G526" i="45"/>
  <c r="G527" i="45"/>
  <c r="G528" i="45"/>
  <c r="G530" i="45"/>
  <c r="G531" i="45"/>
  <c r="G532" i="45"/>
  <c r="G533" i="45"/>
  <c r="G534" i="45"/>
  <c r="G535" i="45"/>
  <c r="G536" i="45"/>
  <c r="G537" i="45"/>
  <c r="G539" i="45"/>
  <c r="G540" i="45"/>
  <c r="G541" i="45"/>
  <c r="G542" i="45"/>
  <c r="G543" i="45"/>
  <c r="G544" i="45"/>
  <c r="G545" i="45"/>
  <c r="G546" i="45"/>
  <c r="G548" i="45"/>
  <c r="G549" i="45"/>
  <c r="G550" i="45"/>
  <c r="G551" i="45"/>
  <c r="G552" i="45"/>
  <c r="G553" i="45"/>
  <c r="G554" i="45"/>
  <c r="G555" i="45"/>
  <c r="G557" i="45"/>
  <c r="G558" i="45"/>
  <c r="G559" i="45"/>
  <c r="G560" i="45"/>
  <c r="G561" i="45"/>
  <c r="G562" i="45"/>
  <c r="G563" i="45"/>
  <c r="G564" i="45"/>
  <c r="G565" i="45"/>
  <c r="G566" i="45"/>
  <c r="G568" i="45"/>
  <c r="G569" i="45"/>
  <c r="G570" i="45"/>
  <c r="G571" i="45"/>
  <c r="G572" i="45"/>
  <c r="G573" i="45"/>
  <c r="G575" i="45"/>
  <c r="G576" i="45"/>
  <c r="G577" i="45"/>
  <c r="G578" i="45"/>
  <c r="G579" i="45"/>
  <c r="G580" i="45"/>
  <c r="G581" i="45"/>
  <c r="G583" i="45"/>
  <c r="G584" i="45"/>
  <c r="G585" i="45"/>
  <c r="G586" i="45"/>
  <c r="G587" i="45"/>
  <c r="G588" i="45"/>
  <c r="G590" i="45"/>
  <c r="G591" i="45"/>
  <c r="G592" i="45"/>
  <c r="G593" i="45"/>
  <c r="G594" i="45"/>
  <c r="G595" i="45"/>
  <c r="G597" i="45"/>
  <c r="G598" i="45"/>
  <c r="G599" i="45"/>
  <c r="G600" i="45"/>
  <c r="G601" i="45"/>
  <c r="G602" i="45"/>
  <c r="G603" i="45"/>
  <c r="G605" i="45"/>
  <c r="G606" i="45"/>
  <c r="G607" i="45"/>
  <c r="G608" i="45"/>
  <c r="G609" i="45"/>
  <c r="G610" i="45"/>
  <c r="G611" i="45"/>
  <c r="G613" i="45"/>
  <c r="G614" i="45"/>
  <c r="G615" i="45"/>
  <c r="G616" i="45"/>
  <c r="G617" i="45"/>
  <c r="G618" i="45"/>
  <c r="G619" i="45"/>
  <c r="G621" i="45"/>
  <c r="G622" i="45"/>
  <c r="G623" i="45"/>
  <c r="G624" i="45"/>
  <c r="G625" i="45"/>
  <c r="G626" i="45"/>
  <c r="G627" i="45"/>
  <c r="G628" i="45"/>
  <c r="G629" i="45"/>
  <c r="G630" i="45"/>
  <c r="G632" i="45"/>
  <c r="G633" i="45"/>
  <c r="G634" i="45"/>
  <c r="G635" i="45"/>
  <c r="G637" i="45"/>
  <c r="G638" i="45"/>
  <c r="G639" i="45"/>
  <c r="G640" i="45"/>
  <c r="G641" i="45"/>
  <c r="G643" i="45"/>
  <c r="G644" i="45"/>
  <c r="G645" i="45"/>
  <c r="G646" i="45"/>
  <c r="G647" i="45"/>
  <c r="G648" i="45"/>
  <c r="G650" i="45"/>
  <c r="G651" i="45"/>
  <c r="G652" i="45"/>
  <c r="G653" i="45"/>
  <c r="G654" i="45"/>
  <c r="G655" i="45"/>
  <c r="G657" i="45"/>
  <c r="G658" i="45"/>
  <c r="G659" i="45"/>
  <c r="G660" i="45"/>
  <c r="G661" i="45"/>
  <c r="G662" i="45"/>
  <c r="G664" i="45"/>
  <c r="G665" i="45"/>
  <c r="G666" i="45"/>
  <c r="G667" i="45"/>
  <c r="G668" i="45"/>
  <c r="G669" i="45"/>
  <c r="G670" i="45"/>
  <c r="G671" i="45"/>
  <c r="G673" i="45"/>
  <c r="G674" i="45"/>
  <c r="G675" i="45"/>
  <c r="G676" i="45"/>
  <c r="G678" i="45"/>
  <c r="G679" i="45"/>
  <c r="G680" i="45"/>
  <c r="G681" i="45"/>
  <c r="G682" i="45"/>
  <c r="G683" i="45"/>
  <c r="G685" i="45"/>
  <c r="G686" i="45"/>
  <c r="G687" i="45"/>
  <c r="G688" i="45"/>
  <c r="G689" i="45"/>
  <c r="G690" i="45"/>
  <c r="G692" i="45"/>
  <c r="G693" i="45"/>
  <c r="G694" i="45"/>
  <c r="G695" i="45"/>
  <c r="G696" i="45"/>
  <c r="G697" i="45"/>
  <c r="G699" i="45"/>
  <c r="G700" i="45"/>
  <c r="G701" i="45"/>
  <c r="G702" i="45"/>
  <c r="G703" i="45"/>
  <c r="G704" i="45"/>
  <c r="G705" i="45"/>
  <c r="G706" i="45"/>
  <c r="G708" i="45"/>
  <c r="G709" i="45"/>
  <c r="G710" i="45"/>
  <c r="G711" i="45"/>
  <c r="G712" i="45"/>
  <c r="G714" i="45"/>
  <c r="G715" i="45"/>
  <c r="G716" i="45"/>
  <c r="G717" i="45"/>
  <c r="G718" i="45"/>
  <c r="G719" i="45"/>
  <c r="G720" i="45"/>
  <c r="G722" i="45"/>
  <c r="G723" i="45"/>
  <c r="G724" i="45"/>
  <c r="G725" i="45"/>
  <c r="G726" i="45"/>
  <c r="G727" i="45"/>
  <c r="G728" i="45"/>
  <c r="G730" i="45"/>
  <c r="G731" i="45"/>
  <c r="G732" i="45"/>
  <c r="G733" i="45"/>
  <c r="G734" i="45"/>
  <c r="G735" i="45"/>
  <c r="G736" i="45"/>
  <c r="G737" i="45"/>
  <c r="G738" i="45"/>
  <c r="G740" i="45"/>
  <c r="G741" i="45"/>
  <c r="G742" i="45"/>
  <c r="G743" i="45"/>
  <c r="G744" i="45"/>
  <c r="G746" i="45"/>
  <c r="G747" i="45"/>
  <c r="G748" i="45"/>
  <c r="G749" i="45"/>
  <c r="G750" i="45"/>
  <c r="G751" i="45"/>
  <c r="G752" i="45"/>
  <c r="G754" i="45"/>
  <c r="G755" i="45"/>
  <c r="G756" i="45"/>
  <c r="G757" i="45"/>
  <c r="G758" i="45"/>
  <c r="G759" i="45"/>
  <c r="G760" i="45"/>
  <c r="G761" i="45"/>
  <c r="G762" i="45"/>
  <c r="G765" i="45"/>
  <c r="G766" i="45"/>
  <c r="G767" i="45"/>
  <c r="G769" i="45"/>
  <c r="G770" i="45"/>
  <c r="G771" i="45"/>
  <c r="G773" i="45"/>
  <c r="G774" i="45"/>
  <c r="G775" i="45"/>
  <c r="G777" i="45"/>
  <c r="G778" i="45"/>
  <c r="G779" i="45"/>
  <c r="G781" i="45"/>
  <c r="G782" i="45"/>
  <c r="G783" i="45"/>
  <c r="G785" i="45"/>
  <c r="G786" i="45"/>
  <c r="G787" i="45"/>
  <c r="G789" i="45"/>
  <c r="G790" i="45"/>
  <c r="G791" i="45"/>
  <c r="G793" i="45"/>
  <c r="G794" i="45"/>
  <c r="G795" i="45"/>
  <c r="G797" i="45"/>
  <c r="G798" i="45"/>
  <c r="G799" i="45"/>
  <c r="G801" i="45"/>
  <c r="G802" i="45"/>
  <c r="G803" i="45"/>
  <c r="G805" i="45"/>
  <c r="G806" i="45"/>
  <c r="G807" i="45"/>
  <c r="G809" i="45"/>
  <c r="G810" i="45"/>
  <c r="G811" i="45"/>
  <c r="G813" i="45"/>
  <c r="G814" i="45"/>
  <c r="G815" i="45"/>
  <c r="G817" i="45"/>
  <c r="G818" i="45"/>
  <c r="G819" i="45"/>
  <c r="G821" i="45"/>
  <c r="G822" i="45"/>
  <c r="G823" i="45"/>
  <c r="G825" i="45"/>
  <c r="G826" i="45"/>
  <c r="G827" i="45"/>
  <c r="G829" i="45"/>
  <c r="G830" i="45"/>
  <c r="G831" i="45"/>
  <c r="G833" i="45"/>
  <c r="G834" i="45"/>
  <c r="G835" i="45"/>
  <c r="G838" i="45"/>
  <c r="G839" i="45"/>
  <c r="G840" i="45"/>
  <c r="G841" i="45"/>
  <c r="G842" i="45"/>
  <c r="G843" i="45"/>
  <c r="G844" i="45"/>
  <c r="G845" i="45"/>
  <c r="G846" i="45"/>
  <c r="G847" i="45"/>
  <c r="G848" i="45"/>
  <c r="G849" i="45"/>
  <c r="G850" i="45"/>
  <c r="G851" i="45"/>
  <c r="G852" i="45"/>
  <c r="G853" i="45"/>
  <c r="G854" i="45"/>
  <c r="G855" i="45"/>
  <c r="G856" i="45"/>
  <c r="G858" i="45"/>
  <c r="G859" i="45"/>
  <c r="G860" i="45"/>
  <c r="G861" i="45"/>
  <c r="G862" i="45"/>
  <c r="G863" i="45"/>
  <c r="G864" i="45"/>
  <c r="G865" i="45"/>
  <c r="G866" i="45"/>
  <c r="G867" i="45"/>
  <c r="G868" i="45"/>
  <c r="G869" i="45"/>
  <c r="G870" i="45"/>
  <c r="G871" i="45"/>
  <c r="G872" i="45"/>
  <c r="G873" i="45"/>
  <c r="G874" i="45"/>
  <c r="G876" i="45"/>
  <c r="G877" i="45"/>
  <c r="G878" i="45"/>
  <c r="G879" i="45"/>
  <c r="G880" i="45"/>
  <c r="G881" i="45"/>
  <c r="G882" i="45"/>
  <c r="G883" i="45"/>
  <c r="G884" i="45"/>
  <c r="G885" i="45"/>
  <c r="G886" i="45"/>
  <c r="G887" i="45"/>
  <c r="G888" i="45"/>
  <c r="G889" i="45"/>
  <c r="G890" i="45"/>
  <c r="G891" i="45"/>
  <c r="G892" i="45"/>
  <c r="G893" i="45"/>
  <c r="G894" i="45"/>
  <c r="G896" i="45"/>
  <c r="G897" i="45"/>
  <c r="G898" i="45"/>
  <c r="G899" i="45"/>
  <c r="G900" i="45"/>
  <c r="G901" i="45"/>
  <c r="G902" i="45"/>
  <c r="G903" i="45"/>
  <c r="G904" i="45"/>
  <c r="G905" i="45"/>
  <c r="G906" i="45"/>
  <c r="G907" i="45"/>
  <c r="G908" i="45"/>
  <c r="G909" i="45"/>
  <c r="G910" i="45"/>
  <c r="G911" i="45"/>
  <c r="G912" i="45"/>
  <c r="G913" i="45"/>
  <c r="G914" i="45"/>
  <c r="G916" i="45"/>
  <c r="G917" i="45"/>
  <c r="G918" i="45"/>
  <c r="G919" i="45"/>
  <c r="G920" i="45"/>
  <c r="G921" i="45"/>
  <c r="G922" i="45"/>
  <c r="G923" i="45"/>
  <c r="G924" i="45"/>
  <c r="G925" i="45"/>
  <c r="G926" i="45"/>
  <c r="G927" i="45"/>
  <c r="G928" i="45"/>
  <c r="G929" i="45"/>
  <c r="G930" i="45"/>
  <c r="G931" i="45"/>
  <c r="G932" i="45"/>
  <c r="G933" i="45"/>
  <c r="G934" i="45"/>
  <c r="G937" i="45"/>
  <c r="G938" i="45"/>
  <c r="G939" i="45"/>
  <c r="G940" i="45"/>
  <c r="G941" i="45"/>
  <c r="G942" i="45"/>
  <c r="G943" i="45"/>
  <c r="G944" i="45"/>
  <c r="G945" i="45"/>
  <c r="G946" i="45"/>
  <c r="G947" i="45"/>
  <c r="G948" i="45"/>
  <c r="G949" i="45"/>
  <c r="G950" i="45"/>
  <c r="G951" i="45"/>
  <c r="G952" i="45"/>
  <c r="G953" i="45"/>
  <c r="G954" i="45"/>
  <c r="G955" i="45"/>
  <c r="G956" i="45"/>
  <c r="G957" i="45"/>
  <c r="G958" i="45"/>
  <c r="G959" i="45"/>
  <c r="G960" i="45"/>
  <c r="G961" i="45"/>
  <c r="G962" i="45"/>
  <c r="G963" i="45"/>
  <c r="G964" i="45"/>
  <c r="G966" i="45"/>
  <c r="G967" i="45"/>
  <c r="G968" i="45"/>
  <c r="G969" i="45"/>
  <c r="G970" i="45"/>
  <c r="G971" i="45"/>
  <c r="G972" i="45"/>
  <c r="G973" i="45"/>
  <c r="G974" i="45"/>
  <c r="G975" i="45"/>
  <c r="G976" i="45"/>
  <c r="G977" i="45"/>
  <c r="G978" i="45"/>
  <c r="G979" i="45"/>
  <c r="G980" i="45"/>
  <c r="G981" i="45"/>
  <c r="G982" i="45"/>
  <c r="G983" i="45"/>
  <c r="G984" i="45"/>
  <c r="G985" i="45"/>
  <c r="G986" i="45"/>
  <c r="G987" i="45"/>
  <c r="G988" i="45"/>
  <c r="G989" i="45"/>
  <c r="G990" i="45"/>
  <c r="G991" i="45"/>
  <c r="G992" i="45"/>
  <c r="G993" i="45"/>
  <c r="G995" i="45"/>
  <c r="G996" i="45"/>
  <c r="G997" i="45"/>
  <c r="G998" i="45"/>
  <c r="G999" i="45"/>
  <c r="G1000" i="45"/>
  <c r="G1001" i="45"/>
  <c r="G1002" i="45"/>
  <c r="G1003" i="45"/>
  <c r="G1004" i="45"/>
  <c r="G1005" i="45"/>
  <c r="G1006" i="45"/>
  <c r="G1007" i="45"/>
  <c r="G1008" i="45"/>
  <c r="G1009" i="45"/>
  <c r="G1010" i="45"/>
  <c r="G1011" i="45"/>
  <c r="G1012" i="45"/>
  <c r="G1013" i="45"/>
  <c r="G1014" i="45"/>
  <c r="G1015" i="45"/>
  <c r="G1016" i="45"/>
  <c r="G1017" i="45"/>
  <c r="G1018" i="45"/>
  <c r="G1019" i="45"/>
  <c r="G1020" i="45"/>
  <c r="G1022" i="45"/>
  <c r="G1023" i="45"/>
  <c r="G1024" i="45"/>
  <c r="G1025" i="45"/>
  <c r="G1026" i="45"/>
  <c r="G1027" i="45"/>
  <c r="G1028" i="45"/>
  <c r="G1029" i="45"/>
  <c r="G1030" i="45"/>
  <c r="G1031" i="45"/>
  <c r="G1032" i="45"/>
  <c r="G1033" i="45"/>
  <c r="G1034" i="45"/>
  <c r="G1035" i="45"/>
  <c r="G1036" i="45"/>
  <c r="G1037" i="45"/>
  <c r="G1038" i="45"/>
  <c r="G1039" i="45"/>
  <c r="G1040" i="45"/>
  <c r="G1041" i="45"/>
  <c r="G1042" i="45"/>
  <c r="G1043" i="45"/>
  <c r="G1044" i="45"/>
  <c r="G1045" i="45"/>
  <c r="G1046" i="45"/>
  <c r="G1047" i="45"/>
  <c r="G1048" i="45"/>
  <c r="G1049" i="45"/>
  <c r="G1050" i="45"/>
  <c r="G1051" i="45"/>
  <c r="G1053" i="45"/>
  <c r="G1054" i="45"/>
  <c r="G1055" i="45"/>
  <c r="G1056" i="45"/>
  <c r="G1057" i="45"/>
  <c r="G1058" i="45"/>
  <c r="G1059" i="45"/>
  <c r="G1060" i="45"/>
  <c r="G1061" i="45"/>
  <c r="G1062" i="45"/>
  <c r="G1063" i="45"/>
  <c r="G1064" i="45"/>
  <c r="G1065" i="45"/>
  <c r="G1066" i="45"/>
  <c r="G1067" i="45"/>
  <c r="G1068" i="45"/>
  <c r="G1069" i="45"/>
  <c r="G1070" i="45"/>
  <c r="G1071" i="45"/>
  <c r="G1072" i="45"/>
  <c r="G1073" i="45"/>
  <c r="G1074" i="45"/>
  <c r="G1075" i="45"/>
  <c r="G1076" i="45"/>
  <c r="G1077" i="45"/>
  <c r="G1078" i="45"/>
  <c r="G1080" i="45"/>
  <c r="G1081" i="45"/>
  <c r="G1082" i="45"/>
  <c r="G1083" i="45"/>
  <c r="G1084" i="45"/>
  <c r="G1085" i="45"/>
  <c r="G1086" i="45"/>
  <c r="G1087" i="45"/>
  <c r="G1088" i="45"/>
  <c r="G1089" i="45"/>
  <c r="G1090" i="45"/>
  <c r="G1091" i="45"/>
  <c r="G1092" i="45"/>
  <c r="G1093" i="45"/>
  <c r="G1094" i="45"/>
  <c r="G1095" i="45"/>
  <c r="G1096" i="45"/>
  <c r="G1097" i="45"/>
  <c r="G1098" i="45"/>
  <c r="G1099" i="45"/>
  <c r="G1100" i="45"/>
  <c r="G1101" i="45"/>
  <c r="G1102" i="45"/>
  <c r="G1103" i="45"/>
  <c r="G1104" i="45"/>
  <c r="G1105" i="45"/>
  <c r="G1106" i="45"/>
  <c r="G1107" i="45"/>
  <c r="G1109" i="45"/>
  <c r="G1111" i="45"/>
  <c r="G1112" i="45"/>
  <c r="G1113" i="45"/>
  <c r="G1114" i="45"/>
  <c r="G1115" i="45"/>
  <c r="G1116" i="45"/>
  <c r="G1117" i="45"/>
  <c r="G1118" i="45"/>
  <c r="G1119" i="45"/>
  <c r="G1120" i="45"/>
  <c r="G1121" i="45"/>
  <c r="G1122" i="45"/>
  <c r="G1123" i="45"/>
  <c r="G1124" i="45"/>
  <c r="G1133" i="45"/>
  <c r="G27" i="44"/>
  <c r="G28" i="44"/>
  <c r="G29" i="44"/>
  <c r="G49" i="44"/>
  <c r="G64" i="44"/>
  <c r="G65" i="44"/>
  <c r="G66" i="44"/>
  <c r="G67" i="44"/>
  <c r="G68" i="44"/>
  <c r="G69" i="44"/>
  <c r="G70" i="44"/>
  <c r="G71" i="44"/>
  <c r="G72" i="44"/>
  <c r="G73" i="44"/>
  <c r="G74" i="44"/>
  <c r="G75" i="44"/>
  <c r="G76" i="44"/>
  <c r="G77" i="44"/>
  <c r="G78" i="44"/>
  <c r="G79" i="44"/>
  <c r="G80" i="44"/>
  <c r="G81" i="44"/>
  <c r="G82" i="44"/>
  <c r="G83" i="44"/>
  <c r="G87" i="44"/>
  <c r="G88" i="44"/>
  <c r="G89" i="44"/>
  <c r="G90" i="44"/>
  <c r="G91" i="44"/>
  <c r="G92" i="44"/>
  <c r="G93" i="44"/>
  <c r="G94" i="44"/>
  <c r="G97" i="44"/>
  <c r="G98" i="44"/>
  <c r="G101" i="44"/>
  <c r="G102" i="44"/>
  <c r="G103" i="44"/>
  <c r="G104" i="44"/>
  <c r="G105" i="44"/>
  <c r="G106" i="44"/>
  <c r="G109" i="44"/>
  <c r="G110" i="44"/>
  <c r="G111" i="44"/>
  <c r="G112" i="44"/>
  <c r="G113" i="44"/>
  <c r="G114" i="44"/>
  <c r="G115" i="44"/>
  <c r="G116" i="44"/>
  <c r="G119" i="44"/>
  <c r="G120" i="44"/>
  <c r="G121" i="44"/>
  <c r="G122" i="44"/>
  <c r="G123" i="44"/>
  <c r="G124" i="44"/>
  <c r="G125" i="44"/>
  <c r="G128" i="44"/>
  <c r="G129" i="44"/>
  <c r="G130" i="44"/>
  <c r="G133" i="44"/>
  <c r="G134" i="44"/>
  <c r="G135" i="44"/>
  <c r="G25" i="43"/>
  <c r="G26" i="43"/>
  <c r="G33" i="43"/>
  <c r="G34" i="43"/>
  <c r="G35" i="43"/>
  <c r="G36" i="43"/>
  <c r="G37" i="43"/>
  <c r="G38" i="43"/>
  <c r="G39" i="43"/>
  <c r="G40" i="43"/>
  <c r="G51" i="43"/>
  <c r="G52" i="43"/>
  <c r="G53" i="43"/>
  <c r="G90" i="43"/>
  <c r="G91" i="43"/>
  <c r="G92" i="43"/>
  <c r="G93" i="43"/>
  <c r="G94" i="43"/>
  <c r="G95" i="43"/>
  <c r="G96" i="43"/>
  <c r="G97" i="43"/>
  <c r="G98" i="43"/>
  <c r="G99" i="43"/>
  <c r="G100" i="43"/>
  <c r="G101" i="43"/>
  <c r="G102" i="43"/>
  <c r="G103" i="43"/>
  <c r="G104" i="43"/>
  <c r="G105" i="43"/>
  <c r="G106" i="43"/>
  <c r="G107" i="43"/>
  <c r="G108" i="43"/>
  <c r="G109" i="43"/>
  <c r="G110" i="43"/>
  <c r="G114" i="43"/>
  <c r="G115" i="43"/>
  <c r="G116" i="43"/>
  <c r="G117" i="43"/>
  <c r="G118" i="43"/>
  <c r="G119" i="43"/>
  <c r="G120" i="43"/>
  <c r="G121" i="43"/>
  <c r="G123" i="43"/>
  <c r="G124" i="43"/>
  <c r="G125" i="43"/>
  <c r="G127" i="43"/>
  <c r="G128" i="43"/>
  <c r="G129" i="43"/>
  <c r="G130" i="43"/>
  <c r="G131" i="43"/>
  <c r="G132" i="43"/>
  <c r="G133" i="43"/>
  <c r="G135" i="43"/>
  <c r="G136" i="43"/>
  <c r="G137" i="43"/>
  <c r="G138" i="43"/>
  <c r="G139" i="43"/>
  <c r="G140" i="43"/>
  <c r="G141" i="43"/>
  <c r="G142" i="43"/>
  <c r="G143" i="43"/>
  <c r="G145" i="43"/>
  <c r="G146" i="43"/>
  <c r="G147" i="43"/>
  <c r="G148" i="43"/>
  <c r="G149" i="43"/>
  <c r="G150" i="43"/>
  <c r="G151" i="43"/>
  <c r="G152" i="43"/>
  <c r="G154" i="43"/>
  <c r="G155" i="43"/>
  <c r="G156" i="43"/>
  <c r="G157" i="43"/>
  <c r="G159" i="43"/>
  <c r="G160" i="43"/>
  <c r="G161" i="43"/>
  <c r="G162" i="43"/>
  <c r="G27" i="41"/>
  <c r="G28" i="41"/>
  <c r="G29" i="41"/>
  <c r="G64" i="41"/>
  <c r="G65" i="41"/>
  <c r="G66" i="41"/>
  <c r="G67" i="41"/>
  <c r="G68" i="41"/>
  <c r="G69" i="41"/>
  <c r="G70" i="41"/>
  <c r="G71" i="41"/>
  <c r="G72" i="41"/>
  <c r="G73" i="41"/>
  <c r="G74" i="41"/>
  <c r="G75" i="41"/>
  <c r="G76" i="41"/>
  <c r="G77" i="41"/>
  <c r="G78" i="41"/>
  <c r="G79" i="41"/>
  <c r="G80" i="41"/>
  <c r="G81" i="41"/>
  <c r="G82" i="41"/>
  <c r="G83" i="41"/>
  <c r="G84" i="41"/>
  <c r="G88" i="41"/>
  <c r="G89" i="41"/>
  <c r="G90" i="41"/>
  <c r="G91" i="41"/>
  <c r="G92" i="41"/>
  <c r="G93" i="41"/>
  <c r="G94" i="41"/>
  <c r="G95" i="41"/>
  <c r="G97" i="41"/>
  <c r="G98" i="41"/>
  <c r="G99" i="41"/>
  <c r="G101" i="41"/>
  <c r="G102" i="41"/>
  <c r="G103" i="41"/>
  <c r="G104" i="41"/>
  <c r="G105" i="41"/>
  <c r="G106" i="41"/>
  <c r="G107" i="41"/>
  <c r="G109" i="41"/>
  <c r="G110" i="41"/>
  <c r="G111" i="41"/>
  <c r="G112" i="41"/>
  <c r="G113" i="41"/>
  <c r="G114" i="41"/>
  <c r="G115" i="41"/>
  <c r="G116" i="41"/>
  <c r="G117" i="41"/>
  <c r="G119" i="41"/>
  <c r="G120" i="41"/>
  <c r="G121" i="41"/>
  <c r="G122" i="41"/>
  <c r="G123" i="41"/>
  <c r="G124" i="41"/>
  <c r="G125" i="41"/>
  <c r="G126" i="41"/>
  <c r="G128" i="41"/>
  <c r="G129" i="41"/>
  <c r="G130" i="41"/>
  <c r="G131" i="41"/>
  <c r="G133" i="41"/>
  <c r="G134" i="41"/>
  <c r="G135" i="41"/>
  <c r="G136" i="41"/>
  <c r="G27" i="40"/>
  <c r="G28" i="40"/>
  <c r="G29" i="40"/>
  <c r="G32" i="40"/>
  <c r="G33" i="40"/>
  <c r="G34" i="40"/>
  <c r="G35" i="40"/>
  <c r="G36" i="40"/>
  <c r="G37" i="40"/>
  <c r="G38" i="40"/>
  <c r="G39" i="40"/>
  <c r="G40" i="40"/>
  <c r="G41" i="40"/>
  <c r="G42" i="40"/>
  <c r="G43" i="40"/>
  <c r="G44" i="40"/>
  <c r="G45" i="40"/>
  <c r="G46" i="40"/>
  <c r="G47" i="40"/>
  <c r="G48" i="40"/>
  <c r="G49" i="40"/>
  <c r="G50" i="40"/>
  <c r="G51" i="40"/>
  <c r="G82" i="40"/>
  <c r="G83" i="40"/>
  <c r="G84" i="40"/>
  <c r="G85" i="40"/>
  <c r="G86" i="40"/>
  <c r="G87" i="40"/>
  <c r="G88" i="40"/>
  <c r="G89" i="40"/>
  <c r="G90" i="40"/>
  <c r="G91" i="40"/>
  <c r="G92" i="40"/>
  <c r="G93" i="40"/>
  <c r="G94" i="40"/>
  <c r="G95" i="40"/>
  <c r="G96" i="40"/>
  <c r="G97" i="40"/>
  <c r="G98" i="40"/>
  <c r="G99" i="40"/>
  <c r="G100" i="40"/>
  <c r="G101" i="40"/>
  <c r="G102" i="40"/>
  <c r="G106" i="40"/>
  <c r="G107" i="40"/>
  <c r="G108" i="40"/>
  <c r="G109" i="40"/>
  <c r="G110" i="40"/>
  <c r="G111" i="40"/>
  <c r="G112" i="40"/>
  <c r="G113" i="40"/>
  <c r="G115" i="40"/>
  <c r="G116" i="40"/>
  <c r="G117" i="40"/>
  <c r="G119" i="40"/>
  <c r="G120" i="40"/>
  <c r="G121" i="40"/>
  <c r="G122" i="40"/>
  <c r="G123" i="40"/>
  <c r="G124" i="40"/>
  <c r="G125" i="40"/>
  <c r="G127" i="40"/>
  <c r="G128" i="40"/>
  <c r="G129" i="40"/>
  <c r="G130" i="40"/>
  <c r="G131" i="40"/>
  <c r="G132" i="40"/>
  <c r="G133" i="40"/>
  <c r="G134" i="40"/>
  <c r="G135" i="40"/>
  <c r="G137" i="40"/>
  <c r="G138" i="40"/>
  <c r="G139" i="40"/>
  <c r="G140" i="40"/>
  <c r="G141" i="40"/>
  <c r="G142" i="40"/>
  <c r="G143" i="40"/>
  <c r="G144" i="40"/>
  <c r="G146" i="40"/>
  <c r="G147" i="40"/>
  <c r="G148" i="40"/>
  <c r="G149" i="40"/>
  <c r="G151" i="40"/>
  <c r="G152" i="40"/>
  <c r="G153" i="40"/>
  <c r="G154" i="40"/>
  <c r="G27" i="39"/>
  <c r="G28" i="39"/>
  <c r="G29" i="39"/>
  <c r="G32" i="39"/>
  <c r="G33" i="39"/>
  <c r="G34" i="39"/>
  <c r="G35" i="39"/>
  <c r="G36" i="39"/>
  <c r="G37" i="39"/>
  <c r="G38" i="39"/>
  <c r="G39" i="39"/>
  <c r="G40" i="39"/>
  <c r="G41" i="39"/>
  <c r="G42" i="39"/>
  <c r="G43" i="39"/>
  <c r="G44" i="39"/>
  <c r="G45" i="39"/>
  <c r="G46" i="39"/>
  <c r="G47" i="39"/>
  <c r="G55" i="39"/>
  <c r="G78" i="39"/>
  <c r="G79" i="39"/>
  <c r="G80" i="39"/>
  <c r="G81" i="39"/>
  <c r="G82" i="39"/>
  <c r="G83" i="39"/>
  <c r="G84" i="39"/>
  <c r="G85" i="39"/>
  <c r="G86" i="39"/>
  <c r="G87" i="39"/>
  <c r="G88" i="39"/>
  <c r="G89" i="39"/>
  <c r="G90" i="39"/>
  <c r="G91" i="39"/>
  <c r="G92" i="39"/>
  <c r="G93" i="39"/>
  <c r="G94" i="39"/>
  <c r="G95" i="39"/>
  <c r="G96" i="39"/>
  <c r="G97" i="39"/>
  <c r="G98" i="39"/>
  <c r="G102" i="39"/>
  <c r="G103" i="39"/>
  <c r="G104" i="39"/>
  <c r="G105" i="39"/>
  <c r="G106" i="39"/>
  <c r="G107" i="39"/>
  <c r="G108" i="39"/>
  <c r="G109" i="39"/>
  <c r="G111" i="39"/>
  <c r="G112" i="39"/>
  <c r="G113" i="39"/>
  <c r="G115" i="39"/>
  <c r="G116" i="39"/>
  <c r="G117" i="39"/>
  <c r="G118" i="39"/>
  <c r="G119" i="39"/>
  <c r="G120" i="39"/>
  <c r="G121" i="39"/>
  <c r="G123" i="39"/>
  <c r="G124" i="39"/>
  <c r="G125" i="39"/>
  <c r="G126" i="39"/>
  <c r="G127" i="39"/>
  <c r="G128" i="39"/>
  <c r="G129" i="39"/>
  <c r="G130" i="39"/>
  <c r="G131" i="39"/>
  <c r="G133" i="39"/>
  <c r="G134" i="39"/>
  <c r="G135" i="39"/>
  <c r="G136" i="39"/>
  <c r="G137" i="39"/>
  <c r="G138" i="39"/>
  <c r="G139" i="39"/>
  <c r="G140" i="39"/>
  <c r="G142" i="39"/>
  <c r="G143" i="39"/>
  <c r="G144" i="39"/>
  <c r="G145" i="39"/>
  <c r="G147" i="39"/>
  <c r="G148" i="39"/>
  <c r="G149" i="39"/>
  <c r="G150" i="39"/>
  <c r="G27" i="38"/>
  <c r="G28" i="38"/>
  <c r="G29" i="38"/>
  <c r="G32" i="38"/>
  <c r="G33" i="38"/>
  <c r="G34" i="38"/>
  <c r="G35" i="38"/>
  <c r="G36" i="38"/>
  <c r="G37" i="38"/>
  <c r="G38" i="38"/>
  <c r="G39" i="38"/>
  <c r="G40" i="38"/>
  <c r="G41" i="38"/>
  <c r="G42" i="38"/>
  <c r="G43" i="38"/>
  <c r="G44" i="38"/>
  <c r="G67" i="38"/>
  <c r="G68" i="38"/>
  <c r="G69" i="38"/>
  <c r="G70" i="38"/>
  <c r="G71" i="38"/>
  <c r="G72" i="38"/>
  <c r="G73" i="38"/>
  <c r="G74" i="38"/>
  <c r="G75" i="38"/>
  <c r="G76" i="38"/>
  <c r="G77" i="38"/>
  <c r="G78" i="38"/>
  <c r="G79" i="38"/>
  <c r="G80" i="38"/>
  <c r="G81" i="38"/>
  <c r="G82" i="38"/>
  <c r="G83" i="38"/>
  <c r="G84" i="38"/>
  <c r="G85" i="38"/>
  <c r="G86" i="38"/>
  <c r="G87" i="38"/>
  <c r="G91" i="38"/>
  <c r="G92" i="38"/>
  <c r="G93" i="38"/>
  <c r="G94" i="38"/>
  <c r="G95" i="38"/>
  <c r="G96" i="38"/>
  <c r="G98" i="38"/>
  <c r="G99" i="38"/>
  <c r="G100" i="38"/>
  <c r="G102" i="38"/>
  <c r="G103" i="38"/>
  <c r="G104" i="38"/>
  <c r="G105" i="38"/>
  <c r="G106" i="38"/>
  <c r="G108" i="38"/>
  <c r="G109" i="38"/>
  <c r="G110" i="38"/>
  <c r="G111" i="38"/>
  <c r="G112" i="38"/>
  <c r="G113" i="38"/>
  <c r="G114" i="38"/>
  <c r="G115" i="38"/>
  <c r="G116" i="38"/>
  <c r="G118" i="38"/>
  <c r="G119" i="38"/>
  <c r="G120" i="38"/>
  <c r="G121" i="38"/>
  <c r="G122" i="38"/>
  <c r="G123" i="38"/>
  <c r="G124" i="38"/>
  <c r="G125" i="38"/>
  <c r="G127" i="38"/>
  <c r="G128" i="38"/>
  <c r="G129" i="38"/>
  <c r="G130" i="38"/>
  <c r="G132" i="38"/>
  <c r="G133" i="38"/>
  <c r="G134" i="38"/>
  <c r="G135" i="38"/>
  <c r="G25" i="36"/>
  <c r="G26" i="36"/>
  <c r="G33" i="36"/>
  <c r="G34" i="36"/>
  <c r="G35" i="36"/>
  <c r="G36" i="36"/>
  <c r="G37" i="36"/>
  <c r="G38" i="36"/>
  <c r="G39" i="36"/>
  <c r="G40" i="36"/>
  <c r="G51" i="36"/>
  <c r="G52" i="36"/>
  <c r="G53" i="36"/>
  <c r="G56" i="36"/>
  <c r="G57" i="36"/>
  <c r="G58" i="36"/>
  <c r="G59" i="36"/>
  <c r="G60" i="36"/>
  <c r="G61" i="36"/>
  <c r="G25" i="34"/>
  <c r="G26" i="34"/>
  <c r="G33" i="34"/>
  <c r="G34" i="34"/>
  <c r="G35" i="34"/>
  <c r="G36" i="34"/>
  <c r="G37" i="34"/>
  <c r="G38" i="34"/>
  <c r="G39" i="34"/>
  <c r="G40" i="34"/>
  <c r="G51" i="34"/>
  <c r="G52" i="34"/>
  <c r="G53" i="34"/>
  <c r="G56" i="34"/>
  <c r="G57" i="34"/>
  <c r="G58" i="34"/>
  <c r="G59" i="34"/>
  <c r="G60" i="34"/>
  <c r="G61" i="34"/>
  <c r="G62" i="34"/>
  <c r="G63" i="34"/>
  <c r="G64" i="34"/>
  <c r="G27" i="33"/>
  <c r="G28" i="33"/>
  <c r="G29" i="33"/>
  <c r="G32" i="33"/>
  <c r="G33" i="33"/>
  <c r="G34" i="33"/>
  <c r="G35" i="33"/>
  <c r="G36" i="33"/>
  <c r="G37" i="33"/>
  <c r="G38" i="33"/>
  <c r="G39" i="33"/>
  <c r="G40" i="33"/>
  <c r="G63" i="33"/>
  <c r="G64" i="33"/>
  <c r="G65" i="33"/>
  <c r="G66" i="33"/>
  <c r="G67" i="33"/>
  <c r="G68" i="33"/>
  <c r="G69" i="33"/>
  <c r="G70" i="33"/>
  <c r="G71" i="33"/>
  <c r="G72" i="33"/>
  <c r="G73" i="33"/>
  <c r="G74" i="33"/>
  <c r="G75" i="33"/>
  <c r="G76" i="33"/>
  <c r="G77" i="33"/>
  <c r="G78" i="33"/>
  <c r="G79" i="33"/>
  <c r="G80" i="33"/>
  <c r="G81" i="33"/>
  <c r="G82" i="33"/>
  <c r="G83" i="33"/>
  <c r="G84" i="33"/>
  <c r="G85" i="33"/>
  <c r="G89" i="33"/>
  <c r="G90" i="33"/>
  <c r="G91" i="33"/>
  <c r="G92" i="33"/>
  <c r="G93" i="33"/>
  <c r="G94" i="33"/>
  <c r="G96" i="33"/>
  <c r="G97" i="33"/>
  <c r="G98" i="33"/>
  <c r="G100" i="33"/>
  <c r="G101" i="33"/>
  <c r="G102" i="33"/>
  <c r="G103" i="33"/>
  <c r="G104" i="33"/>
  <c r="G106" i="33"/>
  <c r="G107" i="33"/>
  <c r="G108" i="33"/>
  <c r="G109" i="33"/>
  <c r="G110" i="33"/>
  <c r="G111" i="33"/>
  <c r="G112" i="33"/>
  <c r="G113" i="33"/>
  <c r="G115" i="33"/>
  <c r="G116" i="33"/>
  <c r="G117" i="33"/>
  <c r="G118" i="33"/>
  <c r="G119" i="33"/>
  <c r="G120" i="33"/>
  <c r="G121" i="33"/>
  <c r="G123" i="33"/>
  <c r="G124" i="33"/>
  <c r="G125" i="33"/>
  <c r="G126" i="33"/>
  <c r="G128" i="33"/>
  <c r="G129" i="33"/>
  <c r="G130" i="33"/>
  <c r="G131" i="33"/>
  <c r="G28" i="32"/>
  <c r="G29" i="32"/>
  <c r="G30" i="32"/>
  <c r="G33" i="32"/>
  <c r="G34" i="32"/>
  <c r="G35" i="32"/>
  <c r="G36" i="32"/>
  <c r="G37" i="32"/>
  <c r="G38" i="32"/>
  <c r="G39" i="32"/>
  <c r="G40" i="32"/>
  <c r="G65" i="32"/>
  <c r="G66" i="32"/>
  <c r="G67" i="32"/>
  <c r="G68" i="32"/>
  <c r="G69" i="32"/>
  <c r="G70" i="32"/>
  <c r="G71" i="32"/>
  <c r="G72" i="32"/>
  <c r="G73" i="32"/>
  <c r="G74" i="32"/>
  <c r="G75" i="32"/>
  <c r="G76" i="32"/>
  <c r="G77" i="32"/>
  <c r="G78" i="32"/>
  <c r="G79" i="32"/>
  <c r="G80" i="32"/>
  <c r="G81" i="32"/>
  <c r="G82" i="32"/>
  <c r="G83" i="32"/>
  <c r="G84" i="32"/>
  <c r="G85" i="32"/>
  <c r="G86" i="32"/>
  <c r="G87" i="32"/>
  <c r="G91" i="32"/>
  <c r="G92" i="32"/>
  <c r="G93" i="32"/>
  <c r="G94" i="32"/>
  <c r="G95" i="32"/>
  <c r="G96" i="32"/>
  <c r="G98" i="32"/>
  <c r="G99" i="32"/>
  <c r="G100" i="32"/>
  <c r="G102" i="32"/>
  <c r="G103" i="32"/>
  <c r="G104" i="32"/>
  <c r="G105" i="32"/>
  <c r="G106" i="32"/>
  <c r="G108" i="32"/>
  <c r="G109" i="32"/>
  <c r="G110" i="32"/>
  <c r="G111" i="32"/>
  <c r="G112" i="32"/>
  <c r="G113" i="32"/>
  <c r="G114" i="32"/>
  <c r="G115" i="32"/>
  <c r="G117" i="32"/>
  <c r="G118" i="32"/>
  <c r="G119" i="32"/>
  <c r="G120" i="32"/>
  <c r="G121" i="32"/>
  <c r="G122" i="32"/>
  <c r="G123" i="32"/>
  <c r="G125" i="32"/>
  <c r="G126" i="32"/>
  <c r="G127" i="32"/>
  <c r="G128" i="32"/>
  <c r="G130" i="32"/>
  <c r="G131" i="32"/>
  <c r="G132" i="32"/>
  <c r="G133" i="32"/>
  <c r="G28" i="31"/>
  <c r="G29" i="31"/>
  <c r="G30" i="31"/>
  <c r="G33" i="31"/>
  <c r="G34" i="31"/>
  <c r="G35" i="31"/>
  <c r="G36" i="31"/>
  <c r="G37" i="31"/>
  <c r="G38" i="31"/>
  <c r="G39" i="31"/>
  <c r="G40" i="31"/>
  <c r="G41" i="31"/>
  <c r="G64" i="31"/>
  <c r="G65" i="31"/>
  <c r="G66" i="31"/>
  <c r="G67" i="31"/>
  <c r="G68" i="31"/>
  <c r="G69" i="31"/>
  <c r="G70" i="31"/>
  <c r="G71" i="31"/>
  <c r="G72" i="31"/>
  <c r="G73" i="31"/>
  <c r="G74" i="31"/>
  <c r="G75" i="31"/>
  <c r="G76" i="31"/>
  <c r="G77" i="31"/>
  <c r="G78" i="31"/>
  <c r="G79" i="31"/>
  <c r="G80" i="31"/>
  <c r="G81" i="31"/>
  <c r="G82" i="31"/>
  <c r="G83" i="31"/>
  <c r="G84" i="31"/>
  <c r="G85" i="31"/>
  <c r="G86" i="31"/>
  <c r="G90" i="31"/>
  <c r="G91" i="31"/>
  <c r="G92" i="31"/>
  <c r="G93" i="31"/>
  <c r="G94" i="31"/>
  <c r="G95" i="31"/>
  <c r="G97" i="31"/>
  <c r="G98" i="31"/>
  <c r="G99" i="31"/>
  <c r="G101" i="31"/>
  <c r="G102" i="31"/>
  <c r="G103" i="31"/>
  <c r="G104" i="31"/>
  <c r="G105" i="31"/>
  <c r="G107" i="31"/>
  <c r="G108" i="31"/>
  <c r="G109" i="31"/>
  <c r="G110" i="31"/>
  <c r="G111" i="31"/>
  <c r="G112" i="31"/>
  <c r="G113" i="31"/>
  <c r="G114" i="31"/>
  <c r="G116" i="31"/>
  <c r="G117" i="31"/>
  <c r="G118" i="31"/>
  <c r="G119" i="31"/>
  <c r="G120" i="31"/>
  <c r="G121" i="31"/>
  <c r="G122" i="31"/>
  <c r="G124" i="31"/>
  <c r="G125" i="31"/>
  <c r="G126" i="31"/>
  <c r="G127" i="31"/>
  <c r="G129" i="31"/>
  <c r="G130" i="31"/>
  <c r="G131" i="31"/>
  <c r="G132" i="31"/>
  <c r="G28" i="30"/>
  <c r="G29" i="30"/>
  <c r="G30" i="30"/>
  <c r="G33" i="30"/>
  <c r="G34" i="30"/>
  <c r="G35" i="30"/>
  <c r="G36" i="30"/>
  <c r="G37" i="30"/>
  <c r="G38" i="30"/>
  <c r="G39" i="30"/>
  <c r="G40" i="30"/>
  <c r="G41" i="30"/>
  <c r="G64" i="30"/>
  <c r="G65" i="30"/>
  <c r="G66" i="30"/>
  <c r="G67" i="30"/>
  <c r="G68" i="30"/>
  <c r="G69" i="30"/>
  <c r="G70" i="30"/>
  <c r="G71" i="30"/>
  <c r="G72" i="30"/>
  <c r="G73" i="30"/>
  <c r="G74" i="30"/>
  <c r="G75" i="30"/>
  <c r="G76" i="30"/>
  <c r="G77" i="30"/>
  <c r="G78" i="30"/>
  <c r="G79" i="30"/>
  <c r="G80" i="30"/>
  <c r="G81" i="30"/>
  <c r="G82" i="30"/>
  <c r="G83" i="30"/>
  <c r="G84" i="30"/>
  <c r="G85" i="30"/>
  <c r="G86" i="30"/>
  <c r="G90" i="30"/>
  <c r="G91" i="30"/>
  <c r="G92" i="30"/>
  <c r="G93" i="30"/>
  <c r="G94" i="30"/>
  <c r="G95" i="30"/>
  <c r="G97" i="30"/>
  <c r="G98" i="30"/>
  <c r="G99" i="30"/>
  <c r="G101" i="30"/>
  <c r="G102" i="30"/>
  <c r="G103" i="30"/>
  <c r="G104" i="30"/>
  <c r="G105" i="30"/>
  <c r="G107" i="30"/>
  <c r="G108" i="30"/>
  <c r="G109" i="30"/>
  <c r="G110" i="30"/>
  <c r="G111" i="30"/>
  <c r="G112" i="30"/>
  <c r="G113" i="30"/>
  <c r="G114" i="30"/>
  <c r="G116" i="30"/>
  <c r="G117" i="30"/>
  <c r="G118" i="30"/>
  <c r="G119" i="30"/>
  <c r="G120" i="30"/>
  <c r="G121" i="30"/>
  <c r="G122" i="30"/>
  <c r="G124" i="30"/>
  <c r="G125" i="30"/>
  <c r="G126" i="30"/>
  <c r="G127" i="30"/>
  <c r="G129" i="30"/>
  <c r="G130" i="30"/>
  <c r="G131" i="30"/>
  <c r="G132" i="30"/>
  <c r="G25" i="28"/>
  <c r="G26" i="28"/>
  <c r="G27" i="28"/>
  <c r="G28" i="28"/>
  <c r="G35" i="28"/>
  <c r="G36" i="28"/>
  <c r="G37" i="28"/>
  <c r="G38" i="28"/>
  <c r="G39" i="28"/>
  <c r="G40" i="28"/>
  <c r="G41" i="28"/>
  <c r="G42" i="28"/>
  <c r="G44" i="28"/>
  <c r="G45" i="28"/>
  <c r="G46" i="28"/>
  <c r="G47" i="28"/>
  <c r="G48" i="28"/>
  <c r="G49" i="28"/>
  <c r="G50" i="28"/>
  <c r="G51" i="28"/>
  <c r="E52" i="28"/>
  <c r="G52" i="28" s="1"/>
  <c r="G53" i="28"/>
  <c r="E54" i="28"/>
  <c r="G54" i="28" s="1"/>
  <c r="G55" i="28"/>
  <c r="G68" i="28"/>
  <c r="G69" i="28"/>
  <c r="G70" i="28"/>
  <c r="G71" i="28"/>
  <c r="G72" i="28"/>
  <c r="G75" i="28"/>
  <c r="G78" i="28"/>
  <c r="G81" i="28"/>
  <c r="G82" i="28"/>
  <c r="G88" i="28"/>
  <c r="G91" i="28"/>
  <c r="G92" i="28"/>
  <c r="G94" i="28"/>
  <c r="G84" i="28"/>
  <c r="G95" i="28"/>
  <c r="G24" i="27"/>
  <c r="E25" i="27"/>
  <c r="G25" i="27" s="1"/>
  <c r="G26" i="27"/>
  <c r="G27" i="27"/>
  <c r="G28" i="27"/>
  <c r="G29" i="27"/>
  <c r="G30" i="27"/>
  <c r="G34" i="27" s="1"/>
  <c r="G31" i="27"/>
  <c r="G32" i="27"/>
  <c r="G33" i="27"/>
  <c r="G40" i="27"/>
  <c r="G41" i="27"/>
  <c r="G42" i="27"/>
  <c r="E43" i="27"/>
  <c r="G43" i="27" s="1"/>
  <c r="G44" i="27"/>
  <c r="G46" i="27"/>
  <c r="G50" i="27" s="1"/>
  <c r="G47" i="27"/>
  <c r="G48" i="27"/>
  <c r="G49" i="27"/>
  <c r="G62" i="27"/>
  <c r="G63" i="27"/>
  <c r="G64" i="27"/>
  <c r="G65" i="27"/>
  <c r="G66" i="27"/>
  <c r="G70" i="27"/>
  <c r="G71" i="27"/>
  <c r="G72" i="27"/>
  <c r="G73" i="27"/>
  <c r="G75" i="27"/>
  <c r="G76" i="27"/>
  <c r="G77" i="27"/>
  <c r="G78" i="27"/>
  <c r="G30" i="22"/>
  <c r="G31" i="22"/>
  <c r="G32" i="22"/>
  <c r="G33" i="22"/>
  <c r="G34" i="22"/>
  <c r="G35" i="22"/>
  <c r="G36" i="22"/>
  <c r="G37" i="22"/>
  <c r="G38" i="22"/>
  <c r="G39" i="22"/>
  <c r="G40" i="22"/>
  <c r="G41" i="22"/>
  <c r="G42" i="22"/>
  <c r="G43" i="22"/>
  <c r="G44" i="22"/>
  <c r="G45" i="22"/>
  <c r="G46" i="22"/>
  <c r="G47" i="22"/>
  <c r="G48" i="22"/>
  <c r="G49" i="22"/>
  <c r="G50" i="22"/>
  <c r="G54" i="22"/>
  <c r="G55" i="22"/>
  <c r="G56" i="22"/>
  <c r="G57" i="22"/>
  <c r="G58" i="22"/>
  <c r="G59" i="22"/>
  <c r="G61" i="22"/>
  <c r="G62" i="22"/>
  <c r="G63" i="22"/>
  <c r="G65" i="22"/>
  <c r="G66" i="22"/>
  <c r="G67" i="22"/>
  <c r="G68" i="22"/>
  <c r="G69" i="22"/>
  <c r="G71" i="22"/>
  <c r="G72" i="22"/>
  <c r="G73" i="22"/>
  <c r="G74" i="22"/>
  <c r="G75" i="22"/>
  <c r="G76" i="22"/>
  <c r="G77" i="22"/>
  <c r="G78" i="22"/>
  <c r="G80" i="22"/>
  <c r="G81" i="22"/>
  <c r="G82" i="22"/>
  <c r="G83" i="22"/>
  <c r="G84" i="22"/>
  <c r="G85" i="22"/>
  <c r="G86" i="22"/>
  <c r="G88" i="22"/>
  <c r="G89" i="22"/>
  <c r="G90" i="22"/>
  <c r="G91" i="22"/>
  <c r="G93" i="22"/>
  <c r="G94" i="22"/>
  <c r="G95" i="22"/>
  <c r="G96" i="22"/>
  <c r="G30" i="21"/>
  <c r="G31" i="21"/>
  <c r="G32" i="21"/>
  <c r="G33" i="21"/>
  <c r="G34" i="21"/>
  <c r="G35" i="21"/>
  <c r="G36" i="21"/>
  <c r="G37" i="21"/>
  <c r="G38" i="21"/>
  <c r="G39" i="21"/>
  <c r="G40" i="21"/>
  <c r="G41" i="21"/>
  <c r="G42" i="21"/>
  <c r="G43" i="21"/>
  <c r="G44" i="21"/>
  <c r="G45" i="21"/>
  <c r="G46" i="21"/>
  <c r="G47" i="21"/>
  <c r="G48" i="21"/>
  <c r="G49" i="21"/>
  <c r="G50" i="21"/>
  <c r="G54" i="21"/>
  <c r="G55" i="21"/>
  <c r="G56" i="21"/>
  <c r="G57" i="21"/>
  <c r="G58" i="21"/>
  <c r="G59" i="21"/>
  <c r="G61" i="21"/>
  <c r="G62" i="21"/>
  <c r="G63" i="21"/>
  <c r="G65" i="21"/>
  <c r="G66" i="21"/>
  <c r="G67" i="21"/>
  <c r="G68" i="21"/>
  <c r="G69" i="21"/>
  <c r="G71" i="21"/>
  <c r="G72" i="21"/>
  <c r="G73" i="21"/>
  <c r="G74" i="21"/>
  <c r="G75" i="21"/>
  <c r="G76" i="21"/>
  <c r="G77" i="21"/>
  <c r="G78" i="21"/>
  <c r="G80" i="21"/>
  <c r="G81" i="21"/>
  <c r="G82" i="21"/>
  <c r="G83" i="21"/>
  <c r="G84" i="21"/>
  <c r="G85" i="21"/>
  <c r="G86" i="21"/>
  <c r="G88" i="21"/>
  <c r="G89" i="21"/>
  <c r="G90" i="21"/>
  <c r="G91" i="21"/>
  <c r="G93" i="21"/>
  <c r="G94" i="21"/>
  <c r="G95" i="21"/>
  <c r="G96" i="21"/>
  <c r="G30" i="20"/>
  <c r="G31" i="20"/>
  <c r="G32" i="20"/>
  <c r="G33" i="20"/>
  <c r="G34" i="20"/>
  <c r="G35" i="20"/>
  <c r="G36" i="20"/>
  <c r="G37" i="20"/>
  <c r="G38" i="20"/>
  <c r="G39" i="20"/>
  <c r="G40" i="20"/>
  <c r="G41" i="20"/>
  <c r="G42" i="20"/>
  <c r="G43" i="20"/>
  <c r="G44" i="20"/>
  <c r="G45" i="20"/>
  <c r="G46" i="20"/>
  <c r="G47" i="20"/>
  <c r="G48" i="20"/>
  <c r="G49" i="20"/>
  <c r="G50" i="20"/>
  <c r="G54" i="20"/>
  <c r="G55" i="20"/>
  <c r="G56" i="20"/>
  <c r="G57" i="20"/>
  <c r="G58" i="20"/>
  <c r="G59" i="20"/>
  <c r="G61" i="20"/>
  <c r="G62" i="20"/>
  <c r="G63" i="20"/>
  <c r="G65" i="20"/>
  <c r="G66" i="20"/>
  <c r="G67" i="20"/>
  <c r="G68" i="20"/>
  <c r="G69" i="20"/>
  <c r="G71" i="20"/>
  <c r="G72" i="20"/>
  <c r="G73" i="20"/>
  <c r="G74" i="20"/>
  <c r="G75" i="20"/>
  <c r="G76" i="20"/>
  <c r="G77" i="20"/>
  <c r="G78" i="20"/>
  <c r="G80" i="20"/>
  <c r="G81" i="20"/>
  <c r="G82" i="20"/>
  <c r="G83" i="20"/>
  <c r="G84" i="20"/>
  <c r="G85" i="20"/>
  <c r="G86" i="20"/>
  <c r="G89" i="20"/>
  <c r="G90" i="20"/>
  <c r="G91" i="20"/>
  <c r="G93" i="20"/>
  <c r="G94" i="20"/>
  <c r="G95" i="20"/>
  <c r="G96" i="20"/>
  <c r="G50" i="19"/>
  <c r="G51" i="19"/>
  <c r="G52" i="19"/>
  <c r="G53" i="19"/>
  <c r="G54" i="19"/>
  <c r="G55" i="19"/>
  <c r="G56" i="19"/>
  <c r="G57" i="19"/>
  <c r="G58" i="19"/>
  <c r="G59" i="19"/>
  <c r="G60" i="19"/>
  <c r="G61" i="19"/>
  <c r="G62" i="19"/>
  <c r="G63" i="19"/>
  <c r="G64" i="19"/>
  <c r="G65" i="19"/>
  <c r="G66" i="19"/>
  <c r="G67" i="19"/>
  <c r="G68" i="19"/>
  <c r="G69" i="19"/>
  <c r="G70" i="19"/>
  <c r="G74" i="19"/>
  <c r="G75" i="19"/>
  <c r="G76" i="19"/>
  <c r="G77" i="19"/>
  <c r="G78" i="19"/>
  <c r="G79" i="19"/>
  <c r="G80" i="19"/>
  <c r="G81" i="19"/>
  <c r="G83" i="19"/>
  <c r="G84" i="19"/>
  <c r="G85" i="19"/>
  <c r="G87" i="19"/>
  <c r="G88" i="19"/>
  <c r="G89" i="19"/>
  <c r="G90" i="19"/>
  <c r="G91" i="19"/>
  <c r="G92" i="19"/>
  <c r="G93" i="19"/>
  <c r="G95" i="19"/>
  <c r="G96" i="19"/>
  <c r="G97" i="19"/>
  <c r="G98" i="19"/>
  <c r="G99" i="19"/>
  <c r="G100" i="19"/>
  <c r="G101" i="19"/>
  <c r="G102" i="19"/>
  <c r="G103" i="19"/>
  <c r="G105" i="19"/>
  <c r="G106" i="19"/>
  <c r="G107" i="19"/>
  <c r="G108" i="19"/>
  <c r="G109" i="19"/>
  <c r="G110" i="19"/>
  <c r="G111" i="19"/>
  <c r="G112" i="19"/>
  <c r="G114" i="19"/>
  <c r="G115" i="19"/>
  <c r="G116" i="19"/>
  <c r="G117" i="19"/>
  <c r="G119" i="19"/>
  <c r="G120" i="19"/>
  <c r="G121" i="19"/>
  <c r="G122" i="19"/>
  <c r="G50" i="18"/>
  <c r="G51" i="18"/>
  <c r="G52" i="18"/>
  <c r="G53" i="18"/>
  <c r="G54" i="18"/>
  <c r="G55" i="18"/>
  <c r="G56" i="18"/>
  <c r="G57" i="18"/>
  <c r="G58" i="18"/>
  <c r="G59" i="18"/>
  <c r="G60" i="18"/>
  <c r="G61" i="18"/>
  <c r="G62" i="18"/>
  <c r="G63" i="18"/>
  <c r="G64" i="18"/>
  <c r="G65" i="18"/>
  <c r="G66" i="18"/>
  <c r="G67" i="18"/>
  <c r="G68" i="18"/>
  <c r="G69" i="18"/>
  <c r="G70" i="18"/>
  <c r="G74" i="18"/>
  <c r="G75" i="18"/>
  <c r="G76" i="18"/>
  <c r="G77" i="18"/>
  <c r="G78" i="18"/>
  <c r="G79" i="18"/>
  <c r="G80" i="18"/>
  <c r="G81" i="18"/>
  <c r="G82" i="18"/>
  <c r="G84" i="18"/>
  <c r="G85" i="18"/>
  <c r="G86" i="18"/>
  <c r="G88" i="18"/>
  <c r="G89" i="18"/>
  <c r="G90" i="18"/>
  <c r="G91" i="18"/>
  <c r="G92" i="18"/>
  <c r="G93" i="18"/>
  <c r="G94" i="18"/>
  <c r="G96" i="18"/>
  <c r="G97" i="18"/>
  <c r="G98" i="18"/>
  <c r="G99" i="18"/>
  <c r="G100" i="18"/>
  <c r="G101" i="18"/>
  <c r="G102" i="18"/>
  <c r="G103" i="18"/>
  <c r="G104" i="18"/>
  <c r="G106" i="18"/>
  <c r="G107" i="18"/>
  <c r="G108" i="18"/>
  <c r="G109" i="18"/>
  <c r="G110" i="18"/>
  <c r="G111" i="18"/>
  <c r="G112" i="18"/>
  <c r="G113" i="18"/>
  <c r="G115" i="18"/>
  <c r="G116" i="18"/>
  <c r="G117" i="18"/>
  <c r="G118" i="18"/>
  <c r="G120" i="18"/>
  <c r="G121" i="18"/>
  <c r="G122" i="18"/>
  <c r="G123" i="18"/>
  <c r="G30" i="17"/>
  <c r="G31" i="17"/>
  <c r="G32" i="17"/>
  <c r="G33" i="17"/>
  <c r="G34" i="17"/>
  <c r="G35" i="17"/>
  <c r="G36" i="17"/>
  <c r="G37" i="17"/>
  <c r="G38" i="17"/>
  <c r="G39" i="17"/>
  <c r="G40" i="17"/>
  <c r="G41" i="17"/>
  <c r="G42" i="17"/>
  <c r="G43" i="17"/>
  <c r="G44" i="17"/>
  <c r="G45" i="17"/>
  <c r="G46" i="17"/>
  <c r="G47" i="17"/>
  <c r="G48" i="17"/>
  <c r="G49" i="17"/>
  <c r="G50" i="17"/>
  <c r="G51" i="17"/>
  <c r="G52" i="17"/>
  <c r="G56" i="17"/>
  <c r="G57" i="17"/>
  <c r="G58" i="17"/>
  <c r="G59" i="17"/>
  <c r="G60" i="17"/>
  <c r="G61" i="17"/>
  <c r="G63" i="17"/>
  <c r="G64" i="17"/>
  <c r="G65" i="17"/>
  <c r="G67" i="17"/>
  <c r="G68" i="17"/>
  <c r="G69" i="17"/>
  <c r="G70" i="17"/>
  <c r="G71" i="17"/>
  <c r="G73" i="17"/>
  <c r="G74" i="17"/>
  <c r="G75" i="17"/>
  <c r="G76" i="17"/>
  <c r="G77" i="17"/>
  <c r="G78" i="17"/>
  <c r="G79" i="17"/>
  <c r="G80" i="17"/>
  <c r="G82" i="17"/>
  <c r="G83" i="17"/>
  <c r="G84" i="17"/>
  <c r="G85" i="17"/>
  <c r="G86" i="17"/>
  <c r="G87" i="17"/>
  <c r="G88" i="17"/>
  <c r="G90" i="17"/>
  <c r="G91" i="17"/>
  <c r="G92" i="17"/>
  <c r="G93" i="17"/>
  <c r="G95" i="17"/>
  <c r="G96" i="17"/>
  <c r="G97" i="17"/>
  <c r="G98" i="17"/>
  <c r="G30" i="16"/>
  <c r="G31" i="16"/>
  <c r="G32" i="16"/>
  <c r="G33" i="16"/>
  <c r="G34" i="16"/>
  <c r="G35" i="16"/>
  <c r="G36" i="16"/>
  <c r="G37" i="16"/>
  <c r="G38" i="16"/>
  <c r="G39" i="16"/>
  <c r="G40" i="16"/>
  <c r="G41" i="16"/>
  <c r="G42" i="16"/>
  <c r="G43" i="16"/>
  <c r="G44" i="16"/>
  <c r="G45" i="16"/>
  <c r="G46" i="16"/>
  <c r="G47" i="16"/>
  <c r="G48" i="16"/>
  <c r="G49" i="16"/>
  <c r="G50" i="16"/>
  <c r="G51" i="16"/>
  <c r="G52" i="16"/>
  <c r="G56" i="16"/>
  <c r="G57" i="16"/>
  <c r="G58" i="16"/>
  <c r="G59" i="16"/>
  <c r="G60" i="16"/>
  <c r="G61" i="16"/>
  <c r="G63" i="16"/>
  <c r="G64" i="16"/>
  <c r="G65" i="16"/>
  <c r="G67" i="16"/>
  <c r="G68" i="16"/>
  <c r="G69" i="16"/>
  <c r="G70" i="16"/>
  <c r="G71" i="16"/>
  <c r="G73" i="16"/>
  <c r="G74" i="16"/>
  <c r="G75" i="16"/>
  <c r="G76" i="16"/>
  <c r="G77" i="16"/>
  <c r="G78" i="16"/>
  <c r="G79" i="16"/>
  <c r="G80" i="16"/>
  <c r="G82" i="16"/>
  <c r="G83" i="16"/>
  <c r="G84" i="16"/>
  <c r="G85" i="16"/>
  <c r="G86" i="16"/>
  <c r="G87" i="16"/>
  <c r="G88" i="16"/>
  <c r="G90" i="16"/>
  <c r="G91" i="16"/>
  <c r="G92" i="16"/>
  <c r="G93" i="16"/>
  <c r="G95" i="16"/>
  <c r="G96" i="16"/>
  <c r="G97" i="16"/>
  <c r="G98" i="16"/>
  <c r="G30" i="15"/>
  <c r="G31" i="15"/>
  <c r="G32" i="15"/>
  <c r="G33" i="15"/>
  <c r="G34" i="15"/>
  <c r="G35" i="15"/>
  <c r="G36" i="15"/>
  <c r="G37" i="15"/>
  <c r="G38" i="15"/>
  <c r="G39" i="15"/>
  <c r="G40" i="15"/>
  <c r="G41" i="15"/>
  <c r="G42" i="15"/>
  <c r="G43" i="15"/>
  <c r="G44" i="15"/>
  <c r="G45" i="15"/>
  <c r="G46" i="15"/>
  <c r="G47" i="15"/>
  <c r="G48" i="15"/>
  <c r="G49" i="15"/>
  <c r="G50" i="15"/>
  <c r="G51" i="15"/>
  <c r="G52" i="15"/>
  <c r="G56" i="15"/>
  <c r="G57" i="15"/>
  <c r="G58" i="15"/>
  <c r="G59" i="15"/>
  <c r="G60" i="15"/>
  <c r="G61" i="15"/>
  <c r="G63" i="15"/>
  <c r="G64" i="15"/>
  <c r="G65" i="15"/>
  <c r="G67" i="15"/>
  <c r="G68" i="15"/>
  <c r="G69" i="15"/>
  <c r="G70" i="15"/>
  <c r="G72" i="15"/>
  <c r="G73" i="15"/>
  <c r="G74" i="15"/>
  <c r="G75" i="15"/>
  <c r="G76" i="15"/>
  <c r="G77" i="15"/>
  <c r="G78" i="15"/>
  <c r="G79" i="15"/>
  <c r="G81" i="15"/>
  <c r="G82" i="15"/>
  <c r="G83" i="15"/>
  <c r="G84" i="15"/>
  <c r="G85" i="15"/>
  <c r="G86" i="15"/>
  <c r="G87" i="15"/>
  <c r="G89" i="15"/>
  <c r="G90" i="15"/>
  <c r="G91" i="15"/>
  <c r="G92" i="15"/>
  <c r="G94" i="15"/>
  <c r="G95" i="15"/>
  <c r="G96" i="15"/>
  <c r="G97" i="15"/>
  <c r="G30" i="14"/>
  <c r="G31" i="14"/>
  <c r="G32" i="14"/>
  <c r="G33" i="14"/>
  <c r="G34" i="14"/>
  <c r="G35" i="14"/>
  <c r="G36" i="14"/>
  <c r="G37" i="14"/>
  <c r="G38" i="14"/>
  <c r="G39" i="14"/>
  <c r="G40" i="14"/>
  <c r="G41" i="14"/>
  <c r="G42" i="14"/>
  <c r="G43" i="14"/>
  <c r="G44" i="14"/>
  <c r="G45" i="14"/>
  <c r="G46" i="14"/>
  <c r="G47" i="14"/>
  <c r="G48" i="14"/>
  <c r="G49" i="14"/>
  <c r="G50" i="14"/>
  <c r="G54" i="14"/>
  <c r="G55" i="14"/>
  <c r="G56" i="14"/>
  <c r="G57" i="14"/>
  <c r="G58" i="14"/>
  <c r="G59" i="14"/>
  <c r="G61" i="14"/>
  <c r="G62" i="14"/>
  <c r="G63" i="14"/>
  <c r="G65" i="14"/>
  <c r="G66" i="14"/>
  <c r="G67" i="14"/>
  <c r="G68" i="14"/>
  <c r="G69" i="14"/>
  <c r="G70" i="14"/>
  <c r="G72" i="14"/>
  <c r="G73" i="14"/>
  <c r="G74" i="14"/>
  <c r="G75" i="14"/>
  <c r="G76" i="14"/>
  <c r="G77" i="14"/>
  <c r="G78" i="14"/>
  <c r="G79" i="14"/>
  <c r="G80" i="14"/>
  <c r="G82" i="14"/>
  <c r="G83" i="14"/>
  <c r="G84" i="14"/>
  <c r="G85" i="14"/>
  <c r="G86" i="14"/>
  <c r="G87" i="14"/>
  <c r="G88" i="14"/>
  <c r="G89" i="14"/>
  <c r="G91" i="14"/>
  <c r="G92" i="14"/>
  <c r="G93" i="14"/>
  <c r="G94" i="14"/>
  <c r="G96" i="14"/>
  <c r="G97" i="14"/>
  <c r="G98" i="14"/>
  <c r="G99" i="14"/>
  <c r="G30" i="13"/>
  <c r="G31" i="13"/>
  <c r="G32" i="13"/>
  <c r="G33" i="13"/>
  <c r="G34" i="13"/>
  <c r="G35" i="13"/>
  <c r="G36" i="13"/>
  <c r="G37" i="13"/>
  <c r="G38" i="13"/>
  <c r="G39" i="13"/>
  <c r="G40" i="13"/>
  <c r="G41" i="13"/>
  <c r="G42" i="13"/>
  <c r="G43" i="13"/>
  <c r="G44" i="13"/>
  <c r="G45" i="13"/>
  <c r="G46" i="13"/>
  <c r="G47" i="13"/>
  <c r="G48" i="13"/>
  <c r="G49" i="13"/>
  <c r="G50" i="13"/>
  <c r="G51" i="13"/>
  <c r="G52" i="13"/>
  <c r="G56" i="13"/>
  <c r="G57" i="13"/>
  <c r="G58" i="13"/>
  <c r="G59" i="13"/>
  <c r="G60" i="13"/>
  <c r="G61" i="13"/>
  <c r="G63" i="13"/>
  <c r="G64" i="13"/>
  <c r="G65" i="13"/>
  <c r="G67" i="13"/>
  <c r="G68" i="13"/>
  <c r="G69" i="13"/>
  <c r="G70" i="13"/>
  <c r="G71" i="13"/>
  <c r="G73" i="13"/>
  <c r="G74" i="13"/>
  <c r="G75" i="13"/>
  <c r="G76" i="13"/>
  <c r="G77" i="13"/>
  <c r="G78" i="13"/>
  <c r="G79" i="13"/>
  <c r="G80" i="13"/>
  <c r="G82" i="13"/>
  <c r="G83" i="13"/>
  <c r="G84" i="13"/>
  <c r="G85" i="13"/>
  <c r="G86" i="13"/>
  <c r="G87" i="13"/>
  <c r="G88" i="13"/>
  <c r="G90" i="13"/>
  <c r="G91" i="13"/>
  <c r="G92" i="13"/>
  <c r="G93" i="13"/>
  <c r="G95" i="13"/>
  <c r="G96" i="13"/>
  <c r="G97" i="13"/>
  <c r="G98" i="13"/>
  <c r="G30" i="12"/>
  <c r="G31" i="12"/>
  <c r="G32" i="12"/>
  <c r="G33" i="12"/>
  <c r="G34" i="12"/>
  <c r="G35" i="12"/>
  <c r="G36" i="12"/>
  <c r="G37" i="12"/>
  <c r="G38" i="12"/>
  <c r="G39" i="12"/>
  <c r="G40" i="12"/>
  <c r="G41" i="12"/>
  <c r="G42" i="12"/>
  <c r="G43" i="12"/>
  <c r="G44" i="12"/>
  <c r="G45" i="12"/>
  <c r="G46" i="12"/>
  <c r="G47" i="12"/>
  <c r="G48" i="12"/>
  <c r="G49" i="12"/>
  <c r="G50" i="12"/>
  <c r="G51" i="12"/>
  <c r="G52" i="12"/>
  <c r="G56" i="12"/>
  <c r="G57" i="12"/>
  <c r="G58" i="12"/>
  <c r="G59" i="12"/>
  <c r="G60" i="12"/>
  <c r="G61" i="12"/>
  <c r="G63" i="12"/>
  <c r="G64" i="12"/>
  <c r="G65" i="12"/>
  <c r="G67" i="12"/>
  <c r="G68" i="12"/>
  <c r="G69" i="12"/>
  <c r="G70" i="12"/>
  <c r="G71" i="12"/>
  <c r="G73" i="12"/>
  <c r="G74" i="12"/>
  <c r="G75" i="12"/>
  <c r="G76" i="12"/>
  <c r="G77" i="12"/>
  <c r="G78" i="12"/>
  <c r="G79" i="12"/>
  <c r="G80" i="12"/>
  <c r="G82" i="12"/>
  <c r="G83" i="12"/>
  <c r="G84" i="12"/>
  <c r="G85" i="12"/>
  <c r="G86" i="12"/>
  <c r="G87" i="12"/>
  <c r="G88" i="12"/>
  <c r="G90" i="12"/>
  <c r="G91" i="12"/>
  <c r="G92" i="12"/>
  <c r="G93" i="12"/>
  <c r="G95" i="12"/>
  <c r="G96" i="12"/>
  <c r="G97" i="12"/>
  <c r="G98" i="12"/>
  <c r="G30" i="11"/>
  <c r="G31" i="11"/>
  <c r="G32" i="11"/>
  <c r="G33" i="11"/>
  <c r="G34" i="11"/>
  <c r="G35" i="11"/>
  <c r="G36" i="11"/>
  <c r="G37" i="11"/>
  <c r="G38" i="11"/>
  <c r="G39" i="11"/>
  <c r="G40" i="11"/>
  <c r="G41" i="11"/>
  <c r="G42" i="11"/>
  <c r="G43" i="11"/>
  <c r="G44" i="11"/>
  <c r="G45" i="11"/>
  <c r="G46" i="11"/>
  <c r="G47" i="11"/>
  <c r="G48" i="11"/>
  <c r="G49" i="11"/>
  <c r="G50" i="11"/>
  <c r="G51" i="11"/>
  <c r="G52" i="11"/>
  <c r="G56" i="11"/>
  <c r="G57" i="11"/>
  <c r="G58" i="11"/>
  <c r="G59" i="11"/>
  <c r="G60" i="11"/>
  <c r="G61" i="11"/>
  <c r="G63" i="11"/>
  <c r="G64" i="11"/>
  <c r="G65" i="11"/>
  <c r="G67" i="11"/>
  <c r="G68" i="11"/>
  <c r="G69" i="11"/>
  <c r="G70" i="11"/>
  <c r="G71" i="11"/>
  <c r="G73" i="11"/>
  <c r="G74" i="11"/>
  <c r="G75" i="11"/>
  <c r="G76" i="11"/>
  <c r="G77" i="11"/>
  <c r="G78" i="11"/>
  <c r="G79" i="11"/>
  <c r="G80" i="11"/>
  <c r="G82" i="11"/>
  <c r="G83" i="11"/>
  <c r="G84" i="11"/>
  <c r="G85" i="11"/>
  <c r="G86" i="11"/>
  <c r="G87" i="11"/>
  <c r="G88" i="11"/>
  <c r="G90" i="11"/>
  <c r="G91" i="11"/>
  <c r="G92" i="11"/>
  <c r="G93" i="11"/>
  <c r="G95" i="11"/>
  <c r="G96" i="11"/>
  <c r="G97" i="11"/>
  <c r="G98" i="11"/>
  <c r="G30" i="10"/>
  <c r="G31" i="10"/>
  <c r="G32" i="10"/>
  <c r="G33" i="10"/>
  <c r="G34" i="10"/>
  <c r="G35" i="10"/>
  <c r="G36" i="10"/>
  <c r="G37" i="10"/>
  <c r="G38" i="10"/>
  <c r="G39" i="10"/>
  <c r="G40" i="10"/>
  <c r="G41" i="10"/>
  <c r="G42" i="10"/>
  <c r="G43" i="10"/>
  <c r="G44" i="10"/>
  <c r="G45" i="10"/>
  <c r="G46" i="10"/>
  <c r="G47" i="10"/>
  <c r="G48" i="10"/>
  <c r="G49" i="10"/>
  <c r="G50" i="10"/>
  <c r="G51" i="10"/>
  <c r="G52" i="10"/>
  <c r="G56" i="10"/>
  <c r="G57" i="10"/>
  <c r="G58" i="10"/>
  <c r="G59" i="10"/>
  <c r="G60" i="10"/>
  <c r="G61" i="10"/>
  <c r="G63" i="10"/>
  <c r="G64" i="10"/>
  <c r="G65" i="10"/>
  <c r="G67" i="10"/>
  <c r="G68" i="10"/>
  <c r="G69" i="10"/>
  <c r="G70" i="10"/>
  <c r="G71" i="10"/>
  <c r="G73" i="10"/>
  <c r="G74" i="10"/>
  <c r="G75" i="10"/>
  <c r="G76" i="10"/>
  <c r="G77" i="10"/>
  <c r="G78" i="10"/>
  <c r="G79" i="10"/>
  <c r="G80" i="10"/>
  <c r="G82" i="10"/>
  <c r="G83" i="10"/>
  <c r="G84" i="10"/>
  <c r="G85" i="10"/>
  <c r="G86" i="10"/>
  <c r="G87" i="10"/>
  <c r="G88" i="10"/>
  <c r="G90" i="10"/>
  <c r="G91" i="10"/>
  <c r="G92" i="10"/>
  <c r="G93" i="10"/>
  <c r="G95" i="10"/>
  <c r="G96" i="10"/>
  <c r="G97" i="10"/>
  <c r="G98" i="10"/>
  <c r="G30" i="8"/>
  <c r="G31" i="8"/>
  <c r="G32" i="8"/>
  <c r="G33" i="8"/>
  <c r="G34" i="8"/>
  <c r="G35" i="8"/>
  <c r="G36" i="8"/>
  <c r="G37" i="8"/>
  <c r="G38" i="8"/>
  <c r="G39" i="8"/>
  <c r="G40" i="8"/>
  <c r="G41" i="8"/>
  <c r="G42" i="8"/>
  <c r="G43" i="8"/>
  <c r="G44" i="8"/>
  <c r="G45" i="8"/>
  <c r="G46" i="8"/>
  <c r="G47" i="8"/>
  <c r="G48" i="8"/>
  <c r="G49" i="8"/>
  <c r="G50" i="8"/>
  <c r="G51" i="8"/>
  <c r="G52" i="8"/>
  <c r="G56" i="8"/>
  <c r="G57" i="8"/>
  <c r="G58" i="8"/>
  <c r="G59" i="8"/>
  <c r="G60" i="8"/>
  <c r="G61" i="8"/>
  <c r="G62" i="8"/>
  <c r="G64" i="8"/>
  <c r="G65" i="8"/>
  <c r="G66" i="8"/>
  <c r="G68" i="8"/>
  <c r="G69" i="8"/>
  <c r="G70" i="8"/>
  <c r="G71" i="8"/>
  <c r="G72" i="8"/>
  <c r="G74" i="8"/>
  <c r="G75" i="8"/>
  <c r="G76" i="8"/>
  <c r="G77" i="8"/>
  <c r="G78" i="8"/>
  <c r="G79" i="8"/>
  <c r="G80" i="8"/>
  <c r="G81" i="8"/>
  <c r="G83" i="8"/>
  <c r="G84" i="8"/>
  <c r="G85" i="8"/>
  <c r="G86" i="8"/>
  <c r="G87" i="8"/>
  <c r="G88" i="8"/>
  <c r="G89" i="8"/>
  <c r="G91" i="8"/>
  <c r="G92" i="8"/>
  <c r="G93" i="8"/>
  <c r="G94" i="8"/>
  <c r="G96" i="8"/>
  <c r="G97" i="8"/>
  <c r="G98" i="8"/>
  <c r="G99" i="8"/>
  <c r="G30" i="7"/>
  <c r="G31" i="7"/>
  <c r="G32" i="7"/>
  <c r="G33" i="7"/>
  <c r="G34" i="7"/>
  <c r="G35" i="7"/>
  <c r="G36" i="7"/>
  <c r="G37" i="7"/>
  <c r="G38" i="7"/>
  <c r="G39" i="7"/>
  <c r="G40" i="7"/>
  <c r="G41" i="7"/>
  <c r="G42" i="7"/>
  <c r="G43" i="7"/>
  <c r="G44" i="7"/>
  <c r="G45" i="7"/>
  <c r="G46" i="7"/>
  <c r="G47" i="7"/>
  <c r="G48" i="7"/>
  <c r="G49" i="7"/>
  <c r="G50" i="7"/>
  <c r="G54" i="7"/>
  <c r="G55" i="7"/>
  <c r="G56" i="7"/>
  <c r="G57" i="7"/>
  <c r="G58" i="7"/>
  <c r="G59" i="7"/>
  <c r="G61" i="7"/>
  <c r="G62" i="7"/>
  <c r="G63" i="7"/>
  <c r="G65" i="7"/>
  <c r="G66" i="7"/>
  <c r="G67" i="7"/>
  <c r="G68" i="7"/>
  <c r="G69" i="7"/>
  <c r="G71" i="7"/>
  <c r="G72" i="7"/>
  <c r="G73" i="7"/>
  <c r="G74" i="7"/>
  <c r="G75" i="7"/>
  <c r="G76" i="7"/>
  <c r="G77" i="7"/>
  <c r="G78" i="7"/>
  <c r="G79" i="7"/>
  <c r="G81" i="7"/>
  <c r="G82" i="7"/>
  <c r="G83" i="7"/>
  <c r="G84" i="7"/>
  <c r="G85" i="7"/>
  <c r="G86" i="7"/>
  <c r="G87" i="7"/>
  <c r="G88" i="7"/>
  <c r="G90" i="7"/>
  <c r="G91" i="7"/>
  <c r="G92" i="7"/>
  <c r="G93" i="7"/>
  <c r="G95" i="7"/>
  <c r="G96" i="7"/>
  <c r="G97" i="7"/>
  <c r="G98" i="7"/>
  <c r="G30" i="6"/>
  <c r="G31" i="6"/>
  <c r="G32" i="6"/>
  <c r="G33" i="6"/>
  <c r="G34" i="6"/>
  <c r="G35" i="6"/>
  <c r="G36" i="6"/>
  <c r="G37" i="6"/>
  <c r="G38" i="6"/>
  <c r="G39" i="6"/>
  <c r="G40" i="6"/>
  <c r="G41" i="6"/>
  <c r="G42" i="6"/>
  <c r="G43" i="6"/>
  <c r="G44" i="6"/>
  <c r="G45" i="6"/>
  <c r="G46" i="6"/>
  <c r="G47" i="6"/>
  <c r="G48" i="6"/>
  <c r="G49" i="6"/>
  <c r="G50" i="6"/>
  <c r="G54" i="6"/>
  <c r="G55" i="6"/>
  <c r="G56" i="6"/>
  <c r="G57" i="6"/>
  <c r="G58" i="6"/>
  <c r="G59" i="6"/>
  <c r="G61" i="6"/>
  <c r="G62" i="6"/>
  <c r="G63" i="6"/>
  <c r="G65" i="6"/>
  <c r="G66" i="6"/>
  <c r="G67" i="6"/>
  <c r="G68" i="6"/>
  <c r="G69" i="6"/>
  <c r="G71" i="6"/>
  <c r="G72" i="6"/>
  <c r="G73" i="6"/>
  <c r="G74" i="6"/>
  <c r="G75" i="6"/>
  <c r="G76" i="6"/>
  <c r="G77" i="6"/>
  <c r="G78" i="6"/>
  <c r="G79" i="6"/>
  <c r="G81" i="6"/>
  <c r="G82" i="6"/>
  <c r="G83" i="6"/>
  <c r="G84" i="6"/>
  <c r="G85" i="6"/>
  <c r="G86" i="6"/>
  <c r="G87" i="6"/>
  <c r="G88" i="6"/>
  <c r="G90" i="6"/>
  <c r="G91" i="6"/>
  <c r="G92" i="6"/>
  <c r="G93" i="6"/>
  <c r="G95" i="6"/>
  <c r="G96" i="6"/>
  <c r="G97" i="6"/>
  <c r="G98" i="6"/>
  <c r="G30" i="5"/>
  <c r="G31" i="5"/>
  <c r="G32" i="5"/>
  <c r="G33" i="5"/>
  <c r="G34" i="5"/>
  <c r="G35" i="5"/>
  <c r="G36" i="5"/>
  <c r="G37" i="5"/>
  <c r="G38" i="5"/>
  <c r="G39" i="5"/>
  <c r="G40" i="5"/>
  <c r="G41" i="5"/>
  <c r="G42" i="5"/>
  <c r="G43" i="5"/>
  <c r="G44" i="5"/>
  <c r="G45" i="5"/>
  <c r="G46" i="5"/>
  <c r="G47" i="5"/>
  <c r="G48" i="5"/>
  <c r="G49" i="5"/>
  <c r="G50" i="5"/>
  <c r="G54" i="5"/>
  <c r="G55" i="5"/>
  <c r="G56" i="5"/>
  <c r="G57" i="5"/>
  <c r="G58" i="5"/>
  <c r="G59" i="5"/>
  <c r="G61" i="5"/>
  <c r="G62" i="5"/>
  <c r="G63" i="5"/>
  <c r="G65" i="5"/>
  <c r="G66" i="5"/>
  <c r="G67" i="5"/>
  <c r="G68" i="5"/>
  <c r="G69" i="5"/>
  <c r="G71" i="5"/>
  <c r="G72" i="5"/>
  <c r="G73" i="5"/>
  <c r="G74" i="5"/>
  <c r="G75" i="5"/>
  <c r="G76" i="5"/>
  <c r="G77" i="5"/>
  <c r="G78" i="5"/>
  <c r="G79" i="5"/>
  <c r="G81" i="5"/>
  <c r="G82" i="5"/>
  <c r="G83" i="5"/>
  <c r="G84" i="5"/>
  <c r="G85" i="5"/>
  <c r="G86" i="5"/>
  <c r="G87" i="5"/>
  <c r="G88" i="5"/>
  <c r="G90" i="5"/>
  <c r="G91" i="5"/>
  <c r="G92" i="5"/>
  <c r="G93" i="5"/>
  <c r="G95" i="5"/>
  <c r="G96" i="5"/>
  <c r="G97" i="5"/>
  <c r="G98" i="5"/>
  <c r="G30" i="4"/>
  <c r="G31" i="4"/>
  <c r="G32" i="4"/>
  <c r="G33" i="4"/>
  <c r="G34" i="4"/>
  <c r="G35" i="4"/>
  <c r="G36" i="4"/>
  <c r="G37" i="4"/>
  <c r="G38" i="4"/>
  <c r="G39" i="4"/>
  <c r="G40" i="4"/>
  <c r="G41" i="4"/>
  <c r="G42" i="4"/>
  <c r="G43" i="4"/>
  <c r="G44" i="4"/>
  <c r="G45" i="4"/>
  <c r="G46" i="4"/>
  <c r="G47" i="4"/>
  <c r="G48" i="4"/>
  <c r="G49" i="4"/>
  <c r="G50" i="4"/>
  <c r="G54" i="4"/>
  <c r="G55" i="4"/>
  <c r="G56" i="4"/>
  <c r="G57" i="4"/>
  <c r="G58" i="4"/>
  <c r="G59" i="4"/>
  <c r="G61" i="4"/>
  <c r="G62" i="4"/>
  <c r="G63" i="4"/>
  <c r="G65" i="4"/>
  <c r="G66" i="4"/>
  <c r="G67" i="4"/>
  <c r="G68" i="4"/>
  <c r="G69" i="4"/>
  <c r="G71" i="4"/>
  <c r="G72" i="4"/>
  <c r="G73" i="4"/>
  <c r="G74" i="4"/>
  <c r="G75" i="4"/>
  <c r="G76" i="4"/>
  <c r="G77" i="4"/>
  <c r="G78" i="4"/>
  <c r="G79" i="4"/>
  <c r="G81" i="4"/>
  <c r="G82" i="4"/>
  <c r="G83" i="4"/>
  <c r="G84" i="4"/>
  <c r="G85" i="4"/>
  <c r="G86" i="4"/>
  <c r="G87" i="4"/>
  <c r="G88" i="4"/>
  <c r="G90" i="4"/>
  <c r="G91" i="4"/>
  <c r="G92" i="4"/>
  <c r="G93" i="4"/>
  <c r="G95" i="4"/>
  <c r="G96" i="4"/>
  <c r="G97" i="4"/>
  <c r="G98" i="4"/>
  <c r="G30" i="3"/>
  <c r="G31" i="3"/>
  <c r="G32" i="3"/>
  <c r="G33" i="3"/>
  <c r="G34" i="3"/>
  <c r="G35" i="3"/>
  <c r="G36" i="3"/>
  <c r="G37" i="3"/>
  <c r="G38" i="3"/>
  <c r="G39" i="3"/>
  <c r="G40" i="3"/>
  <c r="G41" i="3"/>
  <c r="G42" i="3"/>
  <c r="G43" i="3"/>
  <c r="G44" i="3"/>
  <c r="G45" i="3"/>
  <c r="G46" i="3"/>
  <c r="G47" i="3"/>
  <c r="G48" i="3"/>
  <c r="G49" i="3"/>
  <c r="G50" i="3"/>
  <c r="G54" i="3"/>
  <c r="G55" i="3"/>
  <c r="G56" i="3"/>
  <c r="G57" i="3"/>
  <c r="G58" i="3"/>
  <c r="G59" i="3"/>
  <c r="G61" i="3"/>
  <c r="G62" i="3"/>
  <c r="G63" i="3"/>
  <c r="G65" i="3"/>
  <c r="G66" i="3"/>
  <c r="G67" i="3"/>
  <c r="G68" i="3"/>
  <c r="G70" i="3"/>
  <c r="G71" i="3"/>
  <c r="G72" i="3"/>
  <c r="G73" i="3"/>
  <c r="G74" i="3"/>
  <c r="G75" i="3"/>
  <c r="G76" i="3"/>
  <c r="G77" i="3"/>
  <c r="G79" i="3"/>
  <c r="G80" i="3"/>
  <c r="G81" i="3"/>
  <c r="G82" i="3"/>
  <c r="G83" i="3"/>
  <c r="G84" i="3"/>
  <c r="G85" i="3"/>
  <c r="G87" i="3"/>
  <c r="G88" i="3"/>
  <c r="G89" i="3"/>
  <c r="G90" i="3"/>
  <c r="G92" i="3"/>
  <c r="G93" i="3"/>
  <c r="G94" i="3"/>
  <c r="G95" i="3"/>
  <c r="G30" i="2"/>
  <c r="G31" i="2"/>
  <c r="G32" i="2"/>
  <c r="G33" i="2"/>
  <c r="G34" i="2"/>
  <c r="G35" i="2"/>
  <c r="G36" i="2"/>
  <c r="G37" i="2"/>
  <c r="G38" i="2"/>
  <c r="G39" i="2"/>
  <c r="G40" i="2"/>
  <c r="G41" i="2"/>
  <c r="G42" i="2"/>
  <c r="G43" i="2"/>
  <c r="G44" i="2"/>
  <c r="G45" i="2"/>
  <c r="G46" i="2"/>
  <c r="G47" i="2"/>
  <c r="G48" i="2"/>
  <c r="G49" i="2"/>
  <c r="G50" i="2"/>
  <c r="G54" i="2"/>
  <c r="G55" i="2"/>
  <c r="G56" i="2"/>
  <c r="G57" i="2"/>
  <c r="G58" i="2"/>
  <c r="G59" i="2"/>
  <c r="G61" i="2"/>
  <c r="G62" i="2"/>
  <c r="G63" i="2"/>
  <c r="G65" i="2"/>
  <c r="G66" i="2"/>
  <c r="G67" i="2"/>
  <c r="G68" i="2"/>
  <c r="G70" i="2"/>
  <c r="G71" i="2"/>
  <c r="G72" i="2"/>
  <c r="G73" i="2"/>
  <c r="G74" i="2"/>
  <c r="G75" i="2"/>
  <c r="G76" i="2"/>
  <c r="G77" i="2"/>
  <c r="G79" i="2"/>
  <c r="G80" i="2"/>
  <c r="G81" i="2"/>
  <c r="G82" i="2"/>
  <c r="G83" i="2"/>
  <c r="G84" i="2"/>
  <c r="G85" i="2"/>
  <c r="G87" i="2"/>
  <c r="G88" i="2"/>
  <c r="G89" i="2"/>
  <c r="G90" i="2"/>
  <c r="G92" i="2"/>
  <c r="G93" i="2"/>
  <c r="G94" i="2"/>
  <c r="G95" i="2"/>
  <c r="G21" i="63" l="1"/>
  <c r="G209" i="49"/>
  <c r="G18" i="49" s="1"/>
  <c r="G106" i="49"/>
  <c r="G17" i="49" s="1"/>
  <c r="G127" i="28"/>
  <c r="G210" i="44"/>
  <c r="G16" i="44" s="1"/>
  <c r="G37" i="47"/>
  <c r="G15" i="47" s="1"/>
  <c r="G56" i="47"/>
  <c r="G16" i="47" s="1"/>
  <c r="G226" i="47"/>
  <c r="G18" i="47" s="1"/>
  <c r="G123" i="47"/>
  <c r="G17" i="47" s="1"/>
  <c r="G216" i="46"/>
  <c r="G16" i="46" s="1"/>
  <c r="G38" i="45"/>
  <c r="G16" i="45" s="1"/>
  <c r="G41" i="43"/>
  <c r="G16" i="43" s="1"/>
  <c r="G27" i="43"/>
  <c r="G15" i="43" s="1"/>
  <c r="G212" i="41"/>
  <c r="G16" i="41" s="1"/>
  <c r="G97" i="36"/>
  <c r="G17" i="36" s="1"/>
  <c r="G27" i="36"/>
  <c r="G15" i="36" s="1"/>
  <c r="G101" i="34"/>
  <c r="G17" i="34" s="1"/>
  <c r="G16" i="27"/>
  <c r="G50" i="44"/>
  <c r="G15" i="44" s="1"/>
  <c r="G99" i="7"/>
  <c r="G15" i="7" s="1"/>
  <c r="G16" i="7" s="1"/>
  <c r="G100" i="8"/>
  <c r="G15" i="8" s="1"/>
  <c r="G16" i="8" s="1"/>
  <c r="G136" i="38"/>
  <c r="G16" i="38" s="1"/>
  <c r="G29" i="45"/>
  <c r="G15" i="45" s="1"/>
  <c r="G99" i="6"/>
  <c r="G15" i="6" s="1"/>
  <c r="G16" i="6" s="1"/>
  <c r="G65" i="39"/>
  <c r="G15" i="39" s="1"/>
  <c r="G99" i="5"/>
  <c r="G15" i="5" s="1"/>
  <c r="G16" i="5" s="1"/>
  <c r="G52" i="32"/>
  <c r="G15" i="32" s="1"/>
  <c r="G132" i="33"/>
  <c r="G16" i="33" s="1"/>
  <c r="G99" i="4"/>
  <c r="G15" i="4" s="1"/>
  <c r="G16" i="4" s="1"/>
  <c r="G29" i="28"/>
  <c r="G15" i="28" s="1"/>
  <c r="G133" i="31"/>
  <c r="G16" i="31" s="1"/>
  <c r="G51" i="31"/>
  <c r="G15" i="31" s="1"/>
  <c r="G99" i="10"/>
  <c r="G15" i="10" s="1"/>
  <c r="G16" i="10" s="1"/>
  <c r="G124" i="18"/>
  <c r="G16" i="18" s="1"/>
  <c r="G151" i="39"/>
  <c r="G16" i="39" s="1"/>
  <c r="G77" i="43"/>
  <c r="G17" i="43" s="1"/>
  <c r="G98" i="15"/>
  <c r="G15" i="15" s="1"/>
  <c r="G16" i="15" s="1"/>
  <c r="G97" i="22"/>
  <c r="G15" i="22" s="1"/>
  <c r="G16" i="22" s="1"/>
  <c r="G17" i="27"/>
  <c r="G41" i="34"/>
  <c r="G16" i="34" s="1"/>
  <c r="G163" i="43"/>
  <c r="G18" i="43" s="1"/>
  <c r="G96" i="2"/>
  <c r="G15" i="2" s="1"/>
  <c r="G16" i="2" s="1"/>
  <c r="G19" i="62" s="1"/>
  <c r="G99" i="12"/>
  <c r="G15" i="12" s="1"/>
  <c r="G16" i="12" s="1"/>
  <c r="G97" i="20"/>
  <c r="G15" i="20" s="1"/>
  <c r="G16" i="20" s="1"/>
  <c r="G99" i="13"/>
  <c r="G15" i="13" s="1"/>
  <c r="G16" i="13" s="1"/>
  <c r="G224" i="48"/>
  <c r="G18" i="48" s="1"/>
  <c r="G99" i="17"/>
  <c r="G15" i="17" s="1"/>
  <c r="G16" i="17" s="1"/>
  <c r="G28" i="71" s="1"/>
  <c r="G51" i="30"/>
  <c r="G15" i="30" s="1"/>
  <c r="G134" i="32"/>
  <c r="G16" i="32" s="1"/>
  <c r="G69" i="40"/>
  <c r="G15" i="40" s="1"/>
  <c r="G1134" i="45"/>
  <c r="G17" i="45" s="1"/>
  <c r="G38" i="49"/>
  <c r="G15" i="49" s="1"/>
  <c r="G100" i="14"/>
  <c r="G15" i="14" s="1"/>
  <c r="G16" i="14" s="1"/>
  <c r="G133" i="30"/>
  <c r="G16" i="30" s="1"/>
  <c r="G41" i="36"/>
  <c r="G16" i="36" s="1"/>
  <c r="G54" i="38"/>
  <c r="G15" i="38" s="1"/>
  <c r="G155" i="40"/>
  <c r="G16" i="40" s="1"/>
  <c r="G56" i="46"/>
  <c r="G15" i="46" s="1"/>
  <c r="G39" i="48"/>
  <c r="G15" i="48" s="1"/>
  <c r="G56" i="49"/>
  <c r="G16" i="49" s="1"/>
  <c r="G96" i="3"/>
  <c r="G15" i="3" s="1"/>
  <c r="G16" i="3" s="1"/>
  <c r="G20" i="62" s="1"/>
  <c r="G99" i="11"/>
  <c r="G15" i="11" s="1"/>
  <c r="G16" i="11" s="1"/>
  <c r="G123" i="19"/>
  <c r="G16" i="19" s="1"/>
  <c r="G67" i="48"/>
  <c r="G16" i="48" s="1"/>
  <c r="G99" i="16"/>
  <c r="G15" i="16" s="1"/>
  <c r="G16" i="16" s="1"/>
  <c r="G97" i="21"/>
  <c r="G15" i="21" s="1"/>
  <c r="G16" i="21" s="1"/>
  <c r="G15" i="27"/>
  <c r="G50" i="33"/>
  <c r="G15" i="33" s="1"/>
  <c r="G27" i="34"/>
  <c r="G15" i="34" s="1"/>
  <c r="G15" i="41"/>
  <c r="G121" i="48"/>
  <c r="G17" i="48" s="1"/>
  <c r="G56" i="28"/>
  <c r="G16" i="28" s="1"/>
  <c r="G16" i="70" l="1"/>
  <c r="G24" i="25" s="1"/>
  <c r="G17" i="19"/>
  <c r="G17" i="18"/>
  <c r="G17" i="44"/>
  <c r="G18" i="45"/>
  <c r="G14" i="65" s="1"/>
  <c r="G29" i="71"/>
  <c r="G19" i="43"/>
  <c r="G12" i="63" s="1"/>
  <c r="G17" i="41"/>
  <c r="G12" i="70" s="1"/>
  <c r="G17" i="38"/>
  <c r="G17" i="39"/>
  <c r="G17" i="33"/>
  <c r="G17" i="31"/>
  <c r="G19" i="36"/>
  <c r="G17" i="68" s="1"/>
  <c r="G19" i="34"/>
  <c r="G16" i="68" s="1"/>
  <c r="G19" i="47"/>
  <c r="G12" i="68" s="1"/>
  <c r="G21" i="62"/>
  <c r="G13" i="25" s="1"/>
  <c r="G18" i="27"/>
  <c r="G16" i="62" s="1"/>
  <c r="G17" i="28"/>
  <c r="G17" i="40"/>
  <c r="G19" i="49"/>
  <c r="G15" i="62" s="1"/>
  <c r="G19" i="48"/>
  <c r="G35" i="151" s="1"/>
  <c r="G17" i="46"/>
  <c r="G17" i="30"/>
  <c r="G13" i="70" l="1"/>
  <c r="G36" i="151"/>
  <c r="G35" i="25" s="1"/>
  <c r="G36" i="25" s="1"/>
  <c r="G31" i="25"/>
  <c r="G32" i="25" s="1"/>
  <c r="G20" i="65"/>
  <c r="G38" i="25" s="1"/>
  <c r="G39" i="25" s="1"/>
  <c r="G36" i="71"/>
  <c r="G19" i="69"/>
  <c r="G20" i="25" s="1"/>
  <c r="G21" i="25" s="1"/>
  <c r="G17" i="62"/>
  <c r="G27" i="62" s="1"/>
  <c r="G19" i="28"/>
  <c r="G22" i="68"/>
  <c r="G17" i="25" s="1"/>
  <c r="G18" i="63"/>
  <c r="G13" i="68" l="1"/>
  <c r="G14" i="68" s="1"/>
  <c r="G17" i="70"/>
  <c r="G23" i="25"/>
  <c r="G25" i="25" s="1"/>
  <c r="G42" i="151"/>
  <c r="G21" i="65"/>
  <c r="G27" i="25"/>
  <c r="G28" i="25" s="1"/>
  <c r="G22" i="63"/>
  <c r="G20" i="69"/>
  <c r="G12" i="25"/>
  <c r="G14" i="25" s="1"/>
  <c r="G16" i="25" l="1"/>
  <c r="G18" i="25" s="1"/>
  <c r="G23" i="68"/>
  <c r="G43" i="25"/>
  <c r="G42" i="25"/>
  <c r="G45" i="25" l="1"/>
  <c r="G52" i="25" s="1"/>
  <c r="G53" i="25" s="1"/>
  <c r="G54" i="25" s="1"/>
</calcChain>
</file>

<file path=xl/sharedStrings.xml><?xml version="1.0" encoding="utf-8"?>
<sst xmlns="http://schemas.openxmlformats.org/spreadsheetml/2006/main" count="31467" uniqueCount="2597">
  <si>
    <t>NADGRADNJA VODOVODA SISTEMA B - SKLOP 2</t>
  </si>
  <si>
    <t>Obvezni sestavni del tega ponudbenega predračuna je :</t>
  </si>
  <si>
    <t>Obrazec - SEZNAM MATERIALA IN OPREME, KI GA BO PONUDNIK VGRADIL</t>
  </si>
  <si>
    <t>Pri gradnji je potrebno upoštevati:</t>
  </si>
  <si>
    <t>Tehnični pravilnik na vodovodu sistema B (Ur.l.RS, št. 14/2018)</t>
  </si>
  <si>
    <t>SKUPNA REKAPITULACIJA SKLOP 2</t>
  </si>
  <si>
    <t>I.</t>
  </si>
  <si>
    <t>Občina:</t>
  </si>
  <si>
    <t>1</t>
  </si>
  <si>
    <t>Občina Cankova</t>
  </si>
  <si>
    <t>A</t>
  </si>
  <si>
    <t>SKUPAJ TRANSPORTNI CEVOVODI IN OBJEKTI</t>
  </si>
  <si>
    <t>B</t>
  </si>
  <si>
    <t>SKUPAJ PRIMARNI IN SEKUNDARNI  CEVOVODI IN OBJEKTI</t>
  </si>
  <si>
    <t>Skupaj OBČINA CANKOVA</t>
  </si>
  <si>
    <t>2</t>
  </si>
  <si>
    <t>Občina Gornji Petrovci</t>
  </si>
  <si>
    <t>C</t>
  </si>
  <si>
    <t>D</t>
  </si>
  <si>
    <t>Skupaj OBČINA GORNJI PETROVCI</t>
  </si>
  <si>
    <t>3</t>
  </si>
  <si>
    <t>Občina Grad</t>
  </si>
  <si>
    <t>E</t>
  </si>
  <si>
    <t>Skupaj OBČINA GRAD</t>
  </si>
  <si>
    <t>4</t>
  </si>
  <si>
    <t>Občina Hodoš</t>
  </si>
  <si>
    <t>F</t>
  </si>
  <si>
    <t>G</t>
  </si>
  <si>
    <t>Skupaj OBČINA HODOŠ</t>
  </si>
  <si>
    <t>5</t>
  </si>
  <si>
    <t>Občina Kuzma</t>
  </si>
  <si>
    <t>H</t>
  </si>
  <si>
    <t>Skupaj OBČINA KUZMA</t>
  </si>
  <si>
    <t>6</t>
  </si>
  <si>
    <t>Občina Moravske Toplice</t>
  </si>
  <si>
    <t>I</t>
  </si>
  <si>
    <t>J</t>
  </si>
  <si>
    <t>Skupaj OBČINA MORAVSKE TOPLICE</t>
  </si>
  <si>
    <t>7</t>
  </si>
  <si>
    <t>Občina Rogašovci</t>
  </si>
  <si>
    <t>K</t>
  </si>
  <si>
    <t>L</t>
  </si>
  <si>
    <t>Skupaj OBČINA ROGAŠOVCI</t>
  </si>
  <si>
    <t>8</t>
  </si>
  <si>
    <t>Občina Šalovci</t>
  </si>
  <si>
    <t>M</t>
  </si>
  <si>
    <t>Skupaj OBČINA ŠALOVCI</t>
  </si>
  <si>
    <t>Vse občine skupaj</t>
  </si>
  <si>
    <t>SKUPAJ TRANSPORTNI CEVOVODI IN OBJEKTI (A+C+F+I+K)</t>
  </si>
  <si>
    <t>SKUPAJ PRIMARNI IN SEKUNDARNI  CEVOVODI IN OBJEKTI (B+D+E+G+H+J+L+M)</t>
  </si>
  <si>
    <t xml:space="preserve">Vsi objekti SKUPAJ </t>
  </si>
  <si>
    <t>II.</t>
  </si>
  <si>
    <t xml:space="preserve">NEPREDVIDENA DELA </t>
  </si>
  <si>
    <t>III.</t>
  </si>
  <si>
    <t xml:space="preserve">Nadzor upravljavca vodovoda v času gradnje </t>
  </si>
  <si>
    <t>SKUPAJ brez DDV</t>
  </si>
  <si>
    <t>DDV 22 %</t>
  </si>
  <si>
    <t>SKUPAJ z DDV</t>
  </si>
  <si>
    <t>Skladno s 76.a členom ZDDV-1 se upošteva mehanizem obrnjene davčne obveznosti.</t>
  </si>
  <si>
    <t xml:space="preserve">NADGRADNJA VODOVODA SISTEMA B </t>
  </si>
  <si>
    <t>V_2019.3</t>
  </si>
  <si>
    <t>SKUPNA REKAPITULACIJA</t>
  </si>
  <si>
    <t xml:space="preserve">Občina: </t>
  </si>
  <si>
    <t>Cankova</t>
  </si>
  <si>
    <t>Vrednost</t>
  </si>
  <si>
    <t>TRANSPORTNI CEVODI IN OBJEKTI</t>
  </si>
  <si>
    <t>Cankova_VGG - transport</t>
  </si>
  <si>
    <t>Cankova_VKS</t>
  </si>
  <si>
    <t>Cankova_RT-6</t>
  </si>
  <si>
    <t>Cankova_VH Krašči</t>
  </si>
  <si>
    <t>SKUPAJ TRANSPORTNI CEVODI IN OBJEKTI</t>
  </si>
  <si>
    <t>PRIMARNI CEVOVODI IN OBJEKTI</t>
  </si>
  <si>
    <t>Cankova_ČRP Domajinci</t>
  </si>
  <si>
    <t>SKUPAJ PRIMARNI CEVOVODI IN OBJEKTI</t>
  </si>
  <si>
    <t>SEKUNDARNI CEVOVODI IN OBJEKTI</t>
  </si>
  <si>
    <t>Cankova_VGG - sekundar</t>
  </si>
  <si>
    <t>Cankova_SC-1</t>
  </si>
  <si>
    <t>Cankova_VKS-1</t>
  </si>
  <si>
    <t>SKUPAJ SEKUNDARNI CEVOVODI IN OBJEKTI</t>
  </si>
  <si>
    <t xml:space="preserve">Objekti SKUPAJ </t>
  </si>
  <si>
    <t>Objekt:</t>
  </si>
  <si>
    <t>Cevovod občina Rogašovci - Gerlinci (VGG - transport)</t>
  </si>
  <si>
    <t>REKAPITULACIJA</t>
  </si>
  <si>
    <t>Poz.</t>
  </si>
  <si>
    <t>Opis</t>
  </si>
  <si>
    <t>PRIPRAVLJALNA IN ZAKLJUČNA DELA</t>
  </si>
  <si>
    <t>ZEMELJSKA IN GRADBENA DELA</t>
  </si>
  <si>
    <t>MONTAŽNA DELA</t>
  </si>
  <si>
    <t xml:space="preserve">SKUPAJ </t>
  </si>
  <si>
    <t>Opis dela</t>
  </si>
  <si>
    <t>Enota mere</t>
  </si>
  <si>
    <t xml:space="preserve">Količina </t>
  </si>
  <si>
    <t xml:space="preserve">Cena na enoto </t>
  </si>
  <si>
    <t xml:space="preserve">Skupaj </t>
  </si>
  <si>
    <t>Zakoličba trase vodovoda s strani pooblaščenega geodeta in izdelava zapisnika o zakoličbi.</t>
  </si>
  <si>
    <t>m1</t>
  </si>
  <si>
    <t>Postavitev in zavarovanje prečnih profilov.</t>
  </si>
  <si>
    <t>Izvedba cestnih zapor v času gradnje. V ceni zajeti vsi stroški postavitve popolnih in delnih zapor (pridobivanje soglasij, postavitev prometnih znakov, semaforizacija, ročno usmerjanje...).</t>
  </si>
  <si>
    <t>kpl</t>
  </si>
  <si>
    <t>Pripravljalna dela:
Ureditev gradbišča skladno z veljavno zakonodajo, komplet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</si>
  <si>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Zakoličba  komunalnih vodov ki tangirajo gradnjo vodovoda (CATV, plinovod, TK vodi, kanalizacija).</t>
  </si>
  <si>
    <t xml:space="preserve">Zakoličba obstoječega vodovoda s strani upravljavca vodovoda vzdolž trase novega vodovoda                                              </t>
  </si>
  <si>
    <t>Iskanje obstoječega vodovoda in izvedba prevezave novozgrajenega vodovoda na obstoječe vode. V kompletu vsa potrebna sondiranja z vsem potrebnim materialom.</t>
  </si>
  <si>
    <t xml:space="preserve">Izvedba potrebnih zapiranj in odpiranj odsekov na obstoječem vodovodu, odzračevanje in izpiranje obstoječega vodovoda, obveščanje uporabnikov o zaporah  (izvede upravljavec vodovoda). </t>
  </si>
  <si>
    <t>Prenos geodetskega načrta v okolje operativnega katastra infrastrukture upravljavca (izvede upravljavec vodovoda).</t>
  </si>
  <si>
    <t>Izdelava PID dokumentacije izvedenih del.</t>
  </si>
  <si>
    <t>Pospravljanje in čiščenje gradbišča po končanih delih, komplet z odstranitvijo in odvozom odpadnega materiala, ter vzpostavitev v prvotno stanje.</t>
  </si>
  <si>
    <t>Začasna odstranitev in ponovna postavitev obstoječe cestne signalizacije v času gradnje (prometni znaki, označevalne in reklamne table…)</t>
  </si>
  <si>
    <t xml:space="preserve">PRIPR. IN ZAKLJ. DELA SKUPAJ: </t>
  </si>
  <si>
    <t>GRADBENA DELA</t>
  </si>
  <si>
    <t>Vsa izkopna dela in transporti izkopnih materialov se obračunajo po prostornini zemljine v raščenem stanju. Vsa razsipna dela se obračunajo po prostornini zemljine v vgrajenem stanju. Izračun količin na podlagi profilov, posnetih pred in po izkopih. V cenah posameznih postavk so zajeti vsi stroški: nabava materiala, transport, vgradnja in montaža, geomehanska spremljava in nadzor, ter izvedba mejno ugotovitvenih postopkov (ureditev meje) povsod, kjer se med gradnjo porušijo mejniki in ponovna ureditev meje s strani pooblaščenega geodeta.</t>
  </si>
  <si>
    <t>Površinski izkop plodne zemljine – strojno z odrivom do 50m.</t>
  </si>
  <si>
    <t>m3</t>
  </si>
  <si>
    <t xml:space="preserve">Izkop slabo nosilne zemljine – 2.kategorije   širine do 1,0m in globine  do 1,0m  – strojno izkop z škarpirno žlico  - ureditev odvodnih jarkov. </t>
  </si>
  <si>
    <t>ROČNI izkop vezljive zemljine/zrnate kamnine – 3.kategorije za  kanalske rove  širine do 1,0m in globine 1,1 do 2,0m.</t>
  </si>
  <si>
    <t>STROJNI izkop vezljive zemljine/zrnate kamnine – 3.kategorije za  kanalske rove  širine do 1,0m in globine 1,1 do 2,0m.</t>
  </si>
  <si>
    <t>Dvostransko razpiranje sten izkopanega kanalskega rova (A = dolžina x globina rova)</t>
  </si>
  <si>
    <t>m2</t>
  </si>
  <si>
    <t>ROČNO PLANIRANJE dna kanala - ureditev planuma temeljnih tal vezljive zemljine – 3. kategorije</t>
  </si>
  <si>
    <t xml:space="preserve">ZASIP  KANALA z izkopano zemljino – 3.kategorije  s komprimiranjem v slojih . </t>
  </si>
  <si>
    <r>
      <t xml:space="preserve">ZASIP KANALA z zrnato kamnino – 3.kategorije z dobavo iz gramoznice in s komprimiranje po plasteh           - </t>
    </r>
    <r>
      <rPr>
        <u/>
        <sz val="9"/>
        <rFont val="Arial"/>
        <family val="2"/>
        <charset val="238"/>
      </rPr>
      <t>do kote tampona (60 Mpa) ali humusa</t>
    </r>
    <r>
      <rPr>
        <sz val="9"/>
        <rFont val="Arial"/>
        <family val="2"/>
        <charset val="238"/>
      </rPr>
      <t>.</t>
    </r>
  </si>
  <si>
    <r>
      <t xml:space="preserve">Dobava in vgrajevanje tamponskega drobljenca TD32 v debelini min 40 cm, komprimiranje do zbitosti 100 Mpa        - </t>
    </r>
    <r>
      <rPr>
        <u/>
        <sz val="9"/>
        <rFont val="Arial"/>
        <family val="2"/>
        <charset val="238"/>
      </rPr>
      <t>vozišče</t>
    </r>
    <r>
      <rPr>
        <sz val="9"/>
        <rFont val="Arial"/>
        <family val="2"/>
        <charset val="238"/>
      </rPr>
      <t>.</t>
    </r>
  </si>
  <si>
    <t xml:space="preserve">Rušenje in ponovna naprava propustov, komplet z vsemi potrebnimi deli (skupaj z dobavo in vgradnjo ter potrebnim podložnim betonom in vtočno in iztočno glavo). </t>
  </si>
  <si>
    <t>kos</t>
  </si>
  <si>
    <t>Ø30 - Ø50 cm</t>
  </si>
  <si>
    <t>Rezanje asfaltne plasti s talno diamantno žago, debele do 10 cm.</t>
  </si>
  <si>
    <t>Rušitev in odstranitev asfaltne plasti v debelini do 10 cm.</t>
  </si>
  <si>
    <t>Priprava terena za asfaltiranje: izkop gramoza v deb. 10 cm, z nakladanjem in odvozom na deponijo razdalje do 5 km, planiranje in končno valjanje pred asfaltiranjem.</t>
  </si>
  <si>
    <t>15.1</t>
  </si>
  <si>
    <r>
      <t xml:space="preserve">Izdelava nosilne plasti bituminizirane zmesi AC 16 base B 50/70 A4 v debelini 5 cm, vključno s čiščenjem in premazom stikov z bitumensko emulzijo - </t>
    </r>
    <r>
      <rPr>
        <u/>
        <sz val="9"/>
        <rFont val="Arial"/>
        <family val="2"/>
        <charset val="238"/>
      </rPr>
      <t>vozišče JP in LC.</t>
    </r>
  </si>
  <si>
    <t>15.4</t>
  </si>
  <si>
    <r>
      <t xml:space="preserve">Izdelava obrabne in zaporne plasti bituminizirane zmesi AC 8 surf B 50/70 A4 v debelini 4 cm, vključno s čiščenjem in premazom stikov z bitumensko emulzijo ter pobrizg očiščenega asfalta z bitumensko emulzijo 0,5 kg/m2  - </t>
    </r>
    <r>
      <rPr>
        <u/>
        <sz val="9"/>
        <rFont val="Arial"/>
        <family val="2"/>
        <charset val="238"/>
      </rPr>
      <t>vozišče LC in RC</t>
    </r>
    <r>
      <rPr>
        <sz val="9"/>
        <rFont val="Arial"/>
        <family val="2"/>
        <charset val="238"/>
      </rPr>
      <t>.</t>
    </r>
  </si>
  <si>
    <t>Rezkanje obstoječega asfalta v širini min 40 cm in deb. 3-4 cm za napravo vzdolžnega stika, vključno z odvozom materiala.</t>
  </si>
  <si>
    <t>Razprostiranje odvečne plodne zemljine – 1. kategorije.</t>
  </si>
  <si>
    <t>Prevoz materiala na ustrezno deponijo.</t>
  </si>
  <si>
    <t>Razplaniranje odvečne zemljine na deponiji.</t>
  </si>
  <si>
    <t xml:space="preserve">Odlaganje odpadnega asfalta z odvozom na urejeno deponijo. </t>
  </si>
  <si>
    <t>t</t>
  </si>
  <si>
    <t>Izdelava bankine iz drobljenca, široke 0,51 do 0,75 m, poprečne debeline 10 cm.</t>
  </si>
  <si>
    <t xml:space="preserve">Podvrtavanje ceste ali vodotoka, komplet, v ceno zajeto:  izkop in zasip ustrezne gradbene jame, podvrtavanje, zaščitna cev, pripadajoči drsni obroči in zaključne gumi manšete. </t>
  </si>
  <si>
    <r>
      <t xml:space="preserve">zaščitna cev </t>
    </r>
    <r>
      <rPr>
        <sz val="9"/>
        <rFont val="Calibri"/>
        <family val="2"/>
        <charset val="238"/>
      </rPr>
      <t>Ø</t>
    </r>
    <r>
      <rPr>
        <sz val="9"/>
        <rFont val="Arial"/>
        <family val="2"/>
        <charset val="238"/>
      </rPr>
      <t>150 za PE Ø90 - Ø125</t>
    </r>
  </si>
  <si>
    <t>Obešanje cevovoda na mostno konstrukcijo (predizolirana cev fi125, koleno 22.5°- predizolirano, koleno 45°-predizolirano, zračnik DN80-predizoliran - komplet z nosilci in vijaki, z vsem veznim, spojnim in pritrditvenim materilom - po detajlu</t>
  </si>
  <si>
    <t>Naprava zaščite dna jarkov in potokov z lomljencem v betonu, komplet z materialom in vsemi potrebnimi deli. Izvedba po navodilih upravljavca cest in vodotokov.</t>
  </si>
  <si>
    <t>Rušenje in ponovna naprava cestnih robnikov, komplet z vsemi potrebnimi deli</t>
  </si>
  <si>
    <t>Odstranitev obstoječih betonskih kanalet, odvoz na začasno deponijo in ponovna vgradnja</t>
  </si>
  <si>
    <t>Porušitev obstoječega betonskega parapeta z odvozom odpadnega materiala na deponijo in naprava nadomestnega AB parapeta (višina 30 cm nad terenom) komplet z vsem materialom in delom</t>
  </si>
  <si>
    <t>Rušenje in vspostavitev v prvotno obliko vhodov v hišam, zajeti rezanje obstoječega tlaka ali asfalta, rušenje istega z odvozom ruševin na stalno deponijo, zasip z gramozom v deb. 40 cm,  naprava asfalta v izvedbi 5 + 3 cm, betoniranje ali tlakovci, rušenje in ponovna naprava prepustov na uvozih (do DN400)</t>
  </si>
  <si>
    <t>Sekanje in odstranjevanje grmičevja in dreves, odvoz v deponijo do 10 km in sežig.</t>
  </si>
  <si>
    <r>
      <t xml:space="preserve">JAŠEK ZA REDUCIRNI VENTIL 2,5x2,5x1,8m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</si>
  <si>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kom</t>
  </si>
  <si>
    <r>
      <t xml:space="preserve">JAŠEK ZA MERILNIK PRETOKA 2,5x2,5x1,8m           Naprava tipskega AB jaška not. dimenzij 2,5x2,5x1,8m  z vstopno odprtino 1,0x1,0m, komplet.                         V ceni zajeto: izkop, posteljica, tipski AB elementi-vodotesen beton, INOKS pokrov 100/100, z dvignjenim okvirjem za naknadno montažo z integriranim zračnikom </t>
    </r>
    <r>
      <rPr>
        <sz val="9"/>
        <color rgb="FF000000"/>
        <rFont val="Arial"/>
        <family val="2"/>
        <charset val="238"/>
      </rPr>
      <t>Ø10cm</t>
    </r>
    <r>
      <rPr>
        <sz val="9"/>
        <color indexed="8"/>
        <rFont val="Arial"/>
        <family val="2"/>
        <charset val="238"/>
      </rPr>
      <t>,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r>
  </si>
  <si>
    <t xml:space="preserve">Betoniranje sidrnih blokov v C 25/30 velikosti do 0,30 m3/kom skupaj z dobavo betona.
</t>
  </si>
  <si>
    <t>Obbetoniranje cestnih kap C16/30 v obsegu 15cm okoli cestne kape in v njeni celotni višini (izven asfalta), oz. do asfaltne podlage.</t>
  </si>
  <si>
    <t>Dobava in vgradnja frakcije 16/32 za drenažo zračnikov, izpustov in hidrantov, komplet z vsemi deli.</t>
  </si>
  <si>
    <t>Zaključek cevovoda - čep PE 100 ELGEF plis fi63</t>
  </si>
  <si>
    <t>Črpanje podtalne vode v času gradnje, komplet z vsemi pomožnimi deli.</t>
  </si>
  <si>
    <t>ur</t>
  </si>
  <si>
    <t>GRADBENA DELA SKUPAJ:</t>
  </si>
  <si>
    <t xml:space="preserve">MONTAŽNA DELA </t>
  </si>
  <si>
    <t xml:space="preserve">V cenah posameznih postavk so zajeti vsi stroški: nabava materiala, transport, vgradnja in montaža. </t>
  </si>
  <si>
    <r>
      <t xml:space="preserve">Pri NL ceveh se upošteva izvedba </t>
    </r>
    <r>
      <rPr>
        <b/>
        <sz val="10"/>
        <rFont val="Arial"/>
        <family val="2"/>
        <charset val="238"/>
      </rPr>
      <t>30% dolžine</t>
    </r>
    <r>
      <rPr>
        <sz val="10"/>
        <rFont val="Arial"/>
        <family val="2"/>
        <charset val="238"/>
      </rPr>
      <t xml:space="preserve"> z NL cevmi s sidrnimi rastavljivimi spoji.</t>
    </r>
  </si>
  <si>
    <r>
      <t xml:space="preserve">Pri PE ceveh se upošteva izvedba </t>
    </r>
    <r>
      <rPr>
        <b/>
        <sz val="10"/>
        <rFont val="Arial"/>
        <family val="2"/>
        <charset val="238"/>
      </rPr>
      <t>10% dolžine</t>
    </r>
    <r>
      <rPr>
        <sz val="10"/>
        <rFont val="Arial"/>
        <family val="2"/>
        <charset val="238"/>
      </rPr>
      <t xml:space="preserve"> z PE cevmi z dodanim aluminijastim slojem</t>
    </r>
  </si>
  <si>
    <t>Dobava in montaža vodovodnih cevi, skupaj s spojnim, veznim in tesnilnim materialom:</t>
  </si>
  <si>
    <r>
      <t xml:space="preserve">PE 100 PN 16 </t>
    </r>
    <r>
      <rPr>
        <sz val="9"/>
        <rFont val="Arial"/>
        <family val="2"/>
        <charset val="238"/>
      </rPr>
      <t>Ø</t>
    </r>
    <r>
      <rPr>
        <sz val="9"/>
        <color indexed="8"/>
        <rFont val="Arial"/>
        <family val="2"/>
        <charset val="238"/>
      </rPr>
      <t>125 RC PROTECT SDR11 PN16</t>
    </r>
  </si>
  <si>
    <r>
      <t xml:space="preserve">PE 100 PN 16 </t>
    </r>
    <r>
      <rPr>
        <sz val="9"/>
        <rFont val="Arial"/>
        <family val="2"/>
        <charset val="238"/>
      </rPr>
      <t>Ø</t>
    </r>
    <r>
      <rPr>
        <sz val="9"/>
        <color indexed="8"/>
        <rFont val="Arial"/>
        <family val="2"/>
        <charset val="238"/>
      </rPr>
      <t>125 RC PROTECT SDR11 PN16         z dodanim aluminijastim slojem</t>
    </r>
  </si>
  <si>
    <r>
      <t xml:space="preserve">PE 100 PN 16 </t>
    </r>
    <r>
      <rPr>
        <sz val="9"/>
        <rFont val="Arial"/>
        <family val="2"/>
        <charset val="238"/>
      </rPr>
      <t>Ø</t>
    </r>
    <r>
      <rPr>
        <sz val="9"/>
        <color indexed="8"/>
        <rFont val="Arial"/>
        <family val="2"/>
        <charset val="238"/>
      </rPr>
      <t>32 RC PROTECT SDR11</t>
    </r>
  </si>
  <si>
    <r>
      <t xml:space="preserve">PE 100 PN 16 </t>
    </r>
    <r>
      <rPr>
        <sz val="9"/>
        <rFont val="Arial"/>
        <family val="2"/>
        <charset val="238"/>
      </rPr>
      <t>Ø</t>
    </r>
    <r>
      <rPr>
        <sz val="9"/>
        <color indexed="8"/>
        <rFont val="Arial"/>
        <family val="2"/>
        <charset val="238"/>
      </rPr>
      <t>32 RC PROTECT SDR11 PN16           z dodanim aluminijastim slojem</t>
    </r>
  </si>
  <si>
    <t>1.1</t>
  </si>
  <si>
    <t>Dobava in polaganje zaščitnih cevi za zaščito vodovoda na križanjih z drugimi komunalnimi vodi, v ceno zajeti vsa  potrebna dela</t>
  </si>
  <si>
    <r>
      <t xml:space="preserve">zaščitna rebrasta cev </t>
    </r>
    <r>
      <rPr>
        <sz val="9"/>
        <rFont val="Calibri"/>
        <family val="2"/>
        <charset val="238"/>
      </rPr>
      <t>Ø</t>
    </r>
    <r>
      <rPr>
        <sz val="9"/>
        <rFont val="Arial"/>
        <family val="2"/>
        <charset val="238"/>
      </rPr>
      <t>160 za PE Ø90 - Ø125</t>
    </r>
  </si>
  <si>
    <r>
      <t xml:space="preserve">zaščitna rebrasta cev Ø110 za PE </t>
    </r>
    <r>
      <rPr>
        <sz val="9"/>
        <rFont val="Calibri"/>
        <family val="2"/>
        <charset val="238"/>
      </rPr>
      <t>Ø</t>
    </r>
    <r>
      <rPr>
        <sz val="9"/>
        <rFont val="Arial"/>
        <family val="2"/>
        <charset val="238"/>
      </rPr>
      <t xml:space="preserve">63 </t>
    </r>
  </si>
  <si>
    <t>zaščitna rebrasta cev Ø63 za PE Ø32</t>
  </si>
  <si>
    <t>Dobava in polaganje opozorilnega traku  iz trdega PE, debeline 0,15mm, širine 40mm s ponavljajočim črnim napisom POZOR VODOVOD.</t>
  </si>
  <si>
    <t>2.1</t>
  </si>
  <si>
    <t>Tlačni preizkus izvedega cevovoda in izdelava poročila po SIST EN805 s strani akreditirene institucije.</t>
  </si>
  <si>
    <t>2.2</t>
  </si>
  <si>
    <t>Dezinfekcija in izpiranje cevovoda po izvršenem tlačnem preizkusu.</t>
  </si>
  <si>
    <t>2.3</t>
  </si>
  <si>
    <t>Odvzem vzorca vode po dezinfekciji in izpiranju z pridobitvijo Poročila o zdravstveni ustreznosti s strani pooblaščene institucije.</t>
  </si>
  <si>
    <t>Dobava in montaža fazonskih kosov skupaj s spojnim, veznim in tesnilnim materialom</t>
  </si>
  <si>
    <t>3.1</t>
  </si>
  <si>
    <t>LOMI NA CEVOVODU</t>
  </si>
  <si>
    <t>lomi na cevovodu PE Ø125</t>
  </si>
  <si>
    <t xml:space="preserve">lok elektrovarilni 45°  Ø125 SDR 11 PN16 </t>
  </si>
  <si>
    <t>lok elektrovarilni 90°  Ø125 SDR 11 PN16</t>
  </si>
  <si>
    <t>lomi na cevovodu PE Ø63</t>
  </si>
  <si>
    <t xml:space="preserve">lok elektrovarilni 45°  Ø63 SDR 11 PN16 </t>
  </si>
  <si>
    <t>lok elektrovarilni 90°  Ø63 SDR 11 PN16</t>
  </si>
  <si>
    <t>3.2</t>
  </si>
  <si>
    <t>ZRAČNIKI</t>
  </si>
  <si>
    <r>
      <t xml:space="preserve">PODZEMNI ZRAČNIK na PE </t>
    </r>
    <r>
      <rPr>
        <b/>
        <sz val="9"/>
        <rFont val="Calibri"/>
        <family val="2"/>
        <charset val="238"/>
      </rPr>
      <t>Ø</t>
    </r>
    <r>
      <rPr>
        <b/>
        <sz val="9"/>
        <rFont val="Arial"/>
        <family val="2"/>
        <charset val="238"/>
      </rPr>
      <t>125</t>
    </r>
  </si>
  <si>
    <t>MMB DN100/80 bajonetni</t>
  </si>
  <si>
    <t>PODZEMNI ZRAČNIK DN80 bajonetni, RD=1,00m komplet z drenažnim elementom in vertikalnim sidrnim varovalom z gumi manžeto.</t>
  </si>
  <si>
    <t>SM-kos DN80-L bajonetni</t>
  </si>
  <si>
    <t>SM-kos DN80-K bajonetni</t>
  </si>
  <si>
    <t xml:space="preserve">PE prehodni kos DN125/100 s sidrno objemko </t>
  </si>
  <si>
    <r>
      <t xml:space="preserve">PE elektrfuz. obojka </t>
    </r>
    <r>
      <rPr>
        <sz val="10"/>
        <rFont val="Arial"/>
        <family val="2"/>
        <charset val="238"/>
      </rPr>
      <t xml:space="preserve"> </t>
    </r>
    <r>
      <rPr>
        <sz val="10"/>
        <color rgb="FF000000"/>
        <rFont val="Calibri"/>
        <family val="2"/>
        <charset val="238"/>
      </rPr>
      <t>Ø125</t>
    </r>
    <r>
      <rPr>
        <sz val="9"/>
        <color indexed="8"/>
        <rFont val="Arial"/>
        <family val="2"/>
        <charset val="238"/>
      </rPr>
      <t xml:space="preserve"> SDR11 PN16</t>
    </r>
  </si>
  <si>
    <t>cestna kapa za zračnik + podložna plošča</t>
  </si>
  <si>
    <r>
      <t xml:space="preserve">ozn. tablica + poc.steber </t>
    </r>
    <r>
      <rPr>
        <sz val="9"/>
        <color indexed="8"/>
        <rFont val="Calibri"/>
        <family val="2"/>
        <charset val="238"/>
      </rPr>
      <t>Ø</t>
    </r>
    <r>
      <rPr>
        <sz val="9"/>
        <color indexed="8"/>
        <rFont val="Arial"/>
        <family val="2"/>
        <charset val="238"/>
      </rPr>
      <t>48 + poc.sidro stebra</t>
    </r>
  </si>
  <si>
    <t>3.3</t>
  </si>
  <si>
    <t xml:space="preserve">IZPIRALNE GARNITURE </t>
  </si>
  <si>
    <r>
      <t xml:space="preserve">IZPIRALNA GARNITURA na PE </t>
    </r>
    <r>
      <rPr>
        <b/>
        <sz val="9"/>
        <rFont val="Calibri"/>
        <family val="2"/>
        <charset val="238"/>
      </rPr>
      <t>Ø</t>
    </r>
    <r>
      <rPr>
        <b/>
        <sz val="9"/>
        <rFont val="Arial"/>
        <family val="2"/>
        <charset val="238"/>
      </rPr>
      <t>63</t>
    </r>
  </si>
  <si>
    <r>
      <t xml:space="preserve">GARNITURA ZA IZPIRANJE DN50, RD=1,00m komplet z priključnim kolenom 90° in ISO spojko </t>
    </r>
    <r>
      <rPr>
        <sz val="9"/>
        <rFont val="Calibri"/>
        <family val="2"/>
        <charset val="238"/>
      </rPr>
      <t>Ø</t>
    </r>
    <r>
      <rPr>
        <sz val="9"/>
        <rFont val="Arial"/>
        <family val="2"/>
        <charset val="238"/>
      </rPr>
      <t xml:space="preserve">63 </t>
    </r>
  </si>
  <si>
    <t>cestna kapa za izp.grt. + podložna plošča</t>
  </si>
  <si>
    <t>3.4</t>
  </si>
  <si>
    <t>IZPUSTI</t>
  </si>
  <si>
    <t>IZPUST na PE Ø125</t>
  </si>
  <si>
    <t>MMB DN 100/80 bajonetni</t>
  </si>
  <si>
    <t>ZASUN HSM DN100 bajonetni + tel.vgradna,grt.</t>
  </si>
  <si>
    <t xml:space="preserve">PODZEMNI HIDRANT DN 80, RD=1,00m </t>
  </si>
  <si>
    <t>S-kos DN80-L bajonetni</t>
  </si>
  <si>
    <t>MMQ DN80 bajonetni</t>
  </si>
  <si>
    <t>S-kos DN80-K bajonetni</t>
  </si>
  <si>
    <t>ZASUN HSM DN80 bajonetni + tel.vgradna,grt.</t>
  </si>
  <si>
    <t>SM-kos DN80-M bajonetni</t>
  </si>
  <si>
    <t>EN-kos DN80 bajonetni</t>
  </si>
  <si>
    <t>FF DN80/200</t>
  </si>
  <si>
    <t>FF kos DN80/400</t>
  </si>
  <si>
    <r>
      <t xml:space="preserve">PE elektrfuz. obojka  </t>
    </r>
    <r>
      <rPr>
        <sz val="9"/>
        <color indexed="8"/>
        <rFont val="Calibri"/>
        <family val="2"/>
        <charset val="238"/>
      </rPr>
      <t>Ø</t>
    </r>
    <r>
      <rPr>
        <sz val="9"/>
        <color indexed="8"/>
        <rFont val="Arial"/>
        <family val="2"/>
        <charset val="238"/>
      </rPr>
      <t>125 SDR11 PN16</t>
    </r>
  </si>
  <si>
    <t>cestna kapa za izpust + podložna plošča</t>
  </si>
  <si>
    <t>3.5</t>
  </si>
  <si>
    <t>NADZEMNI HIDRANTI</t>
  </si>
  <si>
    <t>NADZEMNI HIDRANT na PE Ø125</t>
  </si>
  <si>
    <t>NADZEMNII HIDRANT-nelomljivi DN 80,  RD=1,00m,                        (SPOJKE 2xC+1xB)</t>
  </si>
  <si>
    <t>SM-kos DN 80-M bajonetni</t>
  </si>
  <si>
    <t>EN kos DN80 bajonetni</t>
  </si>
  <si>
    <t>FF kos DN80/200</t>
  </si>
  <si>
    <t>cestna kapa za zasun + podložna plošča</t>
  </si>
  <si>
    <t>3.5.1</t>
  </si>
  <si>
    <t>Izvedba meritve hidranta s strani pooblaščene institucije  in izdelava poročila.</t>
  </si>
  <si>
    <t>3.7</t>
  </si>
  <si>
    <t>VOZLIŠČA - ODCEPI</t>
  </si>
  <si>
    <t>VOZLIŠČE na PE Ø125 - ODCEP  PE Ø125</t>
  </si>
  <si>
    <t>MMB z int.zasunom DN 100/100 bajonetni + tel.vgradna,grt.</t>
  </si>
  <si>
    <t>VOZLIŠČE na PE Ø125 - ODCEP  PE Ø110</t>
  </si>
  <si>
    <t xml:space="preserve">PE prehodni kos DN110/100 s sidrno objemko </t>
  </si>
  <si>
    <r>
      <t xml:space="preserve">PE elektrfuz. obojka  </t>
    </r>
    <r>
      <rPr>
        <sz val="9"/>
        <color indexed="8"/>
        <rFont val="Calibri"/>
        <family val="2"/>
        <charset val="238"/>
      </rPr>
      <t>Ø</t>
    </r>
    <r>
      <rPr>
        <sz val="9"/>
        <color indexed="8"/>
        <rFont val="Arial"/>
        <family val="2"/>
        <charset val="238"/>
      </rPr>
      <t>110 SDR11 PN16</t>
    </r>
  </si>
  <si>
    <t>VOZLIŠČE na PE Ø125 - ODCEP  PE Ø63</t>
  </si>
  <si>
    <t>MMB z int.zasunom DN 100/80 bajonetni + tel.vgradna,grt.</t>
  </si>
  <si>
    <t xml:space="preserve">PE prehodni kos DN90/80 s sidrno objemko </t>
  </si>
  <si>
    <r>
      <t xml:space="preserve">PE elektrfuz. obojka  </t>
    </r>
    <r>
      <rPr>
        <sz val="9"/>
        <color indexed="8"/>
        <rFont val="Calibri"/>
        <family val="2"/>
        <charset val="238"/>
      </rPr>
      <t>Ø</t>
    </r>
    <r>
      <rPr>
        <sz val="9"/>
        <color indexed="8"/>
        <rFont val="Arial"/>
        <family val="2"/>
        <charset val="238"/>
      </rPr>
      <t>90 SDR11 PN16</t>
    </r>
  </si>
  <si>
    <r>
      <t xml:space="preserve">PE redukcija </t>
    </r>
    <r>
      <rPr>
        <sz val="9"/>
        <color indexed="8"/>
        <rFont val="Calibri"/>
        <family val="2"/>
        <charset val="238"/>
      </rPr>
      <t>Ø</t>
    </r>
    <r>
      <rPr>
        <sz val="9"/>
        <color indexed="8"/>
        <rFont val="Arial"/>
        <family val="2"/>
        <charset val="238"/>
      </rPr>
      <t>90/63 SDR11 PN16</t>
    </r>
  </si>
  <si>
    <r>
      <t xml:space="preserve">PE elektrfuz. obojka  </t>
    </r>
    <r>
      <rPr>
        <sz val="9"/>
        <color indexed="8"/>
        <rFont val="Calibri"/>
        <family val="2"/>
        <charset val="238"/>
      </rPr>
      <t>Ø</t>
    </r>
    <r>
      <rPr>
        <sz val="9"/>
        <color indexed="8"/>
        <rFont val="Arial"/>
        <family val="2"/>
        <charset val="238"/>
      </rPr>
      <t>63 SDR11 PN16</t>
    </r>
  </si>
  <si>
    <t>3.8</t>
  </si>
  <si>
    <t>PRIKLJUČKI</t>
  </si>
  <si>
    <t>PRIKLJUČEK PE Ø50 na PE Ø125</t>
  </si>
  <si>
    <t>NAVRTALNI ZASUN ZA ODCEPE Ø50-63, z vrtljivim kolenom z ISO spojko Ø50 in dvod.oklepom Ø125 + tel.vgradna,grt.</t>
  </si>
  <si>
    <t>cestna kapa za navrt.zasun + podložna plošča</t>
  </si>
  <si>
    <t>ozn. tablica + poc.steber Ø48 + poc.sidro stebra</t>
  </si>
  <si>
    <t>PRIKLJUČEK PE Ø32 na PE Ø125</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</si>
  <si>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Ø125 + tel.vgradna,grt.</t>
    </r>
  </si>
  <si>
    <t>3.9</t>
  </si>
  <si>
    <t>MERILNIKI PRETOKA</t>
  </si>
  <si>
    <t>MERILNIK PRETOKA na PE fi125 (v jašku)</t>
  </si>
  <si>
    <t>MMK 45° DN125 bajonetni</t>
  </si>
  <si>
    <t>R-kos DN125/100 bajonetni</t>
  </si>
  <si>
    <t>MMK 45° DN100 bajonetni</t>
  </si>
  <si>
    <t>F-kos DN 100 bajonetni</t>
  </si>
  <si>
    <t xml:space="preserve">FF  DN100/600 INOKS+nav. slepa prirob. v steni jaška </t>
  </si>
  <si>
    <t xml:space="preserve">FF  DN100/200  </t>
  </si>
  <si>
    <t>T kos DN100/100</t>
  </si>
  <si>
    <t>FF DN100/400</t>
  </si>
  <si>
    <t>MDK DN100</t>
  </si>
  <si>
    <t>IND.MERILEC PRETOKA DN100 PROMAG W800 IP68</t>
  </si>
  <si>
    <t>FF DN100/400 INOKS z odcepom DN25-ZN</t>
  </si>
  <si>
    <t>krogelni ventil ND25 + čep</t>
  </si>
  <si>
    <t>ZRAČNIK DN100 dvofunkcijski</t>
  </si>
  <si>
    <t>ZASUN DN100 + kolo</t>
  </si>
  <si>
    <t>sidrna objemka DN125 bajonetna</t>
  </si>
  <si>
    <t>sidrna objemka DN100 bajonetna</t>
  </si>
  <si>
    <t>3.10</t>
  </si>
  <si>
    <t>REDUCIRNI VENTILI</t>
  </si>
  <si>
    <r>
      <t xml:space="preserve">REDUCIRNI VENTIL na PE </t>
    </r>
    <r>
      <rPr>
        <b/>
        <sz val="9"/>
        <rFont val="Calibri"/>
        <family val="2"/>
        <charset val="238"/>
      </rPr>
      <t>Ø</t>
    </r>
    <r>
      <rPr>
        <b/>
        <sz val="9.9"/>
        <rFont val="Arial"/>
        <family val="2"/>
        <charset val="238"/>
      </rPr>
      <t>125</t>
    </r>
    <r>
      <rPr>
        <b/>
        <sz val="9"/>
        <rFont val="Arial"/>
        <family val="2"/>
        <charset val="238"/>
      </rPr>
      <t xml:space="preserve"> (v jašku)</t>
    </r>
  </si>
  <si>
    <t xml:space="preserve">FF  DN100/800 INOKS+nav. slepa prirob. v steni jaška </t>
  </si>
  <si>
    <t xml:space="preserve">FF  DN50/800 INOKS+nav. slepa prirob. v steni jaška </t>
  </si>
  <si>
    <t>LOVILEC NEČISTOČ DN100 s stransko čist. odprtino</t>
  </si>
  <si>
    <t>FF DN100/400 INOKS z odcepom DN25</t>
  </si>
  <si>
    <t>T DN100/50</t>
  </si>
  <si>
    <t>FF DN50/600</t>
  </si>
  <si>
    <t>REGULACIJSKI REDUCIRNI VENTIL DN100</t>
  </si>
  <si>
    <t>NASTAVLJIVA ZASLONKA DN100 - medprirobnična</t>
  </si>
  <si>
    <t xml:space="preserve">REGULACIJSKI VARNOSTNI VENTIL DN50 </t>
  </si>
  <si>
    <t>REDUCIRNI VENTIL DN25 (by-pas)</t>
  </si>
  <si>
    <t xml:space="preserve">krogelni ventil ND25 </t>
  </si>
  <si>
    <t>BY-PAS DN25 za reducirni ventil DN25, komplet z cevjo DN25 (l=2,00m), glicerinskima manometroma PN16, holancema, loki in varjenjem, komplet v INOKS izvedbi.</t>
  </si>
  <si>
    <t>PODZEMNI ZRAČNIK DN 80 bajonetni, RD=1,00m komplet z drenažnim elementom in vertikalnim sidrnim varovalom z gumi manžeto.</t>
  </si>
  <si>
    <t>ZASUN DN50 + kolo</t>
  </si>
  <si>
    <r>
      <t xml:space="preserve">REDUCIRNI VENTIL na PE </t>
    </r>
    <r>
      <rPr>
        <b/>
        <sz val="9"/>
        <rFont val="Calibri"/>
        <family val="2"/>
        <charset val="238"/>
      </rPr>
      <t>Ø</t>
    </r>
    <r>
      <rPr>
        <b/>
        <sz val="9.9"/>
        <rFont val="Arial"/>
        <family val="2"/>
        <charset val="238"/>
      </rPr>
      <t>110</t>
    </r>
    <r>
      <rPr>
        <b/>
        <sz val="9"/>
        <rFont val="Arial"/>
        <family val="2"/>
        <charset val="238"/>
      </rPr>
      <t xml:space="preserve"> (v jašku)</t>
    </r>
  </si>
  <si>
    <t>R-kos DN100/80 bajonetni</t>
  </si>
  <si>
    <t>MMK 45° DN80 bajonetni</t>
  </si>
  <si>
    <t>F-kos DN 80 bajonetni</t>
  </si>
  <si>
    <t xml:space="preserve">FF  DN80/800 INOKS+nav. slepa prirob. v steni jaška </t>
  </si>
  <si>
    <t>LOVILEC NEČISTOČ DN80 s stransko čist. odprtino</t>
  </si>
  <si>
    <t>FF DN80/400 INOKS z odcepom DN25</t>
  </si>
  <si>
    <t>T DN80/50</t>
  </si>
  <si>
    <t>MDK DN80</t>
  </si>
  <si>
    <t>REGULACIJSKI REDUCIRNI VENTIL DN80</t>
  </si>
  <si>
    <t>NASTAVLJIVA ZASLONKA DN80 - medprirobnična</t>
  </si>
  <si>
    <t>MMB DN80/80 bajonetni</t>
  </si>
  <si>
    <t>3.11</t>
  </si>
  <si>
    <t>VODOMERNI JAŠKI</t>
  </si>
  <si>
    <t>Vodomerni jašek iz PE materiala, okrogle oblike, minimalni notranji svetli premer (DN) 600mm, minimalne višine 1000mm, pokrov iz umetne mase, komplet z REDUCIRNIM VENTILOM DN20-z manometrom in volumetričnim vodomerom DN20.</t>
  </si>
  <si>
    <t>MONTAŽNA DELA SKUPAJ:</t>
  </si>
  <si>
    <t>Vodovod občina Tišina - Skakovci (VKS-transportni)</t>
  </si>
  <si>
    <t xml:space="preserve">Dobava in vgrajevanje peska granulacije 0-4mm (okrogla zrnca) za posteljico ob cevi in nad cevmi. </t>
  </si>
  <si>
    <t>Ø60 - Ø80 cm</t>
  </si>
  <si>
    <t>15.3</t>
  </si>
  <si>
    <r>
      <t xml:space="preserve">Izdelava nosilne plasti bituminizirane zmesi AC 22 base B 50/70 A3 v debelini 6 cm, vključno s čiščenjem in premazom stikov z bitumensko emulzijo                             - </t>
    </r>
    <r>
      <rPr>
        <u/>
        <sz val="9"/>
        <rFont val="Arial"/>
        <family val="2"/>
        <charset val="238"/>
      </rPr>
      <t xml:space="preserve">vozišče LC in RC. </t>
    </r>
  </si>
  <si>
    <t>zaščitna jeklena cev DN 400 za NL DN200</t>
  </si>
  <si>
    <t xml:space="preserve">Križanje ceste ali vodotoka, komplet, v ceno zajeto: zaščitna cev, obbetoniranje, pripadajoči drsni obroči, zaključne gumi manšete, uvlačenje vodovodne cevi. </t>
  </si>
  <si>
    <t>zaščitna cev DN 400 za NL DN200</t>
  </si>
  <si>
    <t>Sekanje in odstranjevanje grmičevja in dreves (deb. do 10 cm), odvoz v deponijo do 1 km in sežig.</t>
  </si>
  <si>
    <t>Sekanje in odstranjevanje dreves (deb. nad 10 cm), odvoz v deponijo do 1 km in sežig.</t>
  </si>
  <si>
    <t>NL DN 200 C50 / 6m, sidrni razstavljivi spoj</t>
  </si>
  <si>
    <t>NL DN 200 C50 / 6m, nesidrni spoj</t>
  </si>
  <si>
    <t>lomi na cevovodu NL DN200</t>
  </si>
  <si>
    <t>MMK 11° DN200 bajonetni</t>
  </si>
  <si>
    <t>MMK 22° DN200 bajonetni</t>
  </si>
  <si>
    <t>MMK 30° DN200 bajonetni</t>
  </si>
  <si>
    <t>MMK 45° DN200 bajonetni</t>
  </si>
  <si>
    <t>sidrna objemka DN200-bajonetna</t>
  </si>
  <si>
    <t>PODZEMNI ZRAČNIK na NL DN200</t>
  </si>
  <si>
    <t>MMB DN200/80 bajonetni</t>
  </si>
  <si>
    <t>sidrna objemka DN200 bajonetna</t>
  </si>
  <si>
    <t>IZPUST na NL DN200</t>
  </si>
  <si>
    <t>MMB DN 200/80 bajonetni</t>
  </si>
  <si>
    <t>ZASUN HSM DN200 bajonetni + tel.vgradna,grt.</t>
  </si>
  <si>
    <t>S-kos DN 80-L bajonetni</t>
  </si>
  <si>
    <t>S-kos DN 80-K bajonetni</t>
  </si>
  <si>
    <t>FF DN80/400</t>
  </si>
  <si>
    <t>3.6</t>
  </si>
  <si>
    <t>LINIJSKI ZASUNI</t>
  </si>
  <si>
    <t xml:space="preserve">LINIJSKI ZASUN na NL DN200 </t>
  </si>
  <si>
    <t>ZASUN DN200 bajonetni (obojka/obojka) + tel.vgradna,grt.</t>
  </si>
  <si>
    <t>VOZLIŠČE na NL DN300 - ODCEP NL DN200</t>
  </si>
  <si>
    <t>MMB DN 300/200 bajonetni</t>
  </si>
  <si>
    <t>sidrna objemka DN300</t>
  </si>
  <si>
    <t>univerzalna spojka za cevi PVC fi300</t>
  </si>
  <si>
    <t>MERILNIK PRETOKA na NL DN250 (v jašku)</t>
  </si>
  <si>
    <t>MMK 45° DN250 bajonetni</t>
  </si>
  <si>
    <t>R-kos DN250/150 bajonetni</t>
  </si>
  <si>
    <t>MMK 45° DN150 bajonetni</t>
  </si>
  <si>
    <t>ZASUN HSM DN150 bajonetni + tel.vgradna,grt.</t>
  </si>
  <si>
    <t>F-kos DN 150 bajonetni</t>
  </si>
  <si>
    <t xml:space="preserve">FF  DN150/800 INOKS+nav. slepa prirob. v steni jaška </t>
  </si>
  <si>
    <t xml:space="preserve">FF  DN150/200  </t>
  </si>
  <si>
    <t>T kos DN150/150</t>
  </si>
  <si>
    <t>FF DN150/400</t>
  </si>
  <si>
    <t>MDK DN150</t>
  </si>
  <si>
    <t>IND.MERILEC PRETOKA DN150 PROMAG W800 IP68</t>
  </si>
  <si>
    <t>FF DN150/400 INOKS z odcepom DN25-ZN</t>
  </si>
  <si>
    <t>ZRAČNIK DN150 dvofunkcijski</t>
  </si>
  <si>
    <t>ZASUN DN150 + kolo</t>
  </si>
  <si>
    <t>sidrna objemka DN250 bajonetna</t>
  </si>
  <si>
    <t>sidrna objemka DN150 bajonetna</t>
  </si>
  <si>
    <t>Obvezni sestavni del tega ponudbenega predračuna je PRILOGA PONUDBENEGA PREDRAČUNA:</t>
  </si>
  <si>
    <t>SEZNAM MATERIALA IN OPREME, KI GA BO PONUDNIK VGRADIL</t>
  </si>
  <si>
    <t>B.1</t>
  </si>
  <si>
    <t>ZEMELJSKA DELA</t>
  </si>
  <si>
    <t>B.2</t>
  </si>
  <si>
    <t>BETONSKA DELA</t>
  </si>
  <si>
    <t>B.3</t>
  </si>
  <si>
    <t>TESARSKA DELA</t>
  </si>
  <si>
    <t>B.4</t>
  </si>
  <si>
    <t>ZIDARSKA DELA</t>
  </si>
  <si>
    <t>B.5</t>
  </si>
  <si>
    <t>OBRTNIŠKA DELA</t>
  </si>
  <si>
    <t>ELEKTRO DELA</t>
  </si>
  <si>
    <t>Zap.št.</t>
  </si>
  <si>
    <t>A.1</t>
  </si>
  <si>
    <t>Postavitev in zavarovanje prečnih poifilov.</t>
  </si>
  <si>
    <t>A.2</t>
  </si>
  <si>
    <t>A.3</t>
  </si>
  <si>
    <t>A.4</t>
  </si>
  <si>
    <t>A.5</t>
  </si>
  <si>
    <t>A.6</t>
  </si>
  <si>
    <t>A.7</t>
  </si>
  <si>
    <t>B.1.1</t>
  </si>
  <si>
    <t>B.1.2</t>
  </si>
  <si>
    <t>Vgraditev in vzdrževanje jeklene zagatne stene. Zajeti vsa potrebna dela in izvlačenje. Svetla višina do max 2.5 m.</t>
  </si>
  <si>
    <t>B.1.3</t>
  </si>
  <si>
    <t>ROČNI izkop vezljive zemljine/zrnate kamnine – 3.kategorije - gradbena jama globine 2.5m.</t>
  </si>
  <si>
    <t>B.1.4</t>
  </si>
  <si>
    <t>STROJNI izkop vezljive zemljine/zrnate kamnine – 3.kategorije - gradbena jama globine 2.5m.</t>
  </si>
  <si>
    <t>B.1.5</t>
  </si>
  <si>
    <t>Planiranje dna izkopa s točnostjo od +-3 cm s povprečnim izkopom 0,05 m3/m2in odvozom zemlje na gradbiščno deponijo.</t>
  </si>
  <si>
    <t>B.1.6</t>
  </si>
  <si>
    <t xml:space="preserve">Zasip  sten objekta po dokončanju del z materialom od izkopa komplet z komprimiranjem v slojih. </t>
  </si>
  <si>
    <t>B.1.7</t>
  </si>
  <si>
    <t>Dobava, razstiranje ter utrditev gramoznega tampona (prodnopeščena blazina)  v sloju debeline 50 cm .</t>
  </si>
  <si>
    <t>B.1.8</t>
  </si>
  <si>
    <t>B.1.9</t>
  </si>
  <si>
    <t>B.1.10</t>
  </si>
  <si>
    <t>B.1.11</t>
  </si>
  <si>
    <t>Humusiranje ravnih  površin okrog in nad objektom ter posejanje travnega semena z dodatkom umetnega gnojila</t>
  </si>
  <si>
    <t>B.1.12</t>
  </si>
  <si>
    <t>Ureditev gramozirane dovozne poti, komplet z vsemi gradbenimi in utrditvenimi deli in odovzom in deponiranjem odvečne zemljine</t>
  </si>
  <si>
    <t>Pri vseh betonskih delih je zajeti v enotno ceno  potrebne preiskave.</t>
  </si>
  <si>
    <t>B.2.1</t>
  </si>
  <si>
    <t xml:space="preserve">Dobava in vgrajevanje podložnega betona talne plošče C16/20 v debelini 10 cm. </t>
  </si>
  <si>
    <t>B.2.2</t>
  </si>
  <si>
    <t xml:space="preserve">Dobava in vgraditev vodotesnega betona v AB talno ploščo deb. 30 cm, C25/30  </t>
  </si>
  <si>
    <t>B.2.3</t>
  </si>
  <si>
    <t xml:space="preserve">Dobava in vgraditev vodotesnega betona v AB stene deb. 30 cm, C25/30  </t>
  </si>
  <si>
    <t>B.2.4</t>
  </si>
  <si>
    <t xml:space="preserve">Dobava in vgraditev vodotesnega betona v AB stropno ploščo deb. 30 cm, C25/30  </t>
  </si>
  <si>
    <t>B.2.5</t>
  </si>
  <si>
    <t xml:space="preserve">Dobava in vgraditev  betona C 25/30 v AB vezi in nosilec nad vrati in oknom, prerez 0,06-0,12 m3/m2/m1 </t>
  </si>
  <si>
    <t>B.2.6</t>
  </si>
  <si>
    <t xml:space="preserve">Dobava in vgrajevanje izravnalnega betona C25/30, komplet z zagladitvijo in napravo nagibov </t>
  </si>
  <si>
    <t>B.2.7</t>
  </si>
  <si>
    <t>Dobava, krivljenje in polaganje armature. V ceno je zajeti vsa pomožna dela in prenose.</t>
  </si>
  <si>
    <t xml:space="preserve">- RA ne glede na prerez, stene, plošče </t>
  </si>
  <si>
    <t>kg</t>
  </si>
  <si>
    <t xml:space="preserve">- armaturne mreže </t>
  </si>
  <si>
    <t>BETONSKA DELA SKUPAJ:</t>
  </si>
  <si>
    <t>Pri formiranju enotne cene za posamezna dela je potrebno upoštevati vse potrebne prenose in materiale za izdelavo posameznih postavk, kot tudi potrebne odre , razopažanje , potrebno podpiranje ter pomožna dela</t>
  </si>
  <si>
    <t>B3.1</t>
  </si>
  <si>
    <t xml:space="preserve">Naprava enostranskega opaža podložnega betona v višini do 0,15 m po obodu. V ceno je zajeti,  opaževanje, razopaževanje in čiščenje opaža. </t>
  </si>
  <si>
    <t>B3.2</t>
  </si>
  <si>
    <t xml:space="preserve">Naprava enostranskega opaža talne plošče v višini do 0,35 m po obodu. V ceno je zajeti, opaževanje, razopaževanje in čiščenje opaža. </t>
  </si>
  <si>
    <t>B3.3</t>
  </si>
  <si>
    <t>Naprava dvostranskega opaža sten  poglobljenega dela objekta, višina sten do 1,7m</t>
  </si>
  <si>
    <t>B3.4</t>
  </si>
  <si>
    <t>Naprava dvostranskega opaža sten  rezervoarja, višina sten do 2,7m</t>
  </si>
  <si>
    <t>B3.5</t>
  </si>
  <si>
    <t>Naprava dvostranskega opaža sten vstopne odprtine, višina sten do 1m</t>
  </si>
  <si>
    <t>Naprava enostranskega opaža stropa rezervoarja, višina podpiranja do 2,7m</t>
  </si>
  <si>
    <t>B3.6</t>
  </si>
  <si>
    <t xml:space="preserve">Naprava dvostranskega opaža vezi in prekladen nad vrati  višine do 30 cm. V ceno je potrebno zajeti, opaževanje, razopaževanje in čiščenje opaža. </t>
  </si>
  <si>
    <t>B3.7</t>
  </si>
  <si>
    <t xml:space="preserve">Naprava enostranskega opaža odprtin za cevi. V ceno je potrebno zajeti vsa pomožna dela, opaževanje, razopaževanje in čiščenje opaža. </t>
  </si>
  <si>
    <t>B3.8</t>
  </si>
  <si>
    <t>Naprava strešne konstrukcije iz smrekovega lesa II. kvalitete, komplet z zaščito lesa  in dvakratni premaz  proti požaru, z vsem pritrdilnim in veznim materialom ter z vsemi pomožnimi deli</t>
  </si>
  <si>
    <t>B3.9</t>
  </si>
  <si>
    <t>Letvanje celotne lesene strešne konstrukcije z letvami 5/8 , z zaščito lesa  in dvakratni premaz , z vsem pritrdilnim in veznim materialom ter z vsemi pomožnimi deli in prenosi.</t>
  </si>
  <si>
    <t>B3.10</t>
  </si>
  <si>
    <t>Pokrivanje strešne konstrukcije z opečno kritino, v ceno zajeti pokrivanje slemena v dolžini 6,5 m</t>
  </si>
  <si>
    <t>B3.11</t>
  </si>
  <si>
    <t xml:space="preserve">Razna manjša tesarska dela </t>
  </si>
  <si>
    <t xml:space="preserve"> - KV delavec</t>
  </si>
  <si>
    <t xml:space="preserve"> - PK delavec</t>
  </si>
  <si>
    <t>TESARSKA DELA SKUPAJ:</t>
  </si>
  <si>
    <t>V enotne cene je zajeti potrebne odre</t>
  </si>
  <si>
    <t>B.4.1</t>
  </si>
  <si>
    <t>Naprava vertikalne hidroizolacije robov talne  plošče z membransko izolacijo iz iz bele sintetične folije, na bazi HDPE s posebnim patentiranim nanosom, ki v kontaktu s svežim betonom zreagira v trajno elastično lepljiv spoj z visoko adhezijsko afiniteto. Sistem Preprufe 160 R ali podobno</t>
  </si>
  <si>
    <t>B.4.2</t>
  </si>
  <si>
    <t xml:space="preserve">Naprava vertiklane  hidroizolacije sten in vkopane stropne plošče v izvedbi  : 1x hladni premaz z ibitolom in  1sloj varjene  lepenke deb. 4 mm ter zaščita z 3 cm styrodurjem XPS ali podobnim materialom </t>
  </si>
  <si>
    <t>B.4.3</t>
  </si>
  <si>
    <t>Zatesnitev vseh prebojev v vodotesni izvedbi</t>
  </si>
  <si>
    <t xml:space="preserve">pavšal </t>
  </si>
  <si>
    <t>B.4.4</t>
  </si>
  <si>
    <t xml:space="preserve">Hidroizolacijski premaz pod tlaki v sanitarijah, kopalnicah s HIDROSTOP ELASTIK AB-Kema Puconci, tudi 10 cm vertikalno na steno, kompletno z izvedbo priprave podlage. </t>
  </si>
  <si>
    <t>B.4.5</t>
  </si>
  <si>
    <t>Dobava in vgradnja PVC-P tesnilnega traku, vgrajenega v svež beton na stiku talne plošče in stene, širine 32cm, komplet z vsem pritrdilnim in spojnim materialom, ter z vsemi pomožnimi deli in prenosi. (npr. Tricosal PVC-P FIX 20)</t>
  </si>
  <si>
    <t>B.4.6</t>
  </si>
  <si>
    <t>Zidanje zunanjih nosilnih zidov z Modul opeko  6/1  v PCM 1:3:9, komplet z vsemi pomožnimi deli in prenosi.  Zid debeline 30 cm.</t>
  </si>
  <si>
    <t>B.4.7</t>
  </si>
  <si>
    <t xml:space="preserve">Naprava notranjega grobega in finega ometa opečnih sten v PCM 1:3:9, komplet z predhodnim obrizgom podlage z redko cementno malto 1:1 </t>
  </si>
  <si>
    <t>B.4.8</t>
  </si>
  <si>
    <t xml:space="preserve">Kompletna izdelava fasade izolacijske plošče iz ekspandiranega polistirena  deb. 10cm lepljene na podlago in sidrane s sidrnimi elementi v steno,steklena mreža, lepljena na stiropor , izravnalni sloj,  zaključni silikatni omet (npr. JUB - zrnca deb. 2 mm ali enakovredno) vsa pomožna dela in prenosi ter fasadni oder  </t>
  </si>
  <si>
    <t>B.4.9</t>
  </si>
  <si>
    <t>Izdelava cokla fasade s Stirodur XPS ploščami deb. 8 cm, kompletno s stekleno mrežico in malto za izravnavo, zaribano površino iz kulirplasta.</t>
  </si>
  <si>
    <t>B.4.10</t>
  </si>
  <si>
    <t>Zaključno čiščenje objekta po dokončanju del,</t>
  </si>
  <si>
    <t>B.4.11</t>
  </si>
  <si>
    <t xml:space="preserve">Razna zidarska pomoč pri obrtniških in instalacijskih del </t>
  </si>
  <si>
    <t>- KV delavec</t>
  </si>
  <si>
    <t>- PK delavec</t>
  </si>
  <si>
    <t>ZIDARSKA DELA SKUPAJ:</t>
  </si>
  <si>
    <t>-</t>
  </si>
  <si>
    <t>B.5.1</t>
  </si>
  <si>
    <t>Obdelava vidne notranje stene in stropa, brušenje, izravnava ter 2x beljenje s pralno barvo na vodni osnovi.</t>
  </si>
  <si>
    <t xml:space="preserve">Obdelava sten in talne plošče vodnega zbitralnika z hidrotes  premazom </t>
  </si>
  <si>
    <t>B.5.2</t>
  </si>
  <si>
    <t>Kompletna izvedba strešne hidroizolacije (sekundarne kritine) in pričvrstitev na leseni poletvani del.</t>
  </si>
  <si>
    <t>B.5.3</t>
  </si>
  <si>
    <t>B.5.4</t>
  </si>
  <si>
    <t>B.5.5</t>
  </si>
  <si>
    <t xml:space="preserve">Dobava in lepljenje stenskih keramičnih ploščic I. kvalitete (bele barve), kislinsko odporne velikosti 20/30 cm betonske/opečnate  stene, PVC križci in zaključnimi vogalniki, zaoblico med steno in tlakom trajnoelastičnim kitom. </t>
  </si>
  <si>
    <t>B.5.6</t>
  </si>
  <si>
    <t xml:space="preserve">Dobava in lepljenje talnih keramičnih ploščic I. kvalitete (bele barve), kislinsko odporne velikosti 30/30 cm na betonske  tlake s PVC križci. </t>
  </si>
  <si>
    <t>B.5.7</t>
  </si>
  <si>
    <t>Izdelava, dobava in montaža kovinske lestve s protizdrsnim sistemom iz nerjavečega materiala , višine do 1,7 m, komplet z vsem pritrdilnim materialom</t>
  </si>
  <si>
    <t>B.5.8</t>
  </si>
  <si>
    <t>Naprava in montaža okroglih žlebov strehe r.š. 30 cm iz pocinkave  pločevine debeline 0.6 mm, komplet s kljukami, vsem pritrdilnim in veznim materialom.</t>
  </si>
  <si>
    <t>B.5.9</t>
  </si>
  <si>
    <t xml:space="preserve">Naprava in montaža okroglih odtočnih cevi fi 16 cm iz pocinkane  pločevine debeline 0.6 mm , komplet z vsem pritrdilnim in veznim materialom. </t>
  </si>
  <si>
    <t>B.5.10</t>
  </si>
  <si>
    <t>Naprava in montaža zbirnega kotlička iz pocinkane  pločevine debeline 0.6 mm za cevi fi 16cm.</t>
  </si>
  <si>
    <t>B.5.11</t>
  </si>
  <si>
    <t xml:space="preserve">Naprava in montaža obrobe  iz pocinkane  pločevine debeline 0.6 mm in razvite širine 30 cm komplet z vsem pritrdilnim in veznim materialom ter z vsemi pomožnimi deli in prenosi. </t>
  </si>
  <si>
    <t>B.5.12</t>
  </si>
  <si>
    <t>Naprava in montaža okroglih kolen fi 16 cm iz pocinkane  pločevine debeline 0.6 mm, komplet z vsem pritrdilnim in veznim materialom.</t>
  </si>
  <si>
    <t>B.5.13</t>
  </si>
  <si>
    <t>Izdelava, dobava in montaža kovinske varnostne ograje z vratci iz nerjavečega materiala, višine do 1,1 m, komplet z vsem pritrdilnim materialom</t>
  </si>
  <si>
    <t>B.5.14</t>
  </si>
  <si>
    <t>Dobava oz. izdelava in vgradnja okvirja za predpražnik iz  jeklenih  profilov  ter dobava in vgraditev  predpražnika  velikosti 120x80cm.</t>
  </si>
  <si>
    <t>B.5.15</t>
  </si>
  <si>
    <t>Dobava in montaža pohodne rešetke na jašku 50/50 cm</t>
  </si>
  <si>
    <t>B.5.16</t>
  </si>
  <si>
    <t>Dobava oz. izdelava in vgradnja zračnika z ventilatorjem v zid objetkta s protimrčesno mrežico</t>
  </si>
  <si>
    <t>B.5.17</t>
  </si>
  <si>
    <t>Vgradnja drenaže ob objektu in iztoka v ponikalnico</t>
  </si>
  <si>
    <t>B.5.18</t>
  </si>
  <si>
    <t>Dobava in vgradnja betonske ponikalnice DN100 globine 2m vključno s pokrovom in z dovodno cevjo iz objekta. V ceni zajeta vsa zemeljska in gradbena dela.</t>
  </si>
  <si>
    <t>OBRTNIŠKA DELA SKUPAJ:</t>
  </si>
  <si>
    <t>Dobava in montaža črpalnih agregatov, črpalk, skupaj s spojnim, veznim in tesnilnim materialom:</t>
  </si>
  <si>
    <t>Dobava, montaža, zagon, preizkusno obratovanje potopne črpalke za iztok vode iz objekta
Potopna črpalka iz nerjavečega jekla za umazano vodo in drenažo objekta
vključno s celotnim montažno pritrdilnim materialom
tip: RXm3/20, proizvajalec: Pedrollo ali enakovredno
pretok vsaj 100l/min pri 5 m
višina črpanja vsaj 5 m
dolžina napajalnega kabla vsaj 5 m
prigrajeno plovno stikalo
prehodnost trdih delcev: vsaj 15 mm</t>
  </si>
  <si>
    <t>DOVOD V REZERVOAR PE fi125</t>
  </si>
  <si>
    <t>N-kos DN 125</t>
  </si>
  <si>
    <t>Q-kos DN 125</t>
  </si>
  <si>
    <t xml:space="preserve">FF  DN125/1000 INOKS+nav. slepa prirob. v steni jaška </t>
  </si>
  <si>
    <t xml:space="preserve">FF  DN125 INOKS+nav. prirob. </t>
  </si>
  <si>
    <t>ZASUN DN125 + kolo</t>
  </si>
  <si>
    <t>ZASUN DN80 + kolo</t>
  </si>
  <si>
    <t>T-kos DN125/125</t>
  </si>
  <si>
    <t>FFR-kos DN 125/80</t>
  </si>
  <si>
    <t>ZRAČNIK DN80 dvofunkcijski</t>
  </si>
  <si>
    <t>SESALNI CEVOVOD NL DN100</t>
  </si>
  <si>
    <t xml:space="preserve">FF  DN100 INOKS+nav. prirob. </t>
  </si>
  <si>
    <t>T-kos DN100/100</t>
  </si>
  <si>
    <t>FFR-kos DN100/80</t>
  </si>
  <si>
    <t>Reducirni-kos DN100/80</t>
  </si>
  <si>
    <t xml:space="preserve">
ZASUN DN100 + elektromotorni pogon + adapter za namestitev
Elektro pogon 3-fazni 3x400 VAC, s krmilno enoto Auma Aumatic 01.2. ali enakovredno .
</t>
  </si>
  <si>
    <t>Q-kos DN100</t>
  </si>
  <si>
    <t>gumi kompenzator DN80</t>
  </si>
  <si>
    <t>N-kos DN100</t>
  </si>
  <si>
    <t>sesalni koš DN100</t>
  </si>
  <si>
    <t>FF DN 100/1000 INOKS+nav. slepa. prirob. v steni</t>
  </si>
  <si>
    <t>TLAČNI CEVOVOD NL DN100/DN125</t>
  </si>
  <si>
    <t>FF  DN100 INOKS+nav. prirob.+nav. odcepom 1"</t>
  </si>
  <si>
    <t>T-kos DN125/100</t>
  </si>
  <si>
    <t>INDUKTIVNI MERILNIK PRETOKA DN100 
Elektro magnetni dvosmerni merilnik pretoka.
izhod tokovna zanka 4-20mA,  IP68
Montaža, priklop in preizkus ter zagon merilca pretoka. 
TIP: Promag 10W PN16 DN100 Proizvajalec Endress+Hauser ali enakovredeno</t>
  </si>
  <si>
    <t>Pretočna ratezna posoda V=150l komplet z vsem spojnim in regulacijskim materialom</t>
  </si>
  <si>
    <t>Prir. nepovratni ventil DN100</t>
  </si>
  <si>
    <t>N-kos DN125</t>
  </si>
  <si>
    <t>FF DN 125/1000 INOKS+nav. slepa. prirob. v steni</t>
  </si>
  <si>
    <t>POPIS ELEKTRO DEL - ČRP GERLINCI</t>
  </si>
  <si>
    <t>Opomba:</t>
  </si>
  <si>
    <t>Pri izvedbi mora izvajalec upoštevati veljavne tehnične standarde in  Smernice  za energetiko, lokalno avtomatiko in telemetrični sistem TRC, ki se uporabljajo na VODOVODU SISTEMA B.</t>
  </si>
  <si>
    <t>Vsa ponujena oprema mora biti kompatibilna z obstoječo opremo! Opremo potrdi upravljavec vodovoda.</t>
  </si>
  <si>
    <t>V ceni vsake posamezne postavke je zajeta nabava, prenosi in transporti, pripravljalna dela, zarisovanje, montaža, preizkusi, regulacija ter vsa drobna dela.</t>
  </si>
  <si>
    <t>Dela izvajati v skladu z veljavnimi tehničnimi predpisi, normativi in upoštevati predpise iz varnosti in zdravja pri delu.</t>
  </si>
  <si>
    <t>V postavkah je všteta izdelava prebojev za elektro instalacije, odvoz ruševin zaradi izdelave prebojev na trajno deponijo, skladno z zakonom in predpisi. Izvedba prebojev na način, da ne pride do poškodb konstrukcije objekta</t>
  </si>
  <si>
    <t>V cenah morajo biti vključena vsa nepredvidena dela</t>
  </si>
  <si>
    <t>Enota</t>
  </si>
  <si>
    <t>Količina</t>
  </si>
  <si>
    <t>Cena v EUR</t>
  </si>
  <si>
    <t>Vrednost brez DDV</t>
  </si>
  <si>
    <t>NN oprema</t>
  </si>
  <si>
    <t xml:space="preserve"> </t>
  </si>
  <si>
    <t xml:space="preserve">Stikalni blok izdelan iz pločevine dimenzije 1000 x 2000 x 400 mm  na 100 mm podstavku. Omara je z vrati, s ključavnico, z montažno ploščo in/ali nosilci opreme, s predalom za načrte, dno omare je zaprto.Stikalni blok je v zaščiti IP 55, barva RAL7032 za notranjo montažo.TIP: OLN, Proizvajalec: HIMEL (ali enakovredno)
</t>
  </si>
  <si>
    <t>kompl</t>
  </si>
  <si>
    <t>Tripolni odklopnik,  za nazivno napetost 690 V in tok 63 A, prekinitvene moči  25 kA, z  obešanko za zaklepanje v izklopljenem stanju, TIP: NS36N  + OF1, Proizvajalec: Schneider elecrtic  (ali enakovredno)</t>
  </si>
  <si>
    <t>Prenapetostna zaščita RAZREDA II. TIP VARTEC TII (3+1) Proizvajalec: Schrack  (ali enakovredno)</t>
  </si>
  <si>
    <t>Zračnik s finim filtrom pretoka zraka, TIP: FS,  Proizvajalec: Schneider elecrtic (ali enakovredno)</t>
  </si>
  <si>
    <t>Termostat za grelec  z 1NO kontaktom 2A, 230V, nastavljiv 0-60°C</t>
  </si>
  <si>
    <t>Grelec za omare 100W/130 °C, s priključno sponko</t>
  </si>
  <si>
    <t xml:space="preserve">Servisna svetilka 15W,,  stikalom za  vklop svetilke,  L+N+PE, 230V,16A vtičnico in originalnim kablom z vtičnico, TIP: PS4138, Proizvajalec: RITTAL (ali enakovredno)
</t>
  </si>
  <si>
    <t>komplet</t>
  </si>
  <si>
    <t xml:space="preserve">Agregatska trifazna vtičnica  za montažo na omarico 3P+N+PE, 380-415V, 32A, IP65, TIP: PK Unika, Proizvajalec: Schneider elecrtic (ali enakovredno)  </t>
  </si>
  <si>
    <t>9</t>
  </si>
  <si>
    <t xml:space="preserve">Omrežno preklopno stikalo omrežje - 0- zasilno  400V AC tok 63A 4 polno </t>
  </si>
  <si>
    <t>10</t>
  </si>
  <si>
    <t xml:space="preserve">RCD diferenčno zaščitno stikalo, občutljivosti 30mA, 3P+N, 400V, 63A, Proizvajalec: Schneider elecrtic (ali enakovredno)                                                                                 </t>
  </si>
  <si>
    <t>11</t>
  </si>
  <si>
    <t>Merilni inštrument - multimeter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</si>
  <si>
    <t>12</t>
  </si>
  <si>
    <t xml:space="preserve">Galvanski ločilnik DC/DC 4-20/4-20mA Proizvajalec: Weidmuelle  (ali enakovredno) </t>
  </si>
  <si>
    <t>13</t>
  </si>
  <si>
    <t xml:space="preserve">Avtomatska varovalka Icu=15 kA, 3-polna   32 A, karakteristika "C" </t>
  </si>
  <si>
    <t>14</t>
  </si>
  <si>
    <t xml:space="preserve">Avtomatska varovalka Icu=15 kA, 3-polna   16 A, karakteristika "C" , </t>
  </si>
  <si>
    <t>15</t>
  </si>
  <si>
    <t xml:space="preserve">Avtomatska varovalka Icu=15 kA, 3-polna   16 A, karakteristika "B" , </t>
  </si>
  <si>
    <t>16</t>
  </si>
  <si>
    <t xml:space="preserve">Avtomatska varovalka Icu=15 kA, 3-polna   10 A, karakteristika "C" , </t>
  </si>
  <si>
    <t>17</t>
  </si>
  <si>
    <t xml:space="preserve">Avtomatska varovalka Icu=15 kA, 3-polna     6 A, karakteristika "B" , </t>
  </si>
  <si>
    <t>18</t>
  </si>
  <si>
    <t xml:space="preserve">Avtomatska varovalka Icu=15 kA, 2-polna   10 A, karakteristika "B" , </t>
  </si>
  <si>
    <t>19</t>
  </si>
  <si>
    <t xml:space="preserve">Avtomatska varovalka Icu=15 kA, 2-polna     6 A, karakteristika "B" , </t>
  </si>
  <si>
    <t>20</t>
  </si>
  <si>
    <t xml:space="preserve">Avtomatska varovalka Icu=15 kA, 1-polna   16 A, karakteristika "C" , </t>
  </si>
  <si>
    <t>21</t>
  </si>
  <si>
    <t>Avtomatska varovalka Icu=15 kA, 1-polna   16 A, karakteristika "B"</t>
  </si>
  <si>
    <t>22</t>
  </si>
  <si>
    <t>Avtomatska varovalka Icu=15 kA, 1-polna     6 A, karakteristika "B"</t>
  </si>
  <si>
    <t>23</t>
  </si>
  <si>
    <t xml:space="preserve">Pomožni rele s 4 preklopnimi NOC kontakti, optično indikacijo vklopa, s tuljavo za 24 VDC in RC členom , TIP: RXN , Proizvajalec: Schneider elecrtic (ali enakovredno)
</t>
  </si>
  <si>
    <t>24</t>
  </si>
  <si>
    <t xml:space="preserve">Tripolno izbirno stikalo 1_0_2, 10 A, 230 V , TIP: K10-F003UCH, Proizvajalec: Schneider elecrtic   (ali enakovredno)
</t>
  </si>
  <si>
    <t>25</t>
  </si>
  <si>
    <t xml:space="preserve">Enopolno izbirno stikalo 1_0, 10 A, 230 V, TIP: K10-A001ACH,  Proizvajalec: Schneider elecrtic (ali enakovredno)
</t>
  </si>
  <si>
    <t>26</t>
  </si>
  <si>
    <t>Tipka črna, vmesnik-pritrdilnik, element zapiralni, serija RMQ Titan , premer 22,5 mm (Proizvajalec Schrack ali enakovredno.</t>
  </si>
  <si>
    <t>27</t>
  </si>
  <si>
    <t>Tipka rdeča, vmesnik-pritrdilnik, element zapiralni, serija RMQ Titan , premer 22,5 mm (Proizvajalec Schrack ali enakovredno.</t>
  </si>
  <si>
    <t>28</t>
  </si>
  <si>
    <t>Napajalnik 230VAC/24VDC, 5A TIP: DR-75-24 Proizvajalca: Mean Well (ali enakovredno)</t>
  </si>
  <si>
    <t>29</t>
  </si>
  <si>
    <t>ON-line naprava za neprekinjeno napajanje z električno energijo
tip: 1000, proizvajalec: Samurai ali enakovredno
1000 VA, 230 V AC, 50 Hz, 60 min avtonomije</t>
  </si>
  <si>
    <t>30</t>
  </si>
  <si>
    <t>Fazni nadzorni rele za kontrolo nadziranja izpada faz Tip:LT3 SA00ED Proizvajalec: Schneider elecrtic (ali enakovredno)</t>
  </si>
  <si>
    <t>31</t>
  </si>
  <si>
    <t xml:space="preserve">Tripolni motorski odklopnik,  za nazivno napetost 690 V in tok 4 A, prekinitvene moči  50 kA, z zaščitno napravo za zaščito pred kratkim stikom in preobremenitvijo, I&gt;... 6-10A , I&gt;&gt;...13*Ir  s pomožnimi kontakti signalizacije preobremenitve in kratkega stika  ter položaja odklopnika, TIP:GV2-P14 + GV-AD0110, Proizvajalec: Schneider elecrtic (ali enakovredno)
</t>
  </si>
  <si>
    <t>32</t>
  </si>
  <si>
    <t xml:space="preserve">Tripolni motorski odklopnik,  za nazivno napetost 690 V in tok 2 A, prekinitvene moči  50 kA, z zaščitno napravo za zaščito pred kratkim stikom in preobremenitvijo, I&gt;... 6-10A , I&gt;&gt;...13*Ir  s pomožnimi kontakti signalizacije preobremenitve in kratkega stika  ter položaja odklopnika, TIP:GV2-P14 + GV-AD0110, Proizvajalec: Schneider elecrtic (ali enakovredno)
</t>
  </si>
  <si>
    <t>33</t>
  </si>
  <si>
    <t xml:space="preserve">Frekvenčni regulator 3x400V AC, 6 kW, IP20,z grafičnim panelomo, vgrajenim RFI filtrom razred A1/B, Modbus RTU.  TIP: VLT Proizvajalec: Danfoss (ali enakovredno)                                                      </t>
  </si>
  <si>
    <t>34</t>
  </si>
  <si>
    <t>Tripolni kontaktor 9 A (AC3) , tuljava za 24V DC z RC členom, pomožnimi kontakti 3NO+1NC, TIP: LC1-D0911P7 + LADN20,  Proizvajalec: Schneider elecrtic (ali enakovredno)</t>
  </si>
  <si>
    <t>35</t>
  </si>
  <si>
    <t>Vrstne sponke  za montažo na DIN letev 35 mm, za priključek enožilnega vodnika do 0,5-6 mm2, siva,  TIP:                ,  Proizvajalec: WAGO (ali enakovredno)</t>
  </si>
  <si>
    <t>36</t>
  </si>
  <si>
    <t>Ostala nespecificirana spojna in montažna oprema (nosilci, PVC kanali, PVC zaščita zbiralk, PF vodniki ustreznih premerov in barv za notranje ožičenje, izolirani tulci in ostali spojni in pritrdilni material)</t>
  </si>
  <si>
    <t>37</t>
  </si>
  <si>
    <t>Nadometni javljalnik gibanja 360°
TIP: Infra Garde 360, proizvajalec: Zublin ali enakovredeno
javljalnik se veže na krmilnik za potrebe proženja alarma v primeru gibanja
napajanje: 230 V
relejski izhod
notranja uporaba
zaščita vsaj IP44
kot pokritosti: 360°</t>
  </si>
  <si>
    <t>LED reflektor
tip: LIVTS413, proizvajalec: Schrack ali enakovredno
moč: 100 W
vrsta zaščite: IP65
material: aluminijasta litina
delovna napetost: 220-240 V
svetlobni tok: 8000 lm</t>
  </si>
  <si>
    <t>Prikazovalnik sumarnih pretokov ( števec).</t>
  </si>
  <si>
    <t>1.2</t>
  </si>
  <si>
    <t xml:space="preserve"> Krmilna in komunikacijska oprema</t>
  </si>
  <si>
    <r>
      <t xml:space="preserve">Razširitveni digitalni vhodni modul
</t>
    </r>
    <r>
      <rPr>
        <sz val="9"/>
        <rFont val="Calibri Light"/>
        <family val="2"/>
        <scheme val="major"/>
      </rPr>
      <t>Tip: TM3DI16, Proizvajalec: Schneider ali enakovredno z naslednjimi lastnostmi:</t>
    </r>
    <r>
      <rPr>
        <b/>
        <sz val="9"/>
        <rFont val="Calibri Light"/>
        <family val="2"/>
        <scheme val="major"/>
      </rPr>
      <t xml:space="preserve">
</t>
    </r>
    <r>
      <rPr>
        <sz val="9"/>
        <rFont val="Calibri Light"/>
        <family val="2"/>
        <scheme val="major"/>
      </rPr>
      <t>število vhodov 16, 24 V DC</t>
    </r>
    <r>
      <rPr>
        <b/>
        <sz val="9"/>
        <rFont val="Calibri Light"/>
        <family val="2"/>
        <scheme val="major"/>
      </rPr>
      <t xml:space="preserve"> </t>
    </r>
    <r>
      <rPr>
        <sz val="9"/>
        <rFont val="Calibri Light"/>
        <family val="2"/>
        <charset val="238"/>
        <scheme val="major"/>
      </rPr>
      <t>sink/source</t>
    </r>
  </si>
  <si>
    <t>Razširitveni relejski izhodni modul
Tip: TM3DQ16, Proizvajalec: Schneider ali enakovredno z naslednjimi lastnostmi:
število izhodov 16, 2A</t>
  </si>
  <si>
    <r>
      <t xml:space="preserve">Razširitveni analogni vhodni modul
</t>
    </r>
    <r>
      <rPr>
        <sz val="9"/>
        <rFont val="Calibri Light"/>
        <family val="2"/>
        <scheme val="major"/>
      </rPr>
      <t>Tip: TM3AI8, Proizvajalec: Schneider ali enakovredno z naslednjimi lastnostmi:
število vhodov vsaj 8, 4 - 20 mA, 
8 AI, -10...10 V / 0…10 V / 0...20 mA / 4...20 mA, 12 bit</t>
    </r>
  </si>
  <si>
    <r>
      <rPr>
        <b/>
        <sz val="9"/>
        <color rgb="FF000000"/>
        <rFont val="Calibri Light"/>
        <family val="2"/>
        <charset val="238"/>
        <scheme val="major"/>
      </rPr>
      <t>Dobava, namestitev, razširitev in izdelava kompletne potrebne programske in strojne opreme, z optimizacijo:</t>
    </r>
    <r>
      <rPr>
        <sz val="9"/>
        <color indexed="8"/>
        <rFont val="Calibri Light"/>
        <family val="2"/>
        <scheme val="major"/>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t>
    </r>
    <r>
      <rPr>
        <sz val="9"/>
        <color indexed="8"/>
        <rFont val="Calibri Light"/>
        <family val="2"/>
        <charset val="238"/>
        <scheme val="major"/>
      </rPr>
      <t xml:space="preserv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</si>
  <si>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t>Komunikacijska oprema</t>
  </si>
  <si>
    <r>
      <t xml:space="preserve">Industrijski 4G/LTE mobilni usmerjevalnik z Wifi dostopno točko
</t>
    </r>
    <r>
      <rPr>
        <sz val="9"/>
        <rFont val="Calibri Light"/>
        <family val="2"/>
        <scheme val="major"/>
      </rPr>
      <t>tip: RUT955, Proizvajalec: Teltonika ali enakovredno</t>
    </r>
    <r>
      <rPr>
        <b/>
        <sz val="9"/>
        <rFont val="Calibri Light"/>
        <family val="2"/>
        <scheme val="major"/>
      </rPr>
      <t xml:space="preserve">
</t>
    </r>
    <r>
      <rPr>
        <sz val="9"/>
        <rFont val="Calibri Light"/>
        <family val="2"/>
        <charset val="238"/>
        <scheme val="major"/>
      </rPr>
      <t>3</t>
    </r>
    <r>
      <rPr>
        <sz val="9"/>
        <rFont val="Calibri Light"/>
        <family val="2"/>
        <scheme val="major"/>
      </rPr>
      <t xml:space="preserve">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</si>
  <si>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t>IP video nadzorna kamera
tip: IPC-HDBW2431R-ZS, proizvajalec: Dahua ali enakovredno
standard: TCP/IP
podpora za kartice Micro SD vsaj 128 GB (možnost lokalnega zapisa)
način stiskanja slike: H.265 / H.264 / MJPEG
omrežni vmesnik: 10/100 Base-T (RJ-45)
omrežni protokoli: HTTP, HTTP, ARP, RTSP, RTP, UDP, RTCP, SMTP, FTP, DHCP, DNS, DDNS, PPPoE, IPv4 / IPv6, SNMP, QoS, UPnP, NTP
vgrajen WEB strežnik, spletni pregledovalnik
ohišje: Dome
vrsta zaščite: IP67
dostop z Android aplikacijo ali preko računalnika
programska oprema mora podpirati vsaj 100 kamer
ločljivost: vsaj 4Mp (2688x1520)
motorizirana leča: 100 ° ~ 27 °
IR LED domet vsaj 20 m
napajalnik: MLF 1 A s podaljškom, plastično ohišje zaščite IP20, 12 V, 12 W, ECO test
stenski nosilec za kamero, tip: PFB203W, proizvajalec: Dahua ali enakovredno
spominska kartica Ultra MicroSDXC vsaj 128 GB, 100 MB/s, UHS-I A1, proizvajalec SanDisk ali enakovredno</t>
  </si>
  <si>
    <r>
      <t xml:space="preserve">Zunanja antena 4G / 3G / GPRS / GSM / LTE / WCDMA / HSPA+
</t>
    </r>
    <r>
      <rPr>
        <sz val="9"/>
        <rFont val="Calibri Light"/>
        <family val="2"/>
        <charset val="238"/>
        <scheme val="major"/>
      </rPr>
      <t>tip: UNICOM P-30, prozvajalec: Iskra ali enakovredno</t>
    </r>
    <r>
      <rPr>
        <b/>
        <sz val="9"/>
        <rFont val="Calibri Light"/>
        <family val="2"/>
        <scheme val="major"/>
      </rPr>
      <t xml:space="preserve"> 
</t>
    </r>
    <r>
      <rPr>
        <sz val="9"/>
        <rFont val="Calibri Light"/>
        <family val="2"/>
        <scheme val="major"/>
      </rPr>
      <t>z ustreznim SMA priključkom na usmerjevalnik in zadostno dolžino kabla
zaščita IP67</t>
    </r>
  </si>
  <si>
    <t>Ostali drobni in nespecificirani material</t>
  </si>
  <si>
    <t>1.3</t>
  </si>
  <si>
    <t>Merina oprema</t>
  </si>
  <si>
    <r>
      <rPr>
        <b/>
        <sz val="9"/>
        <rFont val="Calibri Light"/>
        <family val="2"/>
        <charset val="238"/>
        <scheme val="major"/>
      </rPr>
      <t xml:space="preserve">Merilnik temperature zraka v prostoru
</t>
    </r>
    <r>
      <rPr>
        <sz val="9"/>
        <rFont val="Calibri Light"/>
        <family val="2"/>
        <charset val="238"/>
        <scheme val="major"/>
      </rPr>
      <t>komunikacijski priključek RS485 MODBUS RTU, merilno območje -30 do 40°C, vključno s celotnim montažno pritrdilnim materialom.
Tip:  TTP 311, proizvajalec: Eltratec ali enakovredno</t>
    </r>
  </si>
  <si>
    <r>
      <rPr>
        <b/>
        <sz val="9"/>
        <rFont val="Calibri Light"/>
        <family val="2"/>
        <scheme val="major"/>
      </rPr>
      <t xml:space="preserve">Merilnik tlaka v cevovodu
</t>
    </r>
    <r>
      <rPr>
        <sz val="9"/>
        <rFont val="Calibri Light"/>
        <family val="2"/>
        <scheme val="major"/>
      </rPr>
      <t>medij: voda, komunikacijski priključek RS485 ModBUS RTU, merilno območje 0-16 bar, zaščita IP68, cevni priključek R1/2, vključno s celotnim montažno pritrdilnim materialom.  
 Tip: PPI 140, proizvajlec: Eltratec ali enakovredno.</t>
    </r>
  </si>
  <si>
    <t>Mehansko tlačno stikalo 1-5bar TIP:PM/PT/PS Proizvajlec: Italtecnica ali enakovredno.</t>
  </si>
  <si>
    <t>Mehansko tlačno stikalo 3-16bar TIP:PM/PT/PS Proizvajlec: Italtecnica ali enakovredno.</t>
  </si>
  <si>
    <t xml:space="preserve">Plovno stikalo, ki  mora delovati v območju 5 - 15 cm. Dobavi se skupaj z originalnim kablom v dolžnimi 10 m. </t>
  </si>
  <si>
    <t>Kapacitivni merilnik nivoja MO 500mm  2 x preklopni kontakt Tip: KFI1-2-585-500 Proizvajalca Rechner Sensors ( ali enakovredno)</t>
  </si>
  <si>
    <t>1.4</t>
  </si>
  <si>
    <t xml:space="preserve"> Instalacijski kabli</t>
  </si>
  <si>
    <t>ÖLFLEX CLASSIC CY 110  5x6 mm2</t>
  </si>
  <si>
    <t>m</t>
  </si>
  <si>
    <t>ÖLFLEX CLASSIC CY 110 12x0,75 mm2</t>
  </si>
  <si>
    <t>ÖLFLEX CLASSIC CY 110 3x0,75 mm2</t>
  </si>
  <si>
    <t>ÖLFLEX CLASSIC CY 110 3x1,5 mm2</t>
  </si>
  <si>
    <t>Unitronic LIYCY (TP) 2x2x1mm</t>
  </si>
  <si>
    <t>CANopen 2x2x1 (VW3CANCARRI)</t>
  </si>
  <si>
    <t>Eth kategorije 6 dolžine 2m</t>
  </si>
  <si>
    <t>Kabel NYY 3x1,5mm2</t>
  </si>
  <si>
    <t>Kabel NYY 3x2,5mm2</t>
  </si>
  <si>
    <t>1.5</t>
  </si>
  <si>
    <t>Ozemljitev</t>
  </si>
  <si>
    <t>Finožični zaščitni vodnik H07V-K 6mm2</t>
  </si>
  <si>
    <t>Ozemljitvena bakrena zbiralka +GIP 25×5×500mm (vxgxd) za montažo na steno z nosilci in opremljena s pritrdilno opremo za kable (vijak, matica M8)</t>
  </si>
  <si>
    <t>Vezava tehnološke in ostale kovinske opreme  na ozemljitvene izvode skupaj z veznim materialom (vijačenje, varjenje)</t>
  </si>
  <si>
    <t>Valjanec FeZn 25x4 mm, položen v temelj objekta  in v zemljo</t>
  </si>
  <si>
    <t>Al vodnik fi 8  (35m) položen na strešno kritino</t>
  </si>
  <si>
    <t>Križna spojka</t>
  </si>
  <si>
    <t>Razni spoji na odtočnih ceveh in vgrajeni kovinski opremi</t>
  </si>
  <si>
    <t>Merilni spoji z mehansko zaščito</t>
  </si>
  <si>
    <t>Drobni material</t>
  </si>
  <si>
    <t>1.6</t>
  </si>
  <si>
    <t xml:space="preserve">Instalacijska oprema </t>
  </si>
  <si>
    <t>Perforirana kabelska polica iz nerjavečega jekla 100×50mm s pokrovom, stensko ali stropno konzolo in pritrdilnim materialom</t>
  </si>
  <si>
    <t>Gibljive zaščitna cev EUROFLEX  raznih dimenzij</t>
  </si>
  <si>
    <t>PN cevi s pritrdilnim materialom ustreznih presekov</t>
  </si>
  <si>
    <t>Električni radiator 1500 W s termostatom</t>
  </si>
  <si>
    <t xml:space="preserve">Mehansko stikalo  6A, 230V z 1NO kontaktom za signalizacijo vstop v objekt, TIP: PS4127, Proizvajalec: RITTAL (ali enakovredno)
</t>
  </si>
  <si>
    <t>Vtičnica 400V, 16A- montaža na omaro</t>
  </si>
  <si>
    <t>Vtičnica 230V, 16A - montaža na omaro</t>
  </si>
  <si>
    <t>Zaščitena industrijska LED svetilka 230V AC, 36W, 1200MM, IP65</t>
  </si>
  <si>
    <t>LED reflektor s IR senzorjem 30W IP 65</t>
  </si>
  <si>
    <t>Navadno enopolno nadometno stikalo</t>
  </si>
  <si>
    <t>Nadometna vtičnica 230V, 16A</t>
  </si>
  <si>
    <t>Svetilka zasilne razsvetljave 8W, avtonomija 1 uro z ustreznim piktogramom.</t>
  </si>
  <si>
    <t>1.7</t>
  </si>
  <si>
    <t>Ostalo</t>
  </si>
  <si>
    <t>Priklop tehnoloških elementov</t>
  </si>
  <si>
    <t>Priklop hidroforske postaje</t>
  </si>
  <si>
    <r>
      <rPr>
        <b/>
        <sz val="9"/>
        <rFont val="Calibri Light"/>
        <family val="2"/>
        <charset val="238"/>
        <scheme val="major"/>
      </rPr>
      <t>Testiranje in dokumentiranje programske in strojne opreme in delovanja:</t>
    </r>
    <r>
      <rPr>
        <sz val="9"/>
        <rFont val="Calibri Light"/>
        <family val="2"/>
        <charset val="238"/>
        <scheme val="major"/>
      </rPr>
      <t xml:space="preserve">
na nivoju objekta za redno in izredno delovanje
na nivoju objekt-objekt (odvisna objekta) za redno in izredno delovanje
na nivoju CNS za redno in izredno delovanje</t>
    </r>
  </si>
  <si>
    <r>
      <rPr>
        <b/>
        <sz val="9"/>
        <rFont val="Calibri Light"/>
        <family val="2"/>
        <charset val="238"/>
        <scheme val="major"/>
      </rPr>
      <t>Predaja vseh izvornih kod, licenc, konfiguracijskih datotek in administrativnih gesel</t>
    </r>
    <r>
      <rPr>
        <sz val="9"/>
        <rFont val="Calibri Light"/>
        <family val="2"/>
        <charset val="238"/>
        <scheme val="major"/>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</si>
  <si>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Calibri Light"/>
        <family val="2"/>
        <charset val="238"/>
        <scheme val="major"/>
      </rPr>
      <t>Izdelava tehnične dokumentacije v slovenskem jeziku</t>
    </r>
    <r>
      <rPr>
        <sz val="9"/>
        <rFont val="Calibri Light"/>
        <family val="2"/>
        <charset val="238"/>
        <scheme val="major"/>
      </rPr>
      <t xml:space="preserve">
v kompletu (PID) projekt izvedenega stanja.
Garancijske izjave.
Izdaja navodil o uporabi, obratovanju in vzdrževanju.</t>
    </r>
  </si>
  <si>
    <r>
      <rPr>
        <b/>
        <sz val="9"/>
        <rFont val="Calibri Light"/>
        <family val="2"/>
        <charset val="238"/>
        <scheme val="major"/>
      </rPr>
      <t>Izvedba instalacijskih meritev</t>
    </r>
    <r>
      <rPr>
        <sz val="9"/>
        <rFont val="Calibri Light"/>
        <family val="2"/>
        <charset val="238"/>
        <scheme val="major"/>
      </rPr>
      <t xml:space="preserve">
električne instalacije ter izdaja merilnih protokolov o uspešno opravljenih meritvah.</t>
    </r>
  </si>
  <si>
    <r>
      <rPr>
        <b/>
        <sz val="9"/>
        <rFont val="Calibri Light"/>
        <family val="2"/>
        <charset val="238"/>
        <scheme val="major"/>
      </rPr>
      <t>Zagon, testiranje in optimizacija objekta</t>
    </r>
    <r>
      <rPr>
        <sz val="9"/>
        <rFont val="Calibri Light"/>
        <family val="2"/>
        <charset val="238"/>
        <scheme val="major"/>
      </rPr>
      <t xml:space="preserve">
Spuščanje v pogon, test delovanja in nastavitve parametrov (v PLC-ju, zaščitnih napravah, merilnikih …)</t>
    </r>
  </si>
  <si>
    <r>
      <rPr>
        <b/>
        <sz val="9"/>
        <rFont val="Calibri Light"/>
        <family val="2"/>
        <charset val="238"/>
        <scheme val="major"/>
      </rPr>
      <t xml:space="preserve">Izobraževanje uporabnika 
</t>
    </r>
    <r>
      <rPr>
        <sz val="9"/>
        <rFont val="Calibri Light"/>
        <family val="2"/>
        <charset val="238"/>
        <scheme val="major"/>
      </rPr>
      <t>v slovenskem jeziku na sedežu podjetja upravljavca sistema B.
Nastavitve, upravljanje sistema</t>
    </r>
  </si>
  <si>
    <t>1.8</t>
  </si>
  <si>
    <t xml:space="preserve"> PS-PRMO</t>
  </si>
  <si>
    <t>Merilna omara po zahtevah el. en. soglasja Omara, poliester, 590x1065x322mm s podstavkom. (Direktni trifazni števec energije z dajalnikom impulza tip ZMF120ABTFS2 ali  MT381-D1A52 z odklopnikom ZO350-D1 ali ZMXI320CPU1L1D3 ,- komunikator AD_FP91D140   , varovalčni ločilnik NV250 3x 35A , prenapetostna zaščita (B), priključne sponke , GIP letev, ključavnica, tipka za za ponovni vklop merilne naprave, drobni in vezni material) 
(Pred izvedbo,  opremo uskladiti z distributerjem - Elektro Maribor)</t>
  </si>
  <si>
    <t>Dobava in montaža kabel NAY2Y-J 4x70mm2+ 1,5 mm2</t>
  </si>
  <si>
    <t>Transportni stroški, zavarovanje gradbišča, nadzor distributerja nad izgradnjo kabelske trase ter ostali nepredvideni stroški.</t>
  </si>
  <si>
    <t>Dobava in vgradnja rebrastih cevi STIGMAFLEX za izdelavo kabelske kanalizacije, 1x ɸ110 mm,  na globini 0.8m (vrh zgornjega roba cevi), izkop v zemljišču I. do III. ktg., dobava peska (granul. 3-7 mm) in zaščita cevi s peskom v sloju 10 cm nad cevmi, zasip kanala z utrditvijo v slojih po 20-25 cm, , dobava in položitev opozorilnega  traku, nakladanje in odvoz odvečnega materiala ter stroški začasne in končne deponije, čiščenje trase</t>
  </si>
  <si>
    <t>Izvedba priklopa NN kabla na NN stikalnem polju v TP priključek na NN zbiralke s strani elektrodistributerja, stikalne manipulacije.</t>
  </si>
  <si>
    <t>Napetostni preizkus položenega kabla , nadzor s strani predstavnika Elektro Maribor.</t>
  </si>
  <si>
    <t>Valjanec FeZn 25x4 mm</t>
  </si>
  <si>
    <t>Snemanje in izris kabelske trase v kataster.</t>
  </si>
  <si>
    <t>PID dokumentacija, električne meritve</t>
  </si>
  <si>
    <t>Drobni in vezni material, križne spojke, sodelovanje pri priklopu</t>
  </si>
  <si>
    <t>ELEKTRO DELA  SKUPAJ:</t>
  </si>
  <si>
    <t>CANKOVA</t>
  </si>
  <si>
    <t>Reducirno-krmilni jašek Cankova RT-6</t>
  </si>
  <si>
    <t>Zakoličba jaška in trase vodovoda s strani pooblaščenega geodeta in izdelava zapisnika o zakoličbi.</t>
  </si>
  <si>
    <t>Prevezave obstoječih hišnih vodovodnih priključkov. Izvedba vseh potrebnih gradbenih in instalacijskih del pri hišnih priključkih komplet z vsemi materiali in pomožnimi deli (iskanje obstoječe cevi - izkopi / zasipi, prevezave obstoječega vodovoda na novega, selitev obst. vodomerov v nove vodomerne jaške, na starem odjemnem mestu se vgradi cev,...). Spoje med  novimi in obstoječimi vodi na priključkih, ter selitve vodomerov v vodomerne jaške izvede upravljavec vodovoda in morajo biti vključenI v ceno postavke.</t>
  </si>
  <si>
    <t>10.1</t>
  </si>
  <si>
    <r>
      <t xml:space="preserve">Izdelava obrabne in zaporne ter nosilne plasti bituminizirane zmesi AC 16 surf B 50/70 A4, v debelini 6 cm - enoslojni asfalt, vključno s čiščenjem in premazom stikov z bitumensko emulzijo - </t>
    </r>
    <r>
      <rPr>
        <u/>
        <sz val="9"/>
        <rFont val="Arial"/>
        <family val="2"/>
        <charset val="238"/>
      </rPr>
      <t>vozišče JP in nekategorizirane ceste.</t>
    </r>
  </si>
  <si>
    <t>15.2</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</si>
  <si>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 in LC.</t>
    </r>
  </si>
  <si>
    <r>
      <t xml:space="preserve">Izdelava obrabne in zaporne plasti bituminizirane zmesi AC 8 surf B 50/70 A5 v debelini 4 cm, vključno s čiščenjem in premazom stikov z bitumensko emulzijo - </t>
    </r>
    <r>
      <rPr>
        <u/>
        <sz val="9"/>
        <rFont val="Arial"/>
        <family val="2"/>
        <charset val="238"/>
      </rPr>
      <t>hodniki in kolesarske steze.</t>
    </r>
  </si>
  <si>
    <t>15.8</t>
  </si>
  <si>
    <r>
      <t xml:space="preserve">Izdelava obrabne in zaporne plasti bituminizirane zmesi v dveh slojih po AC 8 surf B 50/70 A5 v debelini 4 cm, vključno s čiščenjem in premazom stikov z bitumensko emulzijoter pobrizg očiščenega asfalta z bitumensko emulzijo 0,5 kg/m2 - </t>
    </r>
    <r>
      <rPr>
        <u/>
        <sz val="9"/>
        <rFont val="Arial"/>
        <family val="2"/>
        <charset val="238"/>
      </rPr>
      <t>hodniki in kolesarske steze - na priključkih in uvozih.</t>
    </r>
  </si>
  <si>
    <t>zaščitna cev DN 300 za NL DN150</t>
  </si>
  <si>
    <r>
      <t xml:space="preserve">zaščitna cev Ø100 za PE </t>
    </r>
    <r>
      <rPr>
        <sz val="9"/>
        <rFont val="Calibri"/>
        <family val="2"/>
        <charset val="238"/>
      </rPr>
      <t>Ø</t>
    </r>
    <r>
      <rPr>
        <sz val="9"/>
        <rFont val="Arial"/>
        <family val="2"/>
        <charset val="238"/>
      </rPr>
      <t>32 - Ø63</t>
    </r>
  </si>
  <si>
    <r>
      <t xml:space="preserve">zaščitna cev </t>
    </r>
    <r>
      <rPr>
        <sz val="9"/>
        <rFont val="Calibri"/>
        <family val="2"/>
        <charset val="238"/>
      </rPr>
      <t>Ø</t>
    </r>
    <r>
      <rPr>
        <sz val="9"/>
        <rFont val="Arial"/>
        <family val="2"/>
        <charset val="238"/>
      </rPr>
      <t>160 za PE Ø90 - Ø125</t>
    </r>
  </si>
  <si>
    <r>
      <t xml:space="preserve">zaščitna cev Ø110 za PE </t>
    </r>
    <r>
      <rPr>
        <sz val="9"/>
        <rFont val="Calibri"/>
        <family val="2"/>
        <charset val="238"/>
      </rPr>
      <t>Ø</t>
    </r>
    <r>
      <rPr>
        <sz val="9"/>
        <rFont val="Arial"/>
        <family val="2"/>
        <charset val="238"/>
      </rPr>
      <t xml:space="preserve">63 </t>
    </r>
  </si>
  <si>
    <t>zaščitna cev Ø63 za PE Ø32</t>
  </si>
  <si>
    <t>25.1</t>
  </si>
  <si>
    <t>Rušenje in ponovna naprava grednih robnikov, komplet z vsemi potrebnimi deli</t>
  </si>
  <si>
    <t>JAŠEK ZA ZRAČNIK 2,0x2,0x1,8m                         Naprava tipskega AB jaška not. dimenzij 2,0x2,0x1,8m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</si>
  <si>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r>
      <rPr>
        <b/>
        <sz val="9"/>
        <rFont val="Arial"/>
        <family val="2"/>
        <charset val="238"/>
      </rPr>
      <t xml:space="preserve">JAŠEK ZA REDUCIRNI VENTIL IN MERILEC PRETOKA 4,0x2,5x1,8m   </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</si>
  <si>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NL DN 300 C40 / 6m, sidrni razstavljivi spoj</t>
  </si>
  <si>
    <t>NL DN 150 C64 sidrni razstavljivi spoj</t>
  </si>
  <si>
    <r>
      <t xml:space="preserve">PE 100 PN 16 </t>
    </r>
    <r>
      <rPr>
        <sz val="9"/>
        <rFont val="Arial"/>
        <family val="2"/>
        <charset val="238"/>
      </rPr>
      <t>Ø</t>
    </r>
    <r>
      <rPr>
        <sz val="9"/>
        <color indexed="8"/>
        <rFont val="Arial"/>
        <family val="2"/>
        <charset val="238"/>
      </rPr>
      <t>110 RC PROTECT SDR11 PN16</t>
    </r>
  </si>
  <si>
    <t>MERILNIK PRETOKA na NL DN300 (v jašku)</t>
  </si>
  <si>
    <t>MMK 45° DN300 bajonetni</t>
  </si>
  <si>
    <t xml:space="preserve">FF  DN300/800 INOKS+nav. slepa prirob. v steni jaška </t>
  </si>
  <si>
    <t>T kos DN300/200</t>
  </si>
  <si>
    <t>T kos DN300/150</t>
  </si>
  <si>
    <t>T kos DN300/100</t>
  </si>
  <si>
    <t>MDK DN300</t>
  </si>
  <si>
    <t>ZRAČNIK DN200 dvofunkcijski</t>
  </si>
  <si>
    <t>ZASUN DN300 + elektromotorni pogon + adapter za namestitev
Elektro pogon 3-fazni 3x400 VAC, s krmilno enoto Auma Aumatic 01.2. ali enakovredno .</t>
  </si>
  <si>
    <t>INDUKTIVNI MERILNIK PRETOKA DN300 
Elektro magnetni dvosmerni merilnik pretoka.
izhod tokovna zanka 4-20mA,  IP68
Montaža, priklop in preizkus ter zagon merilca pretoka. 
TIP: Promag 10W PN16 DN300 Proizvajalec Endress+Hauser ali enakovredeno</t>
  </si>
  <si>
    <t>ZASUN DN 300 + kolo</t>
  </si>
  <si>
    <t>ZASUN DN 200 + kolo</t>
  </si>
  <si>
    <t>ZASUN DN 150 + kolo</t>
  </si>
  <si>
    <t>ZASUN DN 100 + kolo</t>
  </si>
  <si>
    <t>spojka univerzalna DN 300  (1/1)</t>
  </si>
  <si>
    <t>spojka univerzalna DN 150  (1/1)</t>
  </si>
  <si>
    <t>spojka univerzalna DN 110  (1/1)</t>
  </si>
  <si>
    <t>F kos DN 300, Baio</t>
  </si>
  <si>
    <t>spojka SIT DN 300, Baio</t>
  </si>
  <si>
    <t>S kos DN 300, Baio</t>
  </si>
  <si>
    <t>FF kos DN 300/400 z odcepom1"</t>
  </si>
  <si>
    <t>kroglični ventil 1"</t>
  </si>
  <si>
    <r>
      <t>Q kos DN 150/90</t>
    </r>
    <r>
      <rPr>
        <sz val="9"/>
        <color indexed="8"/>
        <rFont val="Calibri"/>
        <family val="2"/>
        <charset val="238"/>
      </rPr>
      <t>˚</t>
    </r>
  </si>
  <si>
    <r>
      <t>Q kos DN 100/90</t>
    </r>
    <r>
      <rPr>
        <sz val="9"/>
        <color indexed="8"/>
        <rFont val="Calibri"/>
        <family val="2"/>
        <charset val="238"/>
      </rPr>
      <t>˚</t>
    </r>
  </si>
  <si>
    <t>Zidna omara z montažno ploščo, montažnim in pritrdilnim materialom
Tip: WST6060300, proizvajalec: Schrack ali enakovredno
VxŠxG [mm]: 600x600x300
zaščita IP66
zidni nosilci
DIN letve za montažo elementov
kanali in prekritja</t>
  </si>
  <si>
    <t xml:space="preserve">Omrežno preklopno stikalo 
(omrežje - 0- zasilno)  400V AC tok 63A 4 polno </t>
  </si>
  <si>
    <t>Montaža nove krmilno komunikacijske opreme 
z vso pripadajočo opremo za priklop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</si>
  <si>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Grelec za omaro 
Tip: IUK08341, proizvajalec: Schrack ali enakovredno
napetost: 230 V AC, 50/60 Hz
30W/90°C
zaščita IP44</t>
  </si>
  <si>
    <t>Termostat za grelec 
Tip: IUK08565, proizvajalec: Schrack ali enakovredno
0 - 60°C
napetost: 230 V AC, 50/60 Hz
zaščita IP20</t>
  </si>
  <si>
    <t>Šuko enofazna vtičnica 
Tip: BZ325000-A, proizvajalec: Schrack ali enakovredno
230 V, 16 A
montaža na DIN letev
zaščita IP40</t>
  </si>
  <si>
    <t>Fazni nadzorni rele za kontrolo nadziranja izpada faz
Tip: URAP3011, proizvajalec: Schrack ali enakovredno
230 V AC, 1 preklopni kontakt, 5 A
montaža na DIN letev
zaščita IP40</t>
  </si>
  <si>
    <t>Napetostni nadzorni rele, 3-fazni proti N
Tip: UR5U3011, proizvajalec: Schrack ali enakovredno
montaža na DIN letev
zaščita IP40</t>
  </si>
  <si>
    <t>Prenapetostna zaščita razreda II, z ustreznim podnožjem
Tip: Vartec TII, proizvajalec: Schrack ali enakovredno
Podnožje: za 3 faze + N
Moduli: Uc = 255 Vac, Imax = 40 kA, In = 20 kA, Up=1500 V
montaža na DIN letev</t>
  </si>
  <si>
    <t>Mehansko stikalo za položaj vhodnih vrat ali pokrova
Tip: ASDSW010, proizvajalec: Schrack ali enakovredno
6 A, 230 V
zaščita IP65</t>
  </si>
  <si>
    <t>Vrstne sponke za montažo na DIN letev 35 mm
tip: IK110006, proizvajalec: Schrack ali enakovredno
za priklop enožilnega vodnika 0,5 - 6 mm2, siva</t>
  </si>
  <si>
    <t>Vtični rele, 4 preklopni kontakti
tip: PT570024, proizvajalec: Schrack ali enakovredno
6 A, 24 V DC</t>
  </si>
  <si>
    <t>Vtični rele, 4 preklopni kontakti
tip: PT570730, proizvajalec: Schrack ali enakovredno
6 A, 230 V AC</t>
  </si>
  <si>
    <t>DIN-podnožje releja, 14 polno
tip: PT570024, proizvajalec: Schrack ali enakovredno
6 A</t>
  </si>
  <si>
    <t>Napajalnik, 1-fazni, taktni
tip: LP412406, proizvajalec: Schrack ali enakovredno
230 V AC/24 V DC, 6 A pri 50°C</t>
  </si>
  <si>
    <t>Glavno stikalo, 2-polno
tip: IN882019, proizvajalec: Schrack ali enakovredno
500 V DC, 12 A
montaža na DIN letev</t>
  </si>
  <si>
    <t>Inštalacijski odklopnik (varovalka), karak. B
tip: BM018110, proizvajalec: Schrack ali enakovredno
10 A, 10 kA, 1-polni, 1-fazni
montaža na DIN letev</t>
  </si>
  <si>
    <t>Inštalacijski odklopnik (varovalka), karak. B
tip: BM018106, proizvajalec: Schrack ali enakovredno
6 A, 10 kA, 1-polni, 1-fazni
montaža na DIN letev</t>
  </si>
  <si>
    <t>Inštalacijski odklopnik (varovalka), karak. B
tip: BM018116, proizvajalec: Schrack ali enakovredno
16 A, 10 kA, 1-polni, 1-fazni
montaža na DIN letev</t>
  </si>
  <si>
    <t>PE/N zbiralka z nosilcem za DIN letev
tip: IK020014, proizvajalec: Schrack ali enakovredno
10 mm2, dolžina 1m
nosilec za montažo na DIN letev</t>
  </si>
  <si>
    <t>Zaščitno stikalo, RCCB (FID stikalo)
tip: BC008103, proizvajalec: Schrack ali enakovredno
230/400 V AC
80A/4 p/30mA, 10kA, AC
montaža na DIN letev</t>
  </si>
  <si>
    <t>Krmilna in komunikacijska oprema</t>
  </si>
  <si>
    <t>Programibilni logični krmilnik (PLC) z možnostjo daljinskega dostopa, nadzora, programiranja z ustrezno SD spominsko kartico.
Tip: Modicon M241, TM241CE24R, proizvajalec: Schneider ali enakovredno
Dodatne specifikacije v PRILOGI PLC</t>
  </si>
  <si>
    <t>Razširitveni digitalni vhodni modul
Tip: TM3DI16, Proizvajalec: Schneider ali enakovredno z naslednjimi lastnostmi:
število vhodov 16, 24 V DC sink/source</t>
  </si>
  <si>
    <t>Razširitveni analogni vhodni modul
Tip: TM3AI8, Proizvajalec: Schneider ali enakovredno z naslednjimi lastnostmi:
število vhodov vsaj 8, 4 - 20 mA, 
8 AI, -10...10 V / 0…10 V / 0...20 mA / 4...20 mA, 12 bit</t>
  </si>
  <si>
    <t>Industrijski 4G/LTE mobilni usmerjevalnik z Wifi dostopno točko
tip: RUT955, Proizvajalec: Teltonika ali enakovredno
3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</si>
  <si>
    <t>Zunanja antena 4G / 3G / GPRS / GSM / LTE / WCDMA / HSPA+
tip: WB 16, prozvajalec: Wittenberg ali enakovredno 
z ustreznim SMA priključkom na usmerjevalnik in zadostno dolžino kabla
zaščita IP67</t>
  </si>
  <si>
    <t>Programska oprema</t>
  </si>
  <si>
    <t>Dobava, namestitev, razširitev in izdelava kpletne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</si>
  <si>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Testiranje in dokumentiranje programske in strojne opreme in delovanja:
na nivoju objekta za redno in izredno delovanje
na nivoju objekt-objekt (odvisna objekta) za redno in izredno delovanje
na nivoju CNS za redno in izredno delovanje</t>
  </si>
  <si>
    <t>Predaja vseh izvornih kod, licenc, konfiguracijskih datotek in administrativnih gesel 
nezaščitene, z možnostjo urejanja za PLC krmilnik, router, SCADA, Historian, Win-911, komunikacijski driver in vso ostalo povezano programsko in strojno opremo.
Prenos licenc vse programske opreme (vezane na krmiljenje in SCADO) na upravljavca vodovoda sistema B</t>
  </si>
  <si>
    <t>Merilna oprema</t>
  </si>
  <si>
    <t>Merilnik tlaka v cevovodu
medij: voda, komunikacijski priključek RS485 ModBUS RTU, merilno območje 0-16 bar, zaščita IP68, cevni priključek R1/2, vključno s celotnim montažno pritrdilnim materialom.  
 Tip: PPI 140, proizvajlec: Eltratec ali enakovredno.</t>
  </si>
  <si>
    <t>Merilnik temperature zraka v prostoru
komunikacijski priključek RS485 MODBUS RTU, merilno območje -30 do 40°C, vključno s celotnim montažno pritrdilnim materialom.
Tip:  TTP 311, proizvajalec: Eltratec ali enakovredno</t>
  </si>
  <si>
    <t>Plovno stikalo
delovati mora v območju 5 - 15 cm
dobavi se z originalnim kablom dolžine 10 m</t>
  </si>
  <si>
    <t>Merilnik/števec električne energije 
tip: iEM3250, proizvajalec: Schneider ali enakovredno
število vzorcev na cikel: 32
nazivna napetost: 100…277 V, 173…480 V
Tip meritev: aktivna energija, tok, napetost, aktivna moč
RS-485 priključek
Protokol komunikacijskih vrat: ModBUS RTU
montaža na DIN letev</t>
  </si>
  <si>
    <t xml:space="preserve">Instalacijski kabli </t>
  </si>
  <si>
    <t>Instalacijska oprema</t>
  </si>
  <si>
    <t>Vtičnica 400V, 16A - montaža na omaro</t>
  </si>
  <si>
    <t>LED reflektor z IR senzorjem 30W IP 65</t>
  </si>
  <si>
    <t xml:space="preserve">Ozemljitev </t>
  </si>
  <si>
    <t>Izdelava tehnične dokumentacije v slovenskem jeziku
v kpletu (PID) projekt izvedenega stanja.
Garancijske izjave.
Izdaja navodil o uporabi, obratovanju in vzdrževanju.</t>
  </si>
  <si>
    <t>Izvedba instalacijskih meritev
električne instalacije ter izdaja merilnih protokolov o uspešno opravljenih meritvah.</t>
  </si>
  <si>
    <t>Zagon, testiranje in optimizacija objekta
Spuščanje v pogon, test delovanja in nastavitve parametrov (v PLC-ju, zaščitnih napravah, merilnikih …)</t>
  </si>
  <si>
    <t>Izobraževanje uporabnika 
v slovenskem jeziku na sedežu podjetja upravljavca sistema B.
Nastavitve, upravljanje sistema</t>
  </si>
  <si>
    <t>PS-PRMO</t>
  </si>
  <si>
    <t>ELEKTRO DELA SKUPAJ:</t>
  </si>
  <si>
    <t>VH KRAŠČI</t>
  </si>
  <si>
    <t>Zakoličba trase ceste s strani pooblaščenega geodeta in izdelava zapisnika o zakoličbi.</t>
  </si>
  <si>
    <t>Grederska izravnava obstoječe ceste</t>
  </si>
  <si>
    <t xml:space="preserve">Izkop slabo nosilne zemljine – 2.kategorije   širine do 1,0m in globine  do 1,0m  – strojno izkop s škarpirno žlico  - ureditev odvodnih jarkov. </t>
  </si>
  <si>
    <t>STROJNI izkop vezljive zemljine/zrnate kamnine – 3.kategorije za  kanalske rove  širine do 1,0m in globine 1,1 do 2,0m - kanaleta po širini ceste</t>
  </si>
  <si>
    <r>
      <t xml:space="preserve">Dobava in vgrajevanje tamponskega drobljenca 16-32mm v debelini min 10 cm, komprimiranje do zbitosti 100 Mpa        - </t>
    </r>
    <r>
      <rPr>
        <u/>
        <sz val="9"/>
        <rFont val="Arial"/>
        <family val="2"/>
        <charset val="238"/>
      </rPr>
      <t>vozišče</t>
    </r>
    <r>
      <rPr>
        <sz val="9"/>
        <rFont val="Arial"/>
        <family val="2"/>
        <charset val="238"/>
      </rPr>
      <t>.</t>
    </r>
  </si>
  <si>
    <t>Rezanje asfaltne plasti s talno diamantno žago, debeline do 10 cm.</t>
  </si>
  <si>
    <t>Izdelava bankine iz drobljenca, široke 0,51 do 0,75 m, povprečne debeline 10 cm.</t>
  </si>
  <si>
    <t>Izvedba odcepov za  za dezinfekcijo pitne vode izven objekta.</t>
  </si>
  <si>
    <t>1.2.1</t>
  </si>
  <si>
    <t>1.2.2</t>
  </si>
  <si>
    <t>1.2.3</t>
  </si>
  <si>
    <t>1.3.8</t>
  </si>
  <si>
    <t>ODCEPI</t>
  </si>
  <si>
    <t xml:space="preserve">PE Ø32 na NL DN200 </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</si>
  <si>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DN200</t>
    </r>
  </si>
  <si>
    <t>teleskopska vgradna garnitura za navrtalni oklep</t>
  </si>
  <si>
    <t xml:space="preserve">PE Ø32 na NL DN150 </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</si>
  <si>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t>
    </r>
  </si>
  <si>
    <t>ČRP DOMAJINCI</t>
  </si>
  <si>
    <t>Demontaža koncentratorja in montaža nove krmilno komunikacijske opreme 
z vso pripadajočo opremo za priklop trenutno vgrajene opreme in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</si>
  <si>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Dobava, namestitev, razširitev in izdelava kompletne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</si>
  <si>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Izdelava tehnične dokumentacije v slovenskem jeziku
v kompletu (PID) projekt izvedenega stanja.
Garancijske izjave.
Izdaja navodil o uporabi, obratovanju in vzdrževanju.</t>
  </si>
  <si>
    <t xml:space="preserve">ELEKTRO DELA SKUPAJ: </t>
  </si>
  <si>
    <t>ČRP GORNJI ČRNCI (ROMI)</t>
  </si>
  <si>
    <t>Cevovod občina Rogašovci - Gerlinci (VGG - sekundar)</t>
  </si>
  <si>
    <r>
      <t xml:space="preserve">PE 100 PN 16 </t>
    </r>
    <r>
      <rPr>
        <sz val="9"/>
        <rFont val="Arial"/>
        <family val="2"/>
        <charset val="238"/>
      </rPr>
      <t>Ø63</t>
    </r>
    <r>
      <rPr>
        <sz val="9"/>
        <color indexed="8"/>
        <rFont val="Arial"/>
        <family val="2"/>
        <charset val="238"/>
      </rPr>
      <t xml:space="preserve"> RC PROTECT SDR11 PN16</t>
    </r>
  </si>
  <si>
    <r>
      <t xml:space="preserve">PE 100 PN 16 </t>
    </r>
    <r>
      <rPr>
        <sz val="9"/>
        <rFont val="Arial"/>
        <family val="2"/>
        <charset val="238"/>
      </rPr>
      <t>Ø63</t>
    </r>
    <r>
      <rPr>
        <sz val="9"/>
        <color indexed="8"/>
        <rFont val="Arial"/>
        <family val="2"/>
        <charset val="238"/>
      </rPr>
      <t xml:space="preserve"> RC PROTECT SDR11 PN16           z dodanim aluminijastim slojem</t>
    </r>
  </si>
  <si>
    <r>
      <t xml:space="preserve">PE 100 PN 16 </t>
    </r>
    <r>
      <rPr>
        <sz val="9"/>
        <rFont val="Arial"/>
        <family val="2"/>
        <charset val="238"/>
      </rPr>
      <t>Ø</t>
    </r>
    <r>
      <rPr>
        <sz val="9"/>
        <color indexed="8"/>
        <rFont val="Arial"/>
        <family val="2"/>
        <charset val="238"/>
      </rPr>
      <t>50 RC PROTECT SDR11</t>
    </r>
  </si>
  <si>
    <r>
      <t xml:space="preserve">PE 100 PN 16 </t>
    </r>
    <r>
      <rPr>
        <sz val="9"/>
        <rFont val="Arial"/>
        <family val="2"/>
        <charset val="238"/>
      </rPr>
      <t>Ø</t>
    </r>
    <r>
      <rPr>
        <sz val="9"/>
        <color indexed="8"/>
        <rFont val="Arial"/>
        <family val="2"/>
        <charset val="238"/>
      </rPr>
      <t>50 RC PROTECT SDR11 PN16           z dodanim aluminijastim slojem</t>
    </r>
  </si>
  <si>
    <t>ZASUN HSM DN80 bajonetni+ tel.vgradna,grt.</t>
  </si>
  <si>
    <t>PRIKLJUČEK PE Ø40 na PE Ø63</t>
  </si>
  <si>
    <t>NAVRTALNI ZASUN ZA ODCEPE Ø32-40, z vrtljivim kolenom z ISO spojko Ø40 in dvod.oklepom Ø63 + tel.vgradna,grt.</t>
  </si>
  <si>
    <t>PRIKLJUČEK PE Ø32 na PE Ø63</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</si>
  <si>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 + tel.vgradna,grt.</t>
    </r>
  </si>
  <si>
    <t>Vodovod v naselju Gerlinci (SC-1)</t>
  </si>
  <si>
    <t>Ponovna ureditev obcestnih jarkov s škarpirno žlico in vgradnjo betonskih kanalet</t>
  </si>
  <si>
    <t>Utrditev in uvaljanje zaključnega sloja makadamskega cestišča do 95% trdnosti po standardenm Proctorjevem postopku.</t>
  </si>
  <si>
    <t>Sekanje in odstranjevanje grmičevja in dreves , odvoz v deponijo do 10 km in sežig.</t>
  </si>
  <si>
    <r>
      <t xml:space="preserve">JAŠEK ZA REDUCIRNI VENTIL 2,5x1,95x2,05m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</si>
  <si>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t xml:space="preserve">PE 100 PN 16 </t>
    </r>
    <r>
      <rPr>
        <sz val="9"/>
        <rFont val="Arial"/>
        <family val="2"/>
        <charset val="238"/>
      </rPr>
      <t>Ø</t>
    </r>
    <r>
      <rPr>
        <sz val="9"/>
        <color indexed="8"/>
        <rFont val="Arial"/>
        <family val="2"/>
        <charset val="238"/>
      </rPr>
      <t>110 RC PROTECT SDR11 PN16                 z dodanim aluminijastim slojem</t>
    </r>
  </si>
  <si>
    <t>lomi na cevovodu PE Ø110</t>
  </si>
  <si>
    <t xml:space="preserve">lok elektrovarilni 45°  Ø110 SDR 11 PN16 </t>
  </si>
  <si>
    <r>
      <t xml:space="preserve">PODZEMNI ZRAČNIK na PE </t>
    </r>
    <r>
      <rPr>
        <b/>
        <sz val="9"/>
        <rFont val="Calibri"/>
        <family val="2"/>
        <charset val="238"/>
      </rPr>
      <t>Ø</t>
    </r>
    <r>
      <rPr>
        <b/>
        <sz val="9"/>
        <rFont val="Arial"/>
        <family val="2"/>
        <charset val="238"/>
      </rPr>
      <t>110</t>
    </r>
  </si>
  <si>
    <r>
      <t xml:space="preserve">PE elektrfuz. obojka  </t>
    </r>
    <r>
      <rPr>
        <sz val="9"/>
        <color indexed="8"/>
        <rFont val="Calibri"/>
        <family val="2"/>
        <charset val="238"/>
      </rPr>
      <t>Ø110</t>
    </r>
    <r>
      <rPr>
        <sz val="9"/>
        <color indexed="8"/>
        <rFont val="Arial"/>
        <family val="2"/>
        <charset val="238"/>
      </rPr>
      <t xml:space="preserve"> SDR11 PN16</t>
    </r>
  </si>
  <si>
    <r>
      <t xml:space="preserve">PODZEMNI ZRAČNIK na PE </t>
    </r>
    <r>
      <rPr>
        <b/>
        <sz val="9"/>
        <rFont val="Calibri"/>
        <family val="2"/>
        <charset val="238"/>
      </rPr>
      <t>Ø</t>
    </r>
    <r>
      <rPr>
        <b/>
        <sz val="9"/>
        <rFont val="Arial"/>
        <family val="2"/>
        <charset val="238"/>
      </rPr>
      <t>63</t>
    </r>
  </si>
  <si>
    <t>MMB DN 80/80 bajonetni</t>
  </si>
  <si>
    <t>IZPUST na PE Ø110</t>
  </si>
  <si>
    <t xml:space="preserve">PODZEMNI HIDRANT DN80, RD=1,00m </t>
  </si>
  <si>
    <t>VOZLIŠČE na PE Ø110 - ODCEP  PE Ø63</t>
  </si>
  <si>
    <t>VOZLIŠČE na PE Ø63 - ODCEP  PE Ø63</t>
  </si>
  <si>
    <t>T kos priroični DN50/50</t>
  </si>
  <si>
    <t xml:space="preserve">sidrna spojka DN63/50 </t>
  </si>
  <si>
    <t>zasun prirobični DN50 + tel.vgradna,grt.</t>
  </si>
  <si>
    <t>PRIKLJUČEK PE Ø32 na PE Ø110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</si>
  <si>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 + tel.vgradna,grt.</t>
    </r>
  </si>
  <si>
    <r>
      <t xml:space="preserve">REDUCIRNI VENTIL na PE </t>
    </r>
    <r>
      <rPr>
        <b/>
        <sz val="9"/>
        <rFont val="Calibri"/>
        <family val="2"/>
        <charset val="238"/>
      </rPr>
      <t>Ø</t>
    </r>
    <r>
      <rPr>
        <b/>
        <sz val="9.9"/>
        <rFont val="Arial"/>
        <family val="2"/>
        <charset val="238"/>
      </rPr>
      <t>63</t>
    </r>
    <r>
      <rPr>
        <b/>
        <sz val="9"/>
        <rFont val="Arial"/>
        <family val="2"/>
        <charset val="238"/>
      </rPr>
      <t xml:space="preserve"> (v jašku)</t>
    </r>
  </si>
  <si>
    <t>Vodovod v naselju Skakovci (VKS-SC)</t>
  </si>
  <si>
    <t>Dobava in vgrajevanje tamponskega drobljenca 0/8 mm, debeline 10 cm, zbitosti večje ali enako 100 Mpa, skupaj s planiranjem za izdelavo zaščitne plasti makadamske ceste</t>
  </si>
  <si>
    <r>
      <t xml:space="preserve">PODZEMNI ZRAČNIK na PE </t>
    </r>
    <r>
      <rPr>
        <b/>
        <sz val="9"/>
        <rFont val="Calibri"/>
        <family val="2"/>
        <charset val="238"/>
      </rPr>
      <t>Ø</t>
    </r>
    <r>
      <rPr>
        <b/>
        <sz val="9"/>
        <rFont val="Arial"/>
        <family val="2"/>
        <charset val="238"/>
      </rPr>
      <t>50</t>
    </r>
  </si>
  <si>
    <r>
      <t xml:space="preserve">PE redukcija </t>
    </r>
    <r>
      <rPr>
        <sz val="9"/>
        <color indexed="8"/>
        <rFont val="Calibri"/>
        <family val="2"/>
        <charset val="238"/>
      </rPr>
      <t>Ø</t>
    </r>
    <r>
      <rPr>
        <sz val="9"/>
        <color indexed="8"/>
        <rFont val="Arial"/>
        <family val="2"/>
        <charset val="238"/>
      </rPr>
      <t>90/50 SDR11 PN16</t>
    </r>
  </si>
  <si>
    <r>
      <t xml:space="preserve">PE elektrfuz. obojka  </t>
    </r>
    <r>
      <rPr>
        <sz val="9"/>
        <color indexed="8"/>
        <rFont val="Calibri"/>
        <family val="2"/>
        <charset val="238"/>
      </rPr>
      <t>Ø</t>
    </r>
    <r>
      <rPr>
        <sz val="9"/>
        <color indexed="8"/>
        <rFont val="Arial"/>
        <family val="2"/>
        <charset val="238"/>
      </rPr>
      <t>50 SDR11 PN16</t>
    </r>
  </si>
  <si>
    <t>VOZLIŠČE na NL DN300 - ODCEP PE Ø63</t>
  </si>
  <si>
    <t>MMB DN 300/80 bajonetni</t>
  </si>
  <si>
    <t xml:space="preserve">EU-kos DN80 bajonetni </t>
  </si>
  <si>
    <r>
      <t xml:space="preserve">PE elektrfuz. obojka  </t>
    </r>
    <r>
      <rPr>
        <sz val="9"/>
        <color indexed="8"/>
        <rFont val="Calibri"/>
        <family val="2"/>
        <charset val="238"/>
      </rPr>
      <t>Ø5</t>
    </r>
    <r>
      <rPr>
        <sz val="9"/>
        <color indexed="8"/>
        <rFont val="Arial"/>
        <family val="2"/>
        <charset val="238"/>
      </rPr>
      <t>0 SDR11 PN16</t>
    </r>
  </si>
  <si>
    <t>PRIKLJUČEK PE Ø32 na PE Ø50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</si>
  <si>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Ø50 + tel.vgradna,grt.</t>
    </r>
  </si>
  <si>
    <t>Gornji Petrovci</t>
  </si>
  <si>
    <t>TRANSPORTNI CEVOVODI IN OBJEKTI</t>
  </si>
  <si>
    <t>G.Petrovci_ČRP-Boreča</t>
  </si>
  <si>
    <t>G.Petrovci_ČRP-Martinje</t>
  </si>
  <si>
    <t>G.Petrovci_ČRP-Ženavlje 1</t>
  </si>
  <si>
    <t>G.Petrovci_ČRP-Ženavlje 2</t>
  </si>
  <si>
    <t>GORNJI PETROVCI</t>
  </si>
  <si>
    <t>Reducirno-krmilni jašek Križevci RT-2</t>
  </si>
  <si>
    <t xml:space="preserve">Izkop slabo nosilne zemljine – 2.kategorije   širine do 1,0m in globine  do 1,0m  – strojno izkop z škarpirno žlico  - linija za elektro kabel. </t>
  </si>
  <si>
    <r>
      <rPr>
        <b/>
        <sz val="9"/>
        <rFont val="Arial"/>
        <family val="2"/>
        <charset val="238"/>
      </rPr>
      <t>JAŠEK ZA REDUCIRNI VENTIL IN MERILEC PRETOKA 5,0x3,0x2m</t>
    </r>
    <r>
      <rPr>
        <b/>
        <sz val="9"/>
        <color rgb="FFFF0000"/>
        <rFont val="Arial"/>
        <family val="2"/>
        <charset val="238"/>
      </rPr>
      <t xml:space="preserve"> </t>
    </r>
    <r>
      <rPr>
        <sz val="9"/>
        <color indexed="8"/>
        <rFont val="Arial"/>
        <family val="2"/>
        <charset val="238"/>
      </rPr>
      <t xml:space="preserve">            Naprava tipskega AB jaška not. dimenzij 5,0x3,0x2m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 Na jašku se izvede enokapna streha iz pločevinaste kritine in lesena obloga zunanjih sten - fasada.</t>
    </r>
  </si>
  <si>
    <t>REDUCIRNI VENTIL na NL DN150 (v jašku)</t>
  </si>
  <si>
    <t xml:space="preserve">krogelni ventil DN25 </t>
  </si>
  <si>
    <t>Elektromotorni pogon + adapter za namestitev za zasun DN100
Elektro pogon 3-fazni 3x400 VAC, s krmilno enoto Auma Aumatic 01.2. ali enakovredno .</t>
  </si>
  <si>
    <t>EU kos DN150, Baio</t>
  </si>
  <si>
    <t>FF kos DN 150 x 800</t>
  </si>
  <si>
    <r>
      <t>Q kos DN 100/90</t>
    </r>
    <r>
      <rPr>
        <sz val="9"/>
        <rFont val="Calibri"/>
        <family val="2"/>
        <charset val="238"/>
      </rPr>
      <t>˚</t>
    </r>
  </si>
  <si>
    <t>T kos DN 150 - 150</t>
  </si>
  <si>
    <t>ZRAČNIK DN 150 dvofunkcijski</t>
  </si>
  <si>
    <t>FFR kos DN 150 - 100</t>
  </si>
  <si>
    <t>T kos DN 100 - 100</t>
  </si>
  <si>
    <t>X kos DN 150</t>
  </si>
  <si>
    <t>SIT spojka DN 150, Baio</t>
  </si>
  <si>
    <r>
      <t>Q kos DN 150/45</t>
    </r>
    <r>
      <rPr>
        <sz val="9"/>
        <rFont val="Calibri"/>
        <family val="2"/>
        <charset val="238"/>
      </rPr>
      <t>˚</t>
    </r>
  </si>
  <si>
    <t>FF kos DN 150 x 600</t>
  </si>
  <si>
    <t>S kos DN 150, Baio</t>
  </si>
  <si>
    <t>RU kos DN 100 - 150</t>
  </si>
  <si>
    <t>EU kos DN 100, Baio</t>
  </si>
  <si>
    <t>S kos DN 100, Baio</t>
  </si>
  <si>
    <r>
      <t>MSK DN 150/45</t>
    </r>
    <r>
      <rPr>
        <sz val="9"/>
        <rFont val="Calibri"/>
        <family val="2"/>
        <charset val="238"/>
      </rPr>
      <t>˚</t>
    </r>
  </si>
  <si>
    <t>Odstranitev poškodovanega cementnega ometa z betonskih sten in slabo sprijetih betonskih delov tal celice, komplet z vsemi pomožnimi deli in čiščenjem</t>
  </si>
  <si>
    <t xml:space="preserve">Čiščenje armature na poškodovanih mestih do kovinskega sjaja oziroma čistosti Sa2, </t>
  </si>
  <si>
    <t xml:space="preserve">Okolica VH </t>
  </si>
  <si>
    <t>STROJNI izkop vezljive zemljine/zrnate kamnine – 3.kategorije za  kanalske rove  širine do 1,0m in globine  do 2,5m.</t>
  </si>
  <si>
    <t>kopl</t>
  </si>
  <si>
    <t>3.12</t>
  </si>
  <si>
    <t>T kos DN 100 - 100, inox</t>
  </si>
  <si>
    <t>FF kos DN 100 - 1000, inox</t>
  </si>
  <si>
    <t>lok elektrovarilni 90°  Ø110 SDR 11 PN16</t>
  </si>
  <si>
    <t>vijaki M16 x 70 + matice, inox</t>
  </si>
  <si>
    <t>EV zasun DN 100</t>
  </si>
  <si>
    <t>vijaki M18 x 90 + matice, inox</t>
  </si>
  <si>
    <t>tesnilo DN 150</t>
  </si>
  <si>
    <t>PREČRPALIŠČE V VODOHRANU</t>
  </si>
  <si>
    <t>4.1</t>
  </si>
  <si>
    <t>4.2</t>
  </si>
  <si>
    <t>4.3</t>
  </si>
  <si>
    <t>5.13</t>
  </si>
  <si>
    <t>ČRPALKE</t>
  </si>
  <si>
    <t>Razširitveni digitalni izhodni modul
Tip: TM3DQ16R, Proizvajalec: Schneider ali enakovredno z naslednjimi lastnostmi:
število izhodov 16, rele 2 A</t>
  </si>
  <si>
    <t>FF kos DN 100 - 900, inox</t>
  </si>
  <si>
    <r>
      <t>Q DN 100/90</t>
    </r>
    <r>
      <rPr>
        <sz val="9"/>
        <rFont val="Calibri"/>
        <family val="2"/>
        <charset val="238"/>
      </rPr>
      <t>˚, inox</t>
    </r>
  </si>
  <si>
    <t>FFR DN 150 - 100, inox</t>
  </si>
  <si>
    <t>EV zasun, reducirni DN 150 - 100</t>
  </si>
  <si>
    <t>tesnilo DN 100</t>
  </si>
  <si>
    <t>3.13</t>
  </si>
  <si>
    <t>DEZINFEKCIJA</t>
  </si>
  <si>
    <t xml:space="preserve">Mikroprocesorska enota namenjena avtomatskemu doziranju natrijevega hipoklorita v vodo (kot na primer AQUAControler tip M 5500 C, Controlmatik ABW, ali enakovredno).
Enota krmili dozirno črpalko. Krmiljenje dozirne črpalke poteka na osnovi podatkov dobljenih od merilnika pretoka vode in analizatorja prostega klora v vodi. 
Enota ima štiri tokovne vhode (4 x 4-20mA) in dva tokovna izhoda (2 x 4-20mA). 
Enota ima štiri digitalne vhode 24VDC in štiri relejske izhode. 
Napajanje je 230 VAC.
Na enoti lahko poljubno izbiramo koriščenje izhodov in vhodov. 
Za krmiljenje dozirne črpalke se uporablja tokovni izhod. 
Za izhod o odprtosti regulatorja se uporablja tokovni izhod.
Doziranje se izvaja na osnovi PID regulacije.
Preko tokovnih in digilalnih vhodov je možno vklapljati in izklapljati klorinacijo ali nastavljati željene vrednosti prostega klora. 
Enota omogoča priklop na CNS preko digitalnih in tokovnih izhodov.                                                                                                                                          </t>
  </si>
  <si>
    <t xml:space="preserve">Dozirni komplet:                                                                                  
- samoodzračevalna dozirna črpalka kapacitete 0.9l/h  
- sesalna sonda z dvostopenjskim stikalom
- multifunkcijski protipovratni ventil za preprečevanje hidravlične natege   
- dozirni ventil z možnostjo demontaže pod tlakom  
- dozirno cev dimenzije 6/4
- signalni kabel  
- konzola za montažo dozirne črpalke
- kemikalija za zagon z ustrezno embalažo in lovilno posodo  
Najmanjši impulz je 0,19ml
Dozirna črpalka (kot naprimer Controlmatik ABW, tip GMXa 1602 NPT7, ali enakovredno), ima vgrajen elektromagnetni motor s proporcionalnim doziranjem.
Ima vgrajen rele za izhod napake.
Krmiljenje tokovno (4-20mA).                                                                                                       
</t>
  </si>
  <si>
    <t>Centrifugalna samosesalna JET črpalka z nosilno konzolo, INOKS izvedba, VITON tesnilo (odporno na klor), za pitno vodo.
Črpalka sesa vodo iz globine do 8 m.
220 V, 50 Hz, P= 0,6 kW
Kapaciteta :
Q=3,0 m3/h  pri H= 2,0 bar
Q=1,0 m3/h  pri H= 3,8 bar</t>
  </si>
  <si>
    <t>Instalacijske cevi PVC DN 32 in DN 25, znotraj in zunaj polirane (PRAHER, ali enakovredno), z zapornimi ventili                     
- cevi s fitingi skupne dolžine 23 m                                                 
Ventili so sestavljeni s PTFE sedežem in tesnili FPM
 - ventili 8 kosov</t>
  </si>
  <si>
    <t xml:space="preserve">Analizator prostega klora v vodi (kot naprimer Controlmatik ABW, tip M 1035 C/ADCR1F ,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Analizator ima vgrajen INDIKATOR PRETOKA vode in pokrov.                                              
Analizator vsebuje napajalnik 230VAC in 24VDC.
-A automatic temperature compensation
-D digital comunication out (SELECAN)
-C current output sensor 4-20mA
-R PID regulator
-1 measuring range 0-5,0 mgCl2/l
-F flow indicator
</t>
  </si>
  <si>
    <t>Montaža, šolanje in zagon opreme</t>
  </si>
  <si>
    <t>Skupaj celotni sistem dezinfekcije</t>
  </si>
  <si>
    <t>5.12</t>
  </si>
  <si>
    <t>cev PP Ø32</t>
  </si>
  <si>
    <r>
      <t>m</t>
    </r>
    <r>
      <rPr>
        <sz val="9"/>
        <rFont val="Calibri"/>
        <family val="2"/>
        <charset val="238"/>
      </rPr>
      <t>'</t>
    </r>
  </si>
  <si>
    <t>T kos PP Ø32</t>
  </si>
  <si>
    <t>čep PP Ø32</t>
  </si>
  <si>
    <t>koleno PP Ø32</t>
  </si>
  <si>
    <t>prehodni kos PP Ø32 - 1"  NN</t>
  </si>
  <si>
    <t>koleno prehodno PP Ø32 - 1"  ZN</t>
  </si>
  <si>
    <t>dvojni navoj 3/4", inox</t>
  </si>
  <si>
    <t>R kos 1" - 3/4", inox</t>
  </si>
  <si>
    <t>objemka 1". Inox</t>
  </si>
  <si>
    <t>objemka cevna z gumo, inox</t>
  </si>
  <si>
    <t>nosilec, inox</t>
  </si>
  <si>
    <r>
      <t xml:space="preserve">vrtanje lukenj </t>
    </r>
    <r>
      <rPr>
        <sz val="9"/>
        <rFont val="Calibri"/>
        <family val="2"/>
        <charset val="238"/>
      </rPr>
      <t>Ø</t>
    </r>
    <r>
      <rPr>
        <sz val="9.9"/>
        <rFont val="Arial"/>
        <family val="2"/>
        <charset val="238"/>
      </rPr>
      <t>32</t>
    </r>
  </si>
  <si>
    <t>vijaki M8 za beton, inox</t>
  </si>
  <si>
    <t>5.14</t>
  </si>
  <si>
    <t>Tripolno izbirno stikalo 1_0_2
Tip: IN622005, proizvajalec: Schrack ali enakovredno
10 A, 230 V</t>
  </si>
  <si>
    <t>Posluževalni (HMI) panel - zaslon na dotik
tip: XBT GT Proizvajalec: Schneider elecrtic (ali enakovredno)
Posluževalni panel, touch screen, barvni LCD, diagonala 5,7", 
ethernet 10/100, RS232, RS485, CANopen/Profibus DP, USB</t>
  </si>
  <si>
    <t>Zunanja antena 4G / 3G / GPRS / GSM / LTE / WCDMA / HSPA+
tip: UNICOM P-30, prozvajalec: Iskra ali enakovredno 
z ustreznim SMA priključkom na usmerjevalnik in zadostno dolžino kabla
zaščita IP67</t>
  </si>
  <si>
    <t>Merilnik nivoja in temperature vodohrana
medij: voda,  komunikacijski priključek RS485 MODBUS RTU, merilno območje 0-10 m in 0-40°C, zaščita IP68, vključno s celotnim montažno pritrdilnim materialom.
TIP: PPI 220 Proizvajalec: Eltratec ali enakovredno</t>
  </si>
  <si>
    <t>FF kos DN 100 - 200, inox</t>
  </si>
  <si>
    <t>FFR kos DN 150 - 100, inox</t>
  </si>
  <si>
    <r>
      <t>Q DN 150/90</t>
    </r>
    <r>
      <rPr>
        <sz val="9"/>
        <rFont val="Calibri"/>
        <family val="2"/>
        <charset val="238"/>
      </rPr>
      <t>˚, inox</t>
    </r>
  </si>
  <si>
    <t>univerzalna spojka DN 150  (1/1)</t>
  </si>
  <si>
    <t>ČRP-BOREČA</t>
  </si>
  <si>
    <t>T kos DN 100/100, inox</t>
  </si>
  <si>
    <t>EV zasun DN 100 + kolo</t>
  </si>
  <si>
    <t>FF kos DN 100/200, inox</t>
  </si>
  <si>
    <t>Q DN 100/90°, inox</t>
  </si>
  <si>
    <t>X-R kos DN 100/3", inox</t>
  </si>
  <si>
    <t>dvojni navoj 3", inox</t>
  </si>
  <si>
    <t>zračnik DN 100 (v jašku)</t>
  </si>
  <si>
    <t>ČRP-MARTINJE</t>
  </si>
  <si>
    <t>ČRP-ŽENAVLJE 1</t>
  </si>
  <si>
    <t>ČRP-ŽENAVLJE 2</t>
  </si>
  <si>
    <t>Grad</t>
  </si>
  <si>
    <t>Grad_VH Grad</t>
  </si>
  <si>
    <t>Grad_VH Vidonci</t>
  </si>
  <si>
    <t>Grad_ČRP Dolnji Slaveči 1</t>
  </si>
  <si>
    <t>Grad_ČRP Dolnji Slaveči 2'</t>
  </si>
  <si>
    <t>Grad_ČRP Grad</t>
  </si>
  <si>
    <t>Grad_ČRP Grad Rajsar</t>
  </si>
  <si>
    <t>Grad_ČRP Vidonci</t>
  </si>
  <si>
    <t>GRAD</t>
  </si>
  <si>
    <t>VH GRAD</t>
  </si>
  <si>
    <t>DELA NA OBJEKTU VH GRAD</t>
  </si>
  <si>
    <t>T kos DN 50, inox</t>
  </si>
  <si>
    <t>dvojni navoj 2", inox</t>
  </si>
  <si>
    <t>R kos 2" - 1/2", inox</t>
  </si>
  <si>
    <t>ventil nepovratni 2"</t>
  </si>
  <si>
    <t>ventil kroglični 2"</t>
  </si>
  <si>
    <t>tlačna posoda 16 bar, 24L</t>
  </si>
  <si>
    <t>manometer 0 - 16 bar</t>
  </si>
  <si>
    <t>objemka 2", inox</t>
  </si>
  <si>
    <t>R kos 2 1/2" - 2", inox</t>
  </si>
  <si>
    <t>R kos 2" - 6/4", inox</t>
  </si>
  <si>
    <t>ventil s pipico 1"</t>
  </si>
  <si>
    <t>ventil kroglični 1/2"</t>
  </si>
  <si>
    <t>dvojni navoj 1/2", inox</t>
  </si>
  <si>
    <t>cev inox 2"</t>
  </si>
  <si>
    <t>varjenje inox komadov</t>
  </si>
  <si>
    <t xml:space="preserve">Izvedba dostopnega podesta v vodno celico. Podest se izvede z dvema klasičnima nosilcema (npr. I-profil), vroče cinkana ali prašno barvana, z ustreznimi sidri vpeto med zunanje stene vodohrana. Na nosilce je položena in pritrjena pohodna mreža. Okrog podesta se izvede zaščitna ograja, dostop na podest z lestvijo. Ves material, razen nosilcev je inoks. </t>
  </si>
  <si>
    <t>Instalacijske cevi PVC DN 32 in DN 25, znotraj in zunaj polirane (PRAHER, ali enakovredno), z zapornimi ventili                     
- cevi s fitingi skupne dolžine 15 m                                                 
Ventili so sestavljeni s PTFE sedežem in tesnili FPM
 - ventili 6 kosov</t>
  </si>
  <si>
    <t>3.14</t>
  </si>
  <si>
    <t>VH VIDONCI</t>
  </si>
  <si>
    <t>DELA NA OBJEKTU VH VIDONCI, VOD E 10 IN E 11 RADOVCI</t>
  </si>
  <si>
    <t>T kos 2 1/2", inox</t>
  </si>
  <si>
    <t>T kos 1", inox</t>
  </si>
  <si>
    <t>T kos 1/2", inox</t>
  </si>
  <si>
    <t>R kos 2 1/2" - 1", inox</t>
  </si>
  <si>
    <t>R kos 1" - 1/2", inox</t>
  </si>
  <si>
    <t>ventil kroglični 2 1/2"</t>
  </si>
  <si>
    <t>ventil nepovratni 2 1/2"</t>
  </si>
  <si>
    <t>ventil kroglični 1"</t>
  </si>
  <si>
    <t>ventil kroglični  1/2"</t>
  </si>
  <si>
    <t>koleno 2 1/2", inox</t>
  </si>
  <si>
    <t>dvojni navoj 2 1/2", inox</t>
  </si>
  <si>
    <t>tlačna posoda 0 - 10 bar</t>
  </si>
  <si>
    <t>ventil kroglični 1", s pipico</t>
  </si>
  <si>
    <t>dvojni navoj 1", inox</t>
  </si>
  <si>
    <t>manometer 0 - 10 bar</t>
  </si>
  <si>
    <t>pipa kroglična 3/4"</t>
  </si>
  <si>
    <t>cev inox 2 1/2"</t>
  </si>
  <si>
    <t>3.15</t>
  </si>
  <si>
    <t>ČRP DOLNJI SLAVEČI 1</t>
  </si>
  <si>
    <t>ČRP DOLNJI SLAVEČI 2</t>
  </si>
  <si>
    <t>ČRP GRAD</t>
  </si>
  <si>
    <t>ČRP GRAD RAJSAR</t>
  </si>
  <si>
    <t>3.12.</t>
  </si>
  <si>
    <t>EV zasun DN 80</t>
  </si>
  <si>
    <r>
      <t>lok DN 80/90</t>
    </r>
    <r>
      <rPr>
        <sz val="9"/>
        <rFont val="Calibri"/>
        <family val="2"/>
        <charset val="238"/>
      </rPr>
      <t>˚</t>
    </r>
    <r>
      <rPr>
        <sz val="9.9"/>
        <rFont val="Arial"/>
        <family val="2"/>
        <charset val="238"/>
      </rPr>
      <t>, inoks</t>
    </r>
  </si>
  <si>
    <t>lovilec nesnage DN 80</t>
  </si>
  <si>
    <t>FFR kos DN 80 - 3", inox</t>
  </si>
  <si>
    <t>T kos DN 80, inox</t>
  </si>
  <si>
    <t>lok DN 80/90°, inox</t>
  </si>
  <si>
    <t>R kos DN 80-50</t>
  </si>
  <si>
    <t>dvojni navoj 2"</t>
  </si>
  <si>
    <t>zračnik DN 50 (v jašku)</t>
  </si>
  <si>
    <t>gumi distančnik DN 80</t>
  </si>
  <si>
    <t xml:space="preserve">cev DN 80, inox </t>
  </si>
  <si>
    <t>varjenje inox kosa</t>
  </si>
  <si>
    <t>ČRP VIDONCI</t>
  </si>
  <si>
    <t>Hodoš</t>
  </si>
  <si>
    <t>Hodoš_VH Hodoš</t>
  </si>
  <si>
    <t>Hodoš_ČRP Hodoš</t>
  </si>
  <si>
    <t>HODOŠ</t>
  </si>
  <si>
    <t>VH HODOŠ</t>
  </si>
  <si>
    <r>
      <t xml:space="preserve">koleno prehodno BR </t>
    </r>
    <r>
      <rPr>
        <sz val="9"/>
        <rFont val="Calibri"/>
        <family val="2"/>
        <charset val="238"/>
      </rPr>
      <t>Ø</t>
    </r>
    <r>
      <rPr>
        <sz val="9.9"/>
        <rFont val="Arial"/>
        <family val="2"/>
        <charset val="238"/>
      </rPr>
      <t>32 -1"  ZN</t>
    </r>
  </si>
  <si>
    <r>
      <t xml:space="preserve">koleno BR </t>
    </r>
    <r>
      <rPr>
        <sz val="9"/>
        <rFont val="Calibri"/>
        <family val="2"/>
        <charset val="238"/>
      </rPr>
      <t>Ø</t>
    </r>
    <r>
      <rPr>
        <sz val="9.9"/>
        <rFont val="Arial"/>
        <family val="2"/>
        <charset val="238"/>
      </rPr>
      <t>32</t>
    </r>
  </si>
  <si>
    <r>
      <t xml:space="preserve">prehodni kos BR </t>
    </r>
    <r>
      <rPr>
        <sz val="9"/>
        <rFont val="Calibri"/>
        <family val="2"/>
        <charset val="238"/>
      </rPr>
      <t>Ø</t>
    </r>
    <r>
      <rPr>
        <sz val="9.9"/>
        <rFont val="Arial"/>
        <family val="2"/>
        <charset val="238"/>
      </rPr>
      <t>32 - 1"  NN</t>
    </r>
  </si>
  <si>
    <r>
      <t xml:space="preserve">T kos BR </t>
    </r>
    <r>
      <rPr>
        <sz val="9"/>
        <rFont val="Calibri"/>
        <family val="2"/>
        <charset val="238"/>
      </rPr>
      <t>Ø</t>
    </r>
    <r>
      <rPr>
        <sz val="9.9"/>
        <rFont val="Arial"/>
        <family val="2"/>
        <charset val="238"/>
      </rPr>
      <t>32</t>
    </r>
  </si>
  <si>
    <r>
      <t xml:space="preserve">čep BR </t>
    </r>
    <r>
      <rPr>
        <sz val="9"/>
        <rFont val="Calibri"/>
        <family val="2"/>
        <charset val="238"/>
      </rPr>
      <t>Ø</t>
    </r>
    <r>
      <rPr>
        <sz val="9.9"/>
        <rFont val="Arial"/>
        <family val="2"/>
        <charset val="238"/>
      </rPr>
      <t>32</t>
    </r>
  </si>
  <si>
    <t>nosilec inox</t>
  </si>
  <si>
    <t>objemka cevna z gumo 1", inox</t>
  </si>
  <si>
    <t xml:space="preserve">oklep navrtalni  125 - 1" </t>
  </si>
  <si>
    <r>
      <t xml:space="preserve">cev BR </t>
    </r>
    <r>
      <rPr>
        <sz val="9"/>
        <rFont val="Calibri"/>
        <family val="2"/>
        <charset val="238"/>
      </rPr>
      <t>Ø</t>
    </r>
    <r>
      <rPr>
        <sz val="9.9"/>
        <rFont val="Arial"/>
        <family val="2"/>
        <charset val="238"/>
      </rPr>
      <t>32</t>
    </r>
  </si>
  <si>
    <t>VRTINA</t>
  </si>
  <si>
    <t>Merilnik nivoja in temperature vodohrana
medij: voda,  komunikacijski priključek RS485 MODBUS RTU, merilno območje 0-100 m in 0-40°C, zaščita IP68, vključno s celotnim montažno pritrdilnim materialom.
TIP: PPI 220 Proizvajalec: Eltratec ali enakovredno</t>
  </si>
  <si>
    <t>ČRP HODOŠ</t>
  </si>
  <si>
    <t>NADGRADNJA VODOVODA SISTEMA B</t>
  </si>
  <si>
    <t>Kuzma_VH Kuzma</t>
  </si>
  <si>
    <t>Kuzma_ČRP Dolič (Č-2)</t>
  </si>
  <si>
    <t>Kuzma_ČRP Dolič 1 (Č-1)</t>
  </si>
  <si>
    <t>Kuzma_ČRP Gornji Slaveči (Č-4)</t>
  </si>
  <si>
    <t>Kuzma_ČRP Kuzma (Č-5-1)</t>
  </si>
  <si>
    <t>Kuzma_ČRP Matjaševci (Č-3)</t>
  </si>
  <si>
    <t>Kuzma_Trdkova SK-1</t>
  </si>
  <si>
    <t xml:space="preserve">VSE SKUPAJ </t>
  </si>
  <si>
    <t>KUZMA</t>
  </si>
  <si>
    <t>VH KUZMA</t>
  </si>
  <si>
    <t>ventil kroglični 1", kovina</t>
  </si>
  <si>
    <r>
      <t xml:space="preserve">prehodni kos BR </t>
    </r>
    <r>
      <rPr>
        <sz val="9"/>
        <rFont val="Calibri"/>
        <family val="2"/>
        <charset val="238"/>
      </rPr>
      <t>Ø</t>
    </r>
    <r>
      <rPr>
        <sz val="9.9"/>
        <rFont val="Arial"/>
        <family val="2"/>
        <charset val="238"/>
      </rPr>
      <t>32 - 1"  ZN</t>
    </r>
  </si>
  <si>
    <t>objemka 1", inox</t>
  </si>
  <si>
    <t>varjenje objemke 1", inox</t>
  </si>
  <si>
    <t>ČRP DOLIČ (Č-2)</t>
  </si>
  <si>
    <t>ČRP DOLIČ 1 (Č-1)</t>
  </si>
  <si>
    <t>Zakoličba gradbenega objekta - stopnic s strani pooblaščenega geodeta in izdelava zapisnika o zakoličbi.</t>
  </si>
  <si>
    <t>OPOMBA: Izvede se dostop do prečrpališča. Dostop bo z glavne ceste. Ob cesti se izvede plato v tlorisni izmeri 1,50m*2,00 m in stopnice v dolžini 10 m. Stopnice se prilagodijo terenu. Maksimalna višina stopnice je lahko 18 cm.</t>
  </si>
  <si>
    <t>Demontaža jeklene varnostne cestne ograje, z odvozom na trajno deponijo - prehod se uporabi za dostop do Črpališča</t>
  </si>
  <si>
    <t>Odstranitev obstoječega grmovja z odvozom na trajno deponijo</t>
  </si>
  <si>
    <t>ROČNI izkop vezljive zemljine/zrnate kamnine – 3.kategorije za  plato in stopnice  širine do 1,5m in globine 1,2 m.</t>
  </si>
  <si>
    <t>STROJNI izkop vezljive zemljine/zrnate kamnine – 3.kategorije plato in stopnice  širine do 1,5m in globine 1,2m.</t>
  </si>
  <si>
    <t>Enostranski opaž talne plošče platoja - podesta iz desk, vidni beton. Postavitev opaža in demontaža po končanih delih</t>
  </si>
  <si>
    <t>1m</t>
  </si>
  <si>
    <t>Enostranski opaž stopnic iz desk, vidni beton. Postavitev opaža in demontaža po končanih delih</t>
  </si>
  <si>
    <t>Dobava in vgradnja geotekstila 300g</t>
  </si>
  <si>
    <t>ZASIP podlage z zrnato kamnino – 3.kategorije z dobavo iz gramoznice v debelini 10 cm</t>
  </si>
  <si>
    <t>Dobava in vgrajevanje podbetona C16/20 pod pasovne temelje v debelini 10 cm</t>
  </si>
  <si>
    <t>Dobava in vgrajevanje betona C25/30 v pasovne temelje platoja in stopnic</t>
  </si>
  <si>
    <t>Dobava in vgrajevanje minimalne armature v pasovne temelje</t>
  </si>
  <si>
    <t>Dobava in vgrajevanje betona C25/30 v ploščo platoja (plošča debeline 18 cm).</t>
  </si>
  <si>
    <t>Dobava in vgrajevanje armature v ploščo platoja</t>
  </si>
  <si>
    <t xml:space="preserve">Dobava in vgrajevanje betona C 25/30 v stopnice </t>
  </si>
  <si>
    <t xml:space="preserve">Dobava in vgrajevanje armature v stopnice  </t>
  </si>
  <si>
    <t>Montaža zaobljenih delov jeklene varovalne ograje</t>
  </si>
  <si>
    <t>ČRP GORNJI SLAVEČI (Č-4)</t>
  </si>
  <si>
    <t>ČRP KUZMA (Č-5-1)</t>
  </si>
  <si>
    <t>ČRP MATJAŠEVCI (Č-3)</t>
  </si>
  <si>
    <t>VODOVOD V NASELJU TRDKOVA SK-1</t>
  </si>
  <si>
    <t>OBJEKT JE SESTAVLJEN IZ ODSEKOV: KRAK 2, KRAK 3 IN KRAK 4 TER PRIKLJUČKOV NA PRIMARNI VOD</t>
  </si>
  <si>
    <t>OBJEKT SKUPAJ</t>
  </si>
  <si>
    <t>PE 100 PN 16 Ø110 RC PROTECT SDR11 PN16</t>
  </si>
  <si>
    <t>PE 100 PN 16 Ø110 RC PROTECT SDR11 PN16                 z dodanim aluminijastim slojem</t>
  </si>
  <si>
    <t xml:space="preserve">lok elektrovarilni 45°  Ø90 SDR 11 PN16 </t>
  </si>
  <si>
    <t xml:space="preserve">PODZEMNI ZRAČNIK na PE Ø110 </t>
  </si>
  <si>
    <r>
      <t xml:space="preserve">PE elektrfuz. obojka  </t>
    </r>
    <r>
      <rPr>
        <sz val="9"/>
        <color indexed="8"/>
        <rFont val="Calibri"/>
        <family val="2"/>
        <charset val="238"/>
      </rPr>
      <t>Ø11</t>
    </r>
    <r>
      <rPr>
        <sz val="9"/>
        <color indexed="8"/>
        <rFont val="Arial"/>
        <family val="2"/>
        <charset val="238"/>
      </rPr>
      <t>0 SDR11 PN16</t>
    </r>
  </si>
  <si>
    <r>
      <t xml:space="preserve">PODZEMNI ZRAČNIK DN80 , RD=1,00m komplet z priključnim kolenom 90° in ISO spojko </t>
    </r>
    <r>
      <rPr>
        <sz val="9"/>
        <rFont val="Calibri"/>
        <family val="2"/>
        <charset val="238"/>
      </rPr>
      <t>Ø</t>
    </r>
    <r>
      <rPr>
        <sz val="9"/>
        <rFont val="Arial"/>
        <family val="2"/>
        <charset val="238"/>
      </rPr>
      <t xml:space="preserve">63 </t>
    </r>
  </si>
  <si>
    <t xml:space="preserve">IZPUST na PE Ø110 </t>
  </si>
  <si>
    <t xml:space="preserve">NADZEMNI HIDRANT na PE Ø110 </t>
  </si>
  <si>
    <t>S-kos DN 80-M bajonetni</t>
  </si>
  <si>
    <t>VOZLIŠČE V1 na NL DN150 - ODCEP PE Ø110</t>
  </si>
  <si>
    <t>MMB z int.zasunom DN 150/100 bajonetni + tel.vgradna,grt.</t>
  </si>
  <si>
    <t xml:space="preserve">PE elektrof. obojka Ø110 </t>
  </si>
  <si>
    <t>VOZLIŠČE V2 na PE Ø110 - REDUKCIJA  PE Ø63</t>
  </si>
  <si>
    <r>
      <t xml:space="preserve">PE redukcija </t>
    </r>
    <r>
      <rPr>
        <sz val="9"/>
        <color indexed="8"/>
        <rFont val="Calibri"/>
        <family val="2"/>
        <charset val="238"/>
      </rPr>
      <t>Ø110</t>
    </r>
    <r>
      <rPr>
        <sz val="9"/>
        <color indexed="8"/>
        <rFont val="Arial"/>
        <family val="2"/>
        <charset val="238"/>
      </rPr>
      <t>/63 SDR11 PN16</t>
    </r>
  </si>
  <si>
    <t>VOZLIŠČE V3 na PE Ø110 - ODCEP MARTINJE</t>
  </si>
  <si>
    <t>F kos DN100</t>
  </si>
  <si>
    <t>X kos DN100</t>
  </si>
  <si>
    <t>ZASUN HSM DN80 bajonetni</t>
  </si>
  <si>
    <t>VOZLIŠČE V4 na PE Ø110 - IZPUST - ODCEP PEØ63</t>
  </si>
  <si>
    <t xml:space="preserve">PRIKLJUČEK PE Ø63 na NL DN150 </t>
  </si>
  <si>
    <t>NAVRTALNI ZASUN ZA ODCEPE Ø50-63, z vrtljivim kolenom z ISO spojko Ø63 in stremenom DN150 + tel.vgradna,grt.</t>
  </si>
  <si>
    <t xml:space="preserve">PRIKLJUČEK PE Ø32 na NL DN150 </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</si>
  <si>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 + tel.vgradna,grt.</t>
    </r>
  </si>
  <si>
    <t xml:space="preserve">PRIKLJUČEK PE Ø63 na PE Ø110 </t>
  </si>
  <si>
    <t>NAVRTALNI ZASUN ZA ODCEPE Ø50-63, z vrtljivim kolenom z ISO spojko Ø63 in dvod.oklepom Ø110 + tel.vgradna,grt.</t>
  </si>
  <si>
    <t xml:space="preserve">PRIKLJUČEK PE Ø32 na PE Ø110  </t>
  </si>
  <si>
    <t>NAVRTALNI ZASUN ZA ODCEPE Ø32-40, z vrtljivim kolenom z ISO spojko Ø32 in dvod.oklepom Ø110 + tel.vgradna,grt.</t>
  </si>
  <si>
    <t>Moravske Toplice</t>
  </si>
  <si>
    <t>M.Toplice_VPUS</t>
  </si>
  <si>
    <t>M.Toplice_VF1</t>
  </si>
  <si>
    <t>M.Toplice_VBU</t>
  </si>
  <si>
    <t>M.Toplice_ČRP_Bukovnica</t>
  </si>
  <si>
    <t>M.Toplice_SMT-4_1</t>
  </si>
  <si>
    <t>M.Toplice_SMT-4_2</t>
  </si>
  <si>
    <t>M.Toplice_ČRP Filovci</t>
  </si>
  <si>
    <t>M.Toplice_VH Filovci</t>
  </si>
  <si>
    <t>M.Toplice_VKL-2, VKL-3</t>
  </si>
  <si>
    <t>M.Toplice_R1-R10, L1-L6</t>
  </si>
  <si>
    <t>M.Toplice_VFS-2</t>
  </si>
  <si>
    <t>M.Toplice_ČRP Gornji Moravci</t>
  </si>
  <si>
    <t>M.Toplice_ČRP Prosenjakovci</t>
  </si>
  <si>
    <t>M.Toplice_ČRP Prosenjakovci OŠ</t>
  </si>
  <si>
    <t>M.Toplice_ČRP Sebeborci</t>
  </si>
  <si>
    <t>M.Toplice_B1, B3-B6</t>
  </si>
  <si>
    <t>M.Toplice_K1-K8</t>
  </si>
  <si>
    <t>M.Toplice_F1-F7</t>
  </si>
  <si>
    <t>M.Toplice_SMT-1 18</t>
  </si>
  <si>
    <t>TRANSPORTNO VODOVODNO OMREŽJE V OBČINI MORAVSKE TOPLICE; 
VODOVOD PUCONCI - SEBEBORCI (VPUS)</t>
  </si>
  <si>
    <t>Obnova in zavarovanje zakoličbe trase komunalnih vodov v ravninskem terenu</t>
  </si>
  <si>
    <t>Organizacija gradbišča – odstranitev začasnih objektov</t>
  </si>
  <si>
    <t>Čiščenje gradbišča po končanih delih z odvozom odpadnega materiala in vzpostavitev v prvotno stanje.</t>
  </si>
  <si>
    <t>Sekanje in odstranjevanje grmičevja in dreves (deb. do 10 cm), odvoz na deponijo do 1 km in sežig.</t>
  </si>
  <si>
    <t>Strojno rezanje asfalta; dožina enojnega
reza.</t>
  </si>
  <si>
    <t>Porušitev asfalta do skupne deb. 10 cm, strojno nakladanje, odvoz na stalno deponijo gradbenih materialov do 20 km, razkladanje in razgrinjanje, komplet s plačilom taks za deponiranje.</t>
  </si>
  <si>
    <t>Strojni izkop humusa v primeru poteka trase vodovoda v travniku oz njivi. Globina izkopa 0,2 m, širina 1,4 m (oz. po vzdolžnem profilu) in deponiranje v razdlaji 1 m od gradbene jame oz. odvoz na začasno deponijo v razdalji do 5 km, ter ponovno nakladanje, prevoz na gradbišče in razgrnitev humusa po terenu. Izkop izvršiti skladno s predpisi o varstvu pri delu.</t>
  </si>
  <si>
    <t>Strojni izkop jarka širine na dnu 0,6 m + DN cevi v terenu 3. ktg. do določene nivelete s točnostjo ±10 cm, z odmetom materiala 1 m od roba jarka oz. odvozom materiala na stalno deponijo, kjer trasa poteka v cesti oz. njenem robu; globina izkopa 1,32 m oziroma po podatkih vzdolžnega profila. Izkop izvršiti skladno s predpisi o varstvu pri delu.</t>
  </si>
  <si>
    <t>Strojni izkop jarka širine na dnu  0,6 m + DN cevi v terenu 4. ktg. do določene nivelete s točnostjo ±10 cm, z odmetom materiala 1 m od roba jarka oz. odvozom materiala na stalno deponijo, kjer trasa poteka v cesti oz njenem robu; globina izkopa 1,32 m oziroma po podatkih vzdolžnega profila. Izkop izvršiti skladno s predpisi o varstvu pri delu.</t>
  </si>
  <si>
    <t>Strojni izkop jarka širine na dnu  0,6 m + DN cevi v terenu 5. ktg. do določene nivelete s točnostjo ±10 cm, z odmetom materiala 1 m od roba jarka oz. odvozom materiala na stalno deponijo, kjer trasa poteka v cesti oz njenem robu; globina izkopa 1,32 m oziroma po podatkih vzdolžnega profila. Izkop izvršiti skladno s predpisi o varstvu pri delu.</t>
  </si>
  <si>
    <t xml:space="preserve">Ročni izkop jarka širine na dnu  0,6 m + DN cevi v terenu 3. ktg. do določene nivelete s točnostjo ±10 cm, z miniranjem po potrebi in odmetom materiala 1 m od roba jarka; globina izkopa 1,32 m oziroma po podatkih vzdolžnega profila. Izkop izvršiti skladno s predpisi o varstvu pri delu. </t>
  </si>
  <si>
    <t xml:space="preserve">Ročni izkop jarka širine na dnu  0,6 m + DN cevi v terenu 4. ktg. do določene nivelete s točnostjo ±10 cm, z miniranjem po potrebi in odmetom materiala 1 m od roba jarka; globina izkopa 1,32 m oziroma po podatkih vzdolžnega profila. Izkop izvršiti skladno s predpisi o varstvu pri delu. </t>
  </si>
  <si>
    <t>Strojno nakladanje ob izkopu, transport izkopnega materiala na stalno deponijo gradbenega materiala v oddaljenosti do 20 km, razkladanje in razgrinjanje s plačilom vseh taks za deponiranje.</t>
  </si>
  <si>
    <t>Razpiranje jarkov na mestih, kjer nastopa možnost zrušenja bokov pri močnejšem zemeljskem pritisku, glede na stabilnost brežin, globino jarka in bližino prometne obtežbe, ter na mestih, kjer v neposredni bližini projektirane trase vodovoda potekajo obstoječi komunalno-energetski vodi. Razpirati je potrebno povsod, kjer to zahtevajo predpisi o varstvu pri delu.</t>
  </si>
  <si>
    <t>Ročno planiranje dna jarka s točnostjo ± 3cm po predvidenem nagibu.</t>
  </si>
  <si>
    <t>Komplet izdelava peščene posteljice iz nekoherentnega materiala do debeline 10 cm, v kateri si cev sama izoblikuje ležišče (pesek/gramoz z zrnom do max. 8 mm brez ostrih robov). Izdelati poglobitev pod spojkami.</t>
  </si>
  <si>
    <t>Strojno zasipavanje v coni cevovoda z nekoherentnim (gramoznim) materialom, s peščenim materialom - pesek z zrni brez ostrih robov, premera do 8 mm, s komprimacijo bokov z lahkimi komprimacijskimi sredstvi (v plasteh po 20 cm), do 30 cm nad temenom cevovoda do ustrezne zbitosti za zagotovitev nosilnosti po projektu.</t>
  </si>
  <si>
    <t>Dobava in vgraditev peska / lomljenec 0÷63 mm v območju poteka trase v makadamski cesti ali ob robu asfaltnega cestišča do kote terena, strojno nabijanje v plasteh po 20 cm, v asfaltni cesti do globine cca 50 cm pod koto ureditve.</t>
  </si>
  <si>
    <t>Komplet priprava in vgradnja  nevezane nosilne podlage za asfaltiranje iz kamnitega materiala; tampon iz peska 0÷16mm, debelina sloja 40 cm (Ev2&gt;=100MPa). Niveleto robov prilagoditi obstoječim objektom (vhodi, dovozi,…)!</t>
  </si>
  <si>
    <t>Izdelava finega planuma v debelini 3 - 5 cm v predvidenih naklonih pred polaganjem asfalta.</t>
  </si>
  <si>
    <t>Dobava in ročno polaganje asfalta v sestavi AC22 base B50/70 A3 v debelini 6 cm in AC8 surf B50/70 A3 v debelini 3 cm, premaz stikov z obstoječim asfaltom z bitumensko pasto. Niveleto robov prilagoditi obst. višini ceste oz. obstoječim objektom (vhodi, dvozi, ...).</t>
  </si>
  <si>
    <t>Dobava in ročno polaganje asfalta v sestavi AC16 surf B50/70 v debelini 6 cm, premaz stikov z bitumensko pasto. Nivileto robov prilagoditi obstoječim objektom (vhodi, dvozi, ...)</t>
  </si>
  <si>
    <t>Pobrizg tamponskega planuma z bitumensko emulzijo 0,5 kg/m2</t>
  </si>
  <si>
    <t>Strojno zasipavanje jarka z mešanico materiala iz izkopa in gramoza 0/64mm, strojno nabijanje v plasteh po 20 cm, do nosilnosti Ev2&gt;60MPa na planumu tampona, do kote terena oz. kote razplaniranja humusa oz. kote terena ostalih nepovoznih površin. Ustreznost uporabe izkopanega materiala odobri geomehanski nadzor.</t>
  </si>
  <si>
    <t xml:space="preserve">Razsip in zasutje z izkopanim humusom na mestih, kjer je bil humus izkopan v debelini 20 cm in širini 1,4 m (oz. po vzdolžnem profilu) in zatravitev. </t>
  </si>
  <si>
    <t xml:space="preserve">Ureditev bankin s sekancem v debelini 10 cm, širine 50 cm in utrjevanje. </t>
  </si>
  <si>
    <t>Izvedba zaščite obstoječih tangiranih energetskih in telekomunikacijskih kablovodov (telefon, elektrika, optika,...) pri križanju s predvidenim vodovodom, v kompletu z dobavo in vgradnjo zaščitne cevi PVC fi 110 mm (dolžina posamezne cevi 3 m), s pripadajočimi manšetami (po navodilih pooblaščenega upravljavca voda in projektnih pogojih).</t>
  </si>
  <si>
    <t>Vodotesna izvedba zaščite predvidenega vodovoda pri križanju z obstoječim vodom mešane kanalizacije v kompletu z dobavo in vgradnjo zaščitne cevi PVC fi 400 mm (dolžina posamezne cevi 3 m), po navodilih pooblaščenega upravljavca voda in projektnih pogojih</t>
  </si>
  <si>
    <t xml:space="preserve">Izvedba meritev nosilnosti in zgoščenosti nosilnega tampona z izdajo atesta (povozne površine). </t>
  </si>
  <si>
    <t>Izvedba PODBOJA S KOVINSKO ZAŠČITNO CEVJO (v III. do IV. kategoriji zemljine) pod regionalno cesto I. reda št. R1-232 na odseku 1315, Petrovci - Martjanci,  v dolžini 17 m, vključno z uvlačenjem zaščitne kovinske cevi DN350 mm (za vstavljanje vodovodne cevi NL DN 200 mm), vključno z izkopom vhodne in zaključne gradbene jame, izvedbo podboja, pripravljalnimi in zaključnimi deli ter transporti. Vodovodna cev je zajeta v posebni postavki (5.1)!</t>
  </si>
  <si>
    <t>Izvedba detajla prečnega prekopa cest: Bitumenski drobir BD pod asfaltom v deb. 30 cm,  položitev PVC folije ali strešne lepenke, z ravno zgornjo površino. Zabetoniranje nad slojem PVC ali strešne lepenke do višine obst. asfalta.</t>
  </si>
  <si>
    <t xml:space="preserve">Sanacija prekopa ceste: odkop betonskega sloja nad PVC folijo ali strešno lepenko z odvozom na stalno deponijo  gradbenih materialov v oddaljenosti do 20 km, razkladanje in razgrinjanje, komplet s plačilom taks za deponiranje. </t>
  </si>
  <si>
    <t>Izvedba zaščite dna struge vodotokov s kamnitim tlakovanjem po detajlu prečkanja vodotoka. Kamnito tlakovanje s kamnom debeline fi 20 do 30cm</t>
  </si>
  <si>
    <t xml:space="preserve">Izvedba zaščite brežine struge vodotokov s kamnitim tlakovanjem po detajlu prečkanja vodotoka. Kamnito tlakovanje s kamnom debeline fi 30 do 50cm </t>
  </si>
  <si>
    <t xml:space="preserve">Izvedba zaščite dna struge s kamnito peto fi 60cm. Izvedba zaščite po detajlu prečkanja vodotokov </t>
  </si>
  <si>
    <t>Odstranitev oz. premaknitev cestne signalizacije v času gradnje z vzpostavitvijo v prvotno stanje (prometni znaki, označ. tablice, reklamne table). Število je ocenjeno.</t>
  </si>
  <si>
    <t>Dobava in vgrajevanje betona v nearmirane konstrukcije preseka do 0,10 m3/m2-m; z vsemi pomožnimi deli in prenosi do mesta vgraditve.
~podložni beton C_12/15 (na krivinah cevovodov, pri podbetoniranju talnega hidranta in LTŽ cestnih kap, začite kablov, ...)</t>
  </si>
  <si>
    <t>Izdelava AB betonske podložne plošče dimenzije 3 x 4,0 m, debeline 0,2 m za sidranje merilne postaje in s tem preprečitve dviga. V kompletu s sidri - 4 kos</t>
  </si>
  <si>
    <t>Betoniranje talnega praga z betonom C 25/30 in kamnom debeline fi 30 cm pri prečkanju strug vodotokov</t>
  </si>
  <si>
    <t xml:space="preserve">Križanje vodotoka, komplet, v ceno zajeto: zaščitna cev, obbetoniranje, pripadajoči drsni obroči, zaključne gumi manšete, uvlačenje vodovodne cevi. </t>
  </si>
  <si>
    <t>Dobava in montaža fazonskih kosov, skupaj s spojnimi in veznimi elementi (v postavki so zajeta kolena samo za posamezne lome cevovoda na trasi, preostali so še v nadaljnih postavkah tega popisa del)</t>
  </si>
  <si>
    <t>MMK NL DN200/11° - BAIO</t>
  </si>
  <si>
    <t>MMK NL DN200/30° - BAIO</t>
  </si>
  <si>
    <t>MMK NL DN200/45° - BAIO</t>
  </si>
  <si>
    <t xml:space="preserve">SIDRNA SPOJKA DN200 BAIO - SIT </t>
  </si>
  <si>
    <t>Izvedba zaščite vodovodne cevi pri prečkanju prometnic oz. asf. dovozov, v kompletu z dobavo in montažo zaščitnih kovinskih cevi DN350:</t>
  </si>
  <si>
    <t>Zaščitna kovinska cev JE DN350 mm</t>
  </si>
  <si>
    <t>Gumijasta manšeta DN350</t>
  </si>
  <si>
    <t>Jekleni nosilec duktilne cevi - uvodnica DN350</t>
  </si>
  <si>
    <t xml:space="preserve">Varovalno tesnilo VI TR DN350 za zagotovitev neizvlečnega spoja duktilnih cevi </t>
  </si>
  <si>
    <t>MERILNI JAŠEK NA MEJI MED OBČINAMA MORAVSKE TOPLICE / PUCONCI</t>
  </si>
  <si>
    <t>R-kos DN200/150 bajonetni</t>
  </si>
  <si>
    <t>NAVEZAVA NA PREČRPALIŠČE SEBEBORCI</t>
  </si>
  <si>
    <t>SIDRNA SPOJKA DN200 bajonetna</t>
  </si>
  <si>
    <t>MMK NL DN200/45°</t>
  </si>
  <si>
    <t>R - kos NL DN200/150 (BAJONET/OBOJKA)</t>
  </si>
  <si>
    <t>F - kos  BAJONETNI S PRIROBNICO NL DN150</t>
  </si>
  <si>
    <t>PREČKANJE MARTJANSKEGA POTOKA</t>
  </si>
  <si>
    <t>PREČKANJE SEBEBORSKEGA POTOKA</t>
  </si>
  <si>
    <t>PREČKANJE ANDREJSKEGA POTOKA IN NAVEZAVA NA PRED. VODOVOD NL DN200, PO PROJEKTU VODOVOD SEBEBORCI BEDENIK (VSB/1)</t>
  </si>
  <si>
    <t>AVT. ZRAČNIK DN80  ZA PODZEMNO VGRADNJO NA CEVI NL DN200 (T16, T80 in T133); 3 - krat</t>
  </si>
  <si>
    <r>
      <t xml:space="preserve">ozn. tablica + poc.steber </t>
    </r>
    <r>
      <rPr>
        <sz val="10"/>
        <color indexed="8"/>
        <rFont val="Calibri"/>
        <family val="2"/>
        <charset val="238"/>
      </rPr>
      <t>Ø</t>
    </r>
    <r>
      <rPr>
        <sz val="10"/>
        <color indexed="8"/>
        <rFont val="Arial"/>
        <family val="2"/>
        <charset val="238"/>
      </rPr>
      <t>48 + poc.sidro stebra</t>
    </r>
  </si>
  <si>
    <t>BLATNI IZPUST DN80 NA CEVI NL DN200 (T15, T20 in T56); 
3 - krat</t>
  </si>
  <si>
    <t>Primarni vod Bogojina - Filovci (VF1)</t>
  </si>
  <si>
    <t>1.9</t>
  </si>
  <si>
    <t>1.10</t>
  </si>
  <si>
    <t>1.11</t>
  </si>
  <si>
    <t>1.12</t>
  </si>
  <si>
    <t>1.13</t>
  </si>
  <si>
    <t>1.14</t>
  </si>
  <si>
    <t xml:space="preserve"> 2.1</t>
  </si>
  <si>
    <t>Površinski izkop plodne zemljine – 1. kategorije – strojno z odrivom do 50 m</t>
  </si>
  <si>
    <r>
      <t>m</t>
    </r>
    <r>
      <rPr>
        <vertAlign val="superscript"/>
        <sz val="10"/>
        <rFont val="Arial"/>
        <family val="2"/>
      </rPr>
      <t>3</t>
    </r>
  </si>
  <si>
    <t>Izkop vezljive zemljine/zrnate kamnine – 3. kategorije za  kanalske rove  širine do 1,2 m in globine 1,1 do 2,0 m – ročno, planiranje dna ročno</t>
  </si>
  <si>
    <t>Izkop vezljive zemljine/zrnate kamnine – 3. kategorije za  kanalske rove  širine do 1,2 m in globine 1,1 do 2,0 m – strojno, planiranje dna ročno</t>
  </si>
  <si>
    <t>2.4</t>
  </si>
  <si>
    <t xml:space="preserve">Razpiranje sten izkopanega kanalskega rova globine od 0,0 do 2,0 m v lahki  zemljini </t>
  </si>
  <si>
    <t>Ureditev planuma temeljnih tal vezljive zemljine – 3. kategorije - dno kanala</t>
  </si>
  <si>
    <r>
      <t>m</t>
    </r>
    <r>
      <rPr>
        <vertAlign val="superscript"/>
        <sz val="10"/>
        <rFont val="Arial"/>
        <family val="2"/>
      </rPr>
      <t>2</t>
    </r>
  </si>
  <si>
    <t>2.6</t>
  </si>
  <si>
    <t xml:space="preserve">Dobava in vgrajevanje peska granulacije 0-4 mm (okrogla zrnca) za posteljico cevi. </t>
  </si>
  <si>
    <t>Zasip  kanala z izkopano zemljino – 3. kategorije  s komprimiranjem v slojih</t>
  </si>
  <si>
    <t>Zasip z zrnato kamnino – 3. kategorije z dobavo iz gramoznice (zasip kanala)</t>
  </si>
  <si>
    <t>Dobava in vgrajevanje tampona 0-32 v plast  d = 50cm, komprimiranje do zbitosti večje ali enako 80 Mp/m2, upošteva se vgraditev pod asfaltno površino in bankine in cesto</t>
  </si>
  <si>
    <r>
      <t>m</t>
    </r>
    <r>
      <rPr>
        <vertAlign val="superscript"/>
        <sz val="10"/>
        <rFont val="Arial"/>
        <family val="2"/>
        <charset val="238"/>
      </rPr>
      <t>3</t>
    </r>
  </si>
  <si>
    <t>2.10</t>
  </si>
  <si>
    <t>Prevoz materiala na ustrezno deponijo</t>
  </si>
  <si>
    <t>2.11</t>
  </si>
  <si>
    <t xml:space="preserve">Razplaniranje odvečne zemljine na deponiji </t>
  </si>
  <si>
    <t>2.12</t>
  </si>
  <si>
    <t>Rezanje asfaltne plasti s talno diamantno žago, debele 6 do 10 cm</t>
  </si>
  <si>
    <r>
      <t>m</t>
    </r>
    <r>
      <rPr>
        <vertAlign val="superscript"/>
        <sz val="10"/>
        <rFont val="Arial"/>
        <family val="2"/>
      </rPr>
      <t>1</t>
    </r>
  </si>
  <si>
    <t>2.13</t>
  </si>
  <si>
    <t xml:space="preserve">Porušitev in odstranitev asfaltne plasti v debelini 6 do 10 cm </t>
  </si>
  <si>
    <t>2.14</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</si>
  <si>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t>
    </r>
  </si>
  <si>
    <t>2.15</t>
  </si>
  <si>
    <r>
      <t xml:space="preserve">Izdelava nosilne plasti bituminizirane zmesi AC 22 base B 50/70 A3 v debelini 6 cm, vključno s čiščenjem in premazom stikov z bitumensko emulzijo                             - </t>
    </r>
    <r>
      <rPr>
        <u/>
        <sz val="9"/>
        <rFont val="Arial"/>
        <family val="2"/>
        <charset val="238"/>
      </rPr>
      <t>vozišče JP</t>
    </r>
  </si>
  <si>
    <t>2.16</t>
  </si>
  <si>
    <t xml:space="preserve">Odlaganje odpadnga asfalta z odvozom na urejeno deponijo </t>
  </si>
  <si>
    <t>2.17</t>
  </si>
  <si>
    <t xml:space="preserve">Izdelava bankine iz drobljenca, široke 0,51 do 0,75 m, poprečne debeline 10 cm </t>
  </si>
  <si>
    <t>2.18</t>
  </si>
  <si>
    <r>
      <t xml:space="preserve">zaščitna cev Ø100 za PE </t>
    </r>
    <r>
      <rPr>
        <sz val="10"/>
        <rFont val="Calibri"/>
        <family val="2"/>
        <charset val="238"/>
      </rPr>
      <t>Ø</t>
    </r>
    <r>
      <rPr>
        <sz val="10"/>
        <rFont val="Arial"/>
        <family val="2"/>
        <charset val="238"/>
      </rPr>
      <t>32 - Ø63</t>
    </r>
  </si>
  <si>
    <t>2.19</t>
  </si>
  <si>
    <t xml:space="preserve">Betoniranje sidrnih blokov v C 25/30 velikosti do 0,30 m3/kom skupaj z dobavo betona
</t>
  </si>
  <si>
    <t>2.20</t>
  </si>
  <si>
    <t>Obbetoniranje cestnih kap MB30 v obsegu 15cm okoli cestne kape in v njeni celotni višini</t>
  </si>
  <si>
    <t>2.21</t>
  </si>
  <si>
    <t>NL DN 150 C64 nesidrni spoj</t>
  </si>
  <si>
    <r>
      <t xml:space="preserve">PE 100 PN 16 </t>
    </r>
    <r>
      <rPr>
        <sz val="10"/>
        <rFont val="Arial"/>
        <family val="2"/>
      </rPr>
      <t>Ø</t>
    </r>
    <r>
      <rPr>
        <sz val="10"/>
        <color indexed="8"/>
        <rFont val="Arial"/>
        <family val="2"/>
      </rPr>
      <t>63 RC PROTECT SDR11 PN16</t>
    </r>
  </si>
  <si>
    <t>PE 100 PN 16 Ø63 RC PROTECT SDR11 PN16 z dodanim aluminijastim slojem</t>
  </si>
  <si>
    <t>PE 100 PN 16 Ø32 RC PROTECT SDR11</t>
  </si>
  <si>
    <t>PE 100 PN 16 Ø32 RC PROTECT SDR11 PN16 z dodanim aluminijastim slojem</t>
  </si>
  <si>
    <t>3.2.1</t>
  </si>
  <si>
    <t>Vozlišče F1:</t>
  </si>
  <si>
    <t xml:space="preserve">PE prehodni kos DN200/150 s sidrno objemko </t>
  </si>
  <si>
    <t>PE elektrfuz. obojka  Ø200 SDR11 PN16</t>
  </si>
  <si>
    <t>3.2.2</t>
  </si>
  <si>
    <t>Vozlišče PH-izpust na NL DN150:</t>
  </si>
  <si>
    <t>MMB DN 150/80 bajonetni</t>
  </si>
  <si>
    <t>3.2.3</t>
  </si>
  <si>
    <t>Vozlišče zračnik na NL DN150:</t>
  </si>
  <si>
    <t>MMB DN150/80 bajonetni</t>
  </si>
  <si>
    <t>3.2.4</t>
  </si>
  <si>
    <t>Vozlišče nadzemni hidrant na NL DN150:</t>
  </si>
  <si>
    <t>3.2.5</t>
  </si>
  <si>
    <t>Prečkanje -Mejični potok:</t>
  </si>
  <si>
    <t>MMK 30° DN150 bajonetni</t>
  </si>
  <si>
    <t>3.2.6</t>
  </si>
  <si>
    <t>Vozlišče O1 - na NL DN150 - ODCEP  PE Ø63:</t>
  </si>
  <si>
    <t>MMB z int.zasunom DN 150/80 bajonetni + tel.vgradna,grt.</t>
  </si>
  <si>
    <r>
      <t xml:space="preserve">PE elektrfuz. obojka  </t>
    </r>
    <r>
      <rPr>
        <sz val="10"/>
        <color indexed="8"/>
        <rFont val="Calibri"/>
        <family val="2"/>
        <charset val="238"/>
      </rPr>
      <t>Ø</t>
    </r>
    <r>
      <rPr>
        <sz val="10"/>
        <color indexed="8"/>
        <rFont val="Arial"/>
        <family val="2"/>
        <charset val="238"/>
      </rPr>
      <t>90 SDR11 PN16</t>
    </r>
  </si>
  <si>
    <r>
      <t xml:space="preserve">PE redukcija </t>
    </r>
    <r>
      <rPr>
        <sz val="10"/>
        <color indexed="8"/>
        <rFont val="Calibri"/>
        <family val="2"/>
        <charset val="238"/>
      </rPr>
      <t>Ø</t>
    </r>
    <r>
      <rPr>
        <sz val="10"/>
        <color indexed="8"/>
        <rFont val="Arial"/>
        <family val="2"/>
        <charset val="238"/>
      </rPr>
      <t>90/63 SDR11 PN16</t>
    </r>
  </si>
  <si>
    <r>
      <t xml:space="preserve">PE elektrfuz. obojka  </t>
    </r>
    <r>
      <rPr>
        <sz val="10"/>
        <color indexed="8"/>
        <rFont val="Calibri"/>
        <family val="2"/>
        <charset val="238"/>
      </rPr>
      <t>Ø</t>
    </r>
    <r>
      <rPr>
        <sz val="10"/>
        <color indexed="8"/>
        <rFont val="Arial"/>
        <family val="2"/>
        <charset val="238"/>
      </rPr>
      <t>63 SDR11 PN16</t>
    </r>
  </si>
  <si>
    <t>3.2.7</t>
  </si>
  <si>
    <t>Loki:</t>
  </si>
  <si>
    <t>MMK 11° DN150 bajonetni</t>
  </si>
  <si>
    <t>MMK 22° DN150 bajonetni</t>
  </si>
  <si>
    <t>sidrna objemka DN150-bajonetna</t>
  </si>
  <si>
    <t>3.2.8</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</si>
  <si>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Ø63 + tel.vgradna,grt.</t>
    </r>
  </si>
  <si>
    <t>Vodovodno omrežje Bukovnica -VBU</t>
  </si>
  <si>
    <t>Dobava in vgrajevanje tampona 0-32 v plast  d = 40cm, komprimiranje do zbitosti večje ali enako 80 Mp/m2, upošteva se vgraditev pod asfaltno površino in bankine in cesto</t>
  </si>
  <si>
    <t xml:space="preserve">Postavitev vodovodnega jaška notranjih tlorisnih dimenzij 3.5x3.5m, po priloženem armaturnem načrtu, komplet z  LTŽ  pokrovom, lestvijo, komplet z hidroizolacijo  </t>
  </si>
  <si>
    <t>zaščitna cev Ø150 za PE Ø90 - Ø125</t>
  </si>
  <si>
    <r>
      <t xml:space="preserve">zaščitna cev </t>
    </r>
    <r>
      <rPr>
        <sz val="10"/>
        <rFont val="Calibri"/>
        <family val="2"/>
        <charset val="238"/>
      </rPr>
      <t>Ø</t>
    </r>
    <r>
      <rPr>
        <sz val="10"/>
        <rFont val="Arial"/>
        <family val="2"/>
        <charset val="238"/>
      </rPr>
      <t>160 za PE Ø90 - Ø125</t>
    </r>
  </si>
  <si>
    <t>Obešanje na most</t>
  </si>
  <si>
    <r>
      <t xml:space="preserve">zaščitna cev </t>
    </r>
    <r>
      <rPr>
        <sz val="10"/>
        <rFont val="Calibri"/>
        <family val="2"/>
        <charset val="238"/>
      </rPr>
      <t>Ø</t>
    </r>
    <r>
      <rPr>
        <sz val="10"/>
        <rFont val="Arial"/>
        <family val="2"/>
        <charset val="238"/>
      </rPr>
      <t>200 za PE Ø110/fi125</t>
    </r>
  </si>
  <si>
    <t>2.22</t>
  </si>
  <si>
    <t>2.23</t>
  </si>
  <si>
    <t>2.24</t>
  </si>
  <si>
    <r>
      <t xml:space="preserve">PE 100 PN 16 </t>
    </r>
    <r>
      <rPr>
        <sz val="10"/>
        <rFont val="Arial"/>
        <family val="2"/>
      </rPr>
      <t>Ø</t>
    </r>
    <r>
      <rPr>
        <sz val="10"/>
        <color indexed="8"/>
        <rFont val="Arial"/>
        <family val="2"/>
      </rPr>
      <t>125 RC PROTECT SDR11 PN16</t>
    </r>
  </si>
  <si>
    <r>
      <t xml:space="preserve">PE 100 PN 16 </t>
    </r>
    <r>
      <rPr>
        <sz val="10"/>
        <rFont val="Arial"/>
        <family val="2"/>
      </rPr>
      <t>Ø</t>
    </r>
    <r>
      <rPr>
        <sz val="10"/>
        <color indexed="8"/>
        <rFont val="Arial"/>
        <family val="2"/>
      </rPr>
      <t>125 RC PROTECT SDR11 PN16         z dodanim aluminijastim slojem</t>
    </r>
  </si>
  <si>
    <r>
      <t xml:space="preserve">PE 100 PN 16 </t>
    </r>
    <r>
      <rPr>
        <sz val="10"/>
        <rFont val="Arial"/>
        <family val="2"/>
      </rPr>
      <t>Ø</t>
    </r>
    <r>
      <rPr>
        <sz val="10"/>
        <color indexed="8"/>
        <rFont val="Arial"/>
        <family val="2"/>
      </rPr>
      <t>110 RC PROTECT SDR11 PN16</t>
    </r>
  </si>
  <si>
    <r>
      <t xml:space="preserve">PE 100 PN 16 </t>
    </r>
    <r>
      <rPr>
        <sz val="10"/>
        <rFont val="Arial"/>
        <family val="2"/>
      </rPr>
      <t>Ø</t>
    </r>
    <r>
      <rPr>
        <sz val="10"/>
        <color indexed="8"/>
        <rFont val="Arial"/>
        <family val="2"/>
      </rPr>
      <t>110 RC PROTECT SDR11 PN16                 z dodanim aluminijastim slojem</t>
    </r>
  </si>
  <si>
    <t>Vozlišče B1:</t>
  </si>
  <si>
    <r>
      <t xml:space="preserve">PE elektrfuz. obojka  </t>
    </r>
    <r>
      <rPr>
        <sz val="10"/>
        <color indexed="8"/>
        <rFont val="Calibri"/>
        <family val="2"/>
        <charset val="238"/>
      </rPr>
      <t>Ø</t>
    </r>
    <r>
      <rPr>
        <sz val="10"/>
        <color indexed="8"/>
        <rFont val="Arial"/>
        <family val="2"/>
        <charset val="238"/>
      </rPr>
      <t>125 SDR11 PN16</t>
    </r>
  </si>
  <si>
    <r>
      <t xml:space="preserve">Vozlišče PH-izpust na </t>
    </r>
    <r>
      <rPr>
        <b/>
        <sz val="10"/>
        <rFont val="Calibri"/>
        <family val="2"/>
        <charset val="238"/>
      </rPr>
      <t>Ø</t>
    </r>
    <r>
      <rPr>
        <b/>
        <sz val="10"/>
        <rFont val="Arial CE"/>
        <charset val="238"/>
      </rPr>
      <t>110:</t>
    </r>
  </si>
  <si>
    <r>
      <t xml:space="preserve">PE elektrfuz. obojka  </t>
    </r>
    <r>
      <rPr>
        <sz val="10"/>
        <color indexed="8"/>
        <rFont val="Calibri"/>
        <family val="2"/>
        <charset val="238"/>
      </rPr>
      <t>Ø</t>
    </r>
    <r>
      <rPr>
        <sz val="10"/>
        <color indexed="8"/>
        <rFont val="Arial"/>
        <family val="2"/>
        <charset val="238"/>
      </rPr>
      <t>110 SDR11 PN16</t>
    </r>
  </si>
  <si>
    <r>
      <t xml:space="preserve">Vozlišče PH-izpust na </t>
    </r>
    <r>
      <rPr>
        <b/>
        <sz val="10"/>
        <rFont val="Calibri"/>
        <family val="2"/>
        <charset val="238"/>
      </rPr>
      <t>Ø</t>
    </r>
    <r>
      <rPr>
        <b/>
        <sz val="10"/>
        <rFont val="Arial CE"/>
        <charset val="238"/>
      </rPr>
      <t>125:</t>
    </r>
  </si>
  <si>
    <r>
      <t xml:space="preserve">Vozlišče zračnik na </t>
    </r>
    <r>
      <rPr>
        <b/>
        <sz val="10"/>
        <rFont val="Calibri"/>
        <family val="2"/>
        <charset val="238"/>
      </rPr>
      <t>Ø</t>
    </r>
    <r>
      <rPr>
        <b/>
        <sz val="10"/>
        <rFont val="Arial CE"/>
        <charset val="238"/>
      </rPr>
      <t>125:</t>
    </r>
  </si>
  <si>
    <r>
      <t xml:space="preserve">PE elektrfuz. obojka </t>
    </r>
    <r>
      <rPr>
        <sz val="10"/>
        <rFont val="Arial"/>
        <family val="2"/>
        <charset val="238"/>
      </rPr>
      <t xml:space="preserve"> </t>
    </r>
    <r>
      <rPr>
        <sz val="10"/>
        <color indexed="8"/>
        <rFont val="Calibri"/>
        <family val="2"/>
        <charset val="238"/>
      </rPr>
      <t>Ø125</t>
    </r>
    <r>
      <rPr>
        <sz val="9"/>
        <color indexed="8"/>
        <rFont val="Arial"/>
        <family val="2"/>
        <charset val="238"/>
      </rPr>
      <t xml:space="preserve"> SDR11 PN16</t>
    </r>
  </si>
  <si>
    <r>
      <t xml:space="preserve">Vozlišče nadzemni hidrant na </t>
    </r>
    <r>
      <rPr>
        <b/>
        <sz val="10"/>
        <rFont val="Calibri"/>
        <family val="2"/>
        <charset val="238"/>
      </rPr>
      <t>Ø</t>
    </r>
    <r>
      <rPr>
        <b/>
        <sz val="10"/>
        <rFont val="Arial CE"/>
        <charset val="238"/>
      </rPr>
      <t>125:</t>
    </r>
  </si>
  <si>
    <t>Vozlišče VB212:</t>
  </si>
  <si>
    <t>Vozlišče nadzemni hidrant na Ø110:</t>
  </si>
  <si>
    <t>Prehod iz Ø110 na Ø63:</t>
  </si>
  <si>
    <r>
      <t xml:space="preserve">PE redukcija </t>
    </r>
    <r>
      <rPr>
        <sz val="10"/>
        <color indexed="8"/>
        <rFont val="Calibri"/>
        <family val="2"/>
        <charset val="238"/>
      </rPr>
      <t>Ø</t>
    </r>
    <r>
      <rPr>
        <sz val="10"/>
        <color indexed="8"/>
        <rFont val="Arial"/>
        <family val="2"/>
        <charset val="238"/>
      </rPr>
      <t>110/63 SDR11 PN16</t>
    </r>
  </si>
  <si>
    <t>3.2.9</t>
  </si>
  <si>
    <t>Odcep iz Ø110 na Ø63:</t>
  </si>
  <si>
    <t>3.2.10</t>
  </si>
  <si>
    <t>Vozlišče zračnik na Ø110:</t>
  </si>
  <si>
    <r>
      <t xml:space="preserve">PE elektrfuz. obojka  </t>
    </r>
    <r>
      <rPr>
        <sz val="10"/>
        <color indexed="8"/>
        <rFont val="Calibri"/>
        <family val="2"/>
        <charset val="238"/>
      </rPr>
      <t>Ø110</t>
    </r>
    <r>
      <rPr>
        <sz val="10"/>
        <color indexed="8"/>
        <rFont val="Arial"/>
        <family val="2"/>
        <charset val="238"/>
      </rPr>
      <t xml:space="preserve"> SDR11 PN16</t>
    </r>
  </si>
  <si>
    <t>3.2.11</t>
  </si>
  <si>
    <t>Vodovodno omrežje Bukovnica -prečrpališče Bukovnica</t>
  </si>
  <si>
    <t>ELEKTRODELA</t>
  </si>
  <si>
    <t>kpl.</t>
  </si>
  <si>
    <t>Izkop vezljive zemljine/zrnate kamnine – 3. kategorije  ročno, planiranje dna ročno</t>
  </si>
  <si>
    <t>Izkop vezljive zemljine/zrnate kamnine – 3. kategorije strojno, planiranje dna ročno</t>
  </si>
  <si>
    <t xml:space="preserve">Dobava in vgrajevanje tampona 0-32 v plast  d = 30cm, komprimiranje do ustrezne zbitosti </t>
  </si>
  <si>
    <t>2.7</t>
  </si>
  <si>
    <t>Črpališče - jašek:</t>
  </si>
  <si>
    <t>Raztezna posoda V=100L</t>
  </si>
  <si>
    <t>INDUKTIVNI MERILNIK PRETOKA DN80 
Elektro magnetni dvosmerni merilnik pretoka.
izhod tokovna zanka 4-20mA,  IP68
Montaža, priklop in preizkus ter zagon merilca pretoka. 
TIP: Promag 10W PN16 DN80 Proizvajalec Endress+Hauser ali enakovredeno</t>
  </si>
  <si>
    <t>Montažni demontažni kos DN80</t>
  </si>
  <si>
    <t xml:space="preserve">LŽ FF DN80/1000   </t>
  </si>
  <si>
    <t xml:space="preserve">LŽ FF DN80/200   </t>
  </si>
  <si>
    <t>LŽ FFK DN125 45°</t>
  </si>
  <si>
    <t>LŽ FF DN125/200</t>
  </si>
  <si>
    <t xml:space="preserve">LŽ FFR DN125/80 </t>
  </si>
  <si>
    <t>LŽ FFK DN80 90°</t>
  </si>
  <si>
    <t>LŽ E-KOS VRS DN125</t>
  </si>
  <si>
    <t>T-kos DN80/50</t>
  </si>
  <si>
    <r>
      <t xml:space="preserve">PE elektrfuz. obojka  </t>
    </r>
    <r>
      <rPr>
        <sz val="10"/>
        <color indexed="8"/>
        <rFont val="Calibri"/>
        <family val="2"/>
        <charset val="238"/>
      </rPr>
      <t>Ø125</t>
    </r>
    <r>
      <rPr>
        <sz val="10"/>
        <color indexed="8"/>
        <rFont val="Arial"/>
        <family val="2"/>
        <charset val="238"/>
      </rPr>
      <t xml:space="preserve"> SDR11 PN16</t>
    </r>
  </si>
  <si>
    <t>ČISTILNI KOS DN80</t>
  </si>
  <si>
    <t>KROGELNI VENTIL 3''</t>
  </si>
  <si>
    <t xml:space="preserve">NEPOVRATNI VENTIL DN80 </t>
  </si>
  <si>
    <t xml:space="preserve">KROGELNI VENTIL 2'' </t>
  </si>
  <si>
    <t>SPOJKA GASILSKA C</t>
  </si>
  <si>
    <t>ČEP GASILSKI C</t>
  </si>
  <si>
    <t>POPIS ELEKTRO DEL - ČRP. BUKOVNICA</t>
  </si>
  <si>
    <t xml:space="preserve">Krmilna omara s strešico.  Dimenzije 1600 x 1800 x 400 mm . Omara je z vrati, s ključavnico, z montažno ploščo in/ali nosilci opreme, s predalom za načrte. Podstavek omare. Polnilo za podstavek.
 , Proizvajalec: HIMEL (ali enakovredno)
</t>
  </si>
  <si>
    <t>Tripolni odklopnik,  za nazivno napetost 690 V in tok 63 A, prekinitvene moči  25 kA, z  obešanko za zaklepanje v izklopljenem stanju, Vgradnja na letev., Proizvajalec: Schneider elecrtic  (ali enakovredno)</t>
  </si>
  <si>
    <t>Ventilator s filtrom 230V, 19W, 145x145x70mm, IP54, 44m3/h</t>
  </si>
  <si>
    <t>Termostat za ventilator  z 1NO kontaktom 2A, 230V, nastavljiv 0-60°C</t>
  </si>
  <si>
    <t xml:space="preserve">Avtomatska varovalka Icu=15 kA, 3-polna   30 A, karakteristika "C" </t>
  </si>
  <si>
    <t xml:space="preserve">Tripolno izbirno stikalo 1_0_2, 10 A, 230 V , Montaža na letev. Proizvajalec: Schneider elecrtic   (ali enakovredno)
</t>
  </si>
  <si>
    <t xml:space="preserve">Enopolno izbirno stikalo 1_0, 10 A, 230 V, montaža na letev,  Proizvajalec: Schneider elecrtic (ali enakovredno)
</t>
  </si>
  <si>
    <t xml:space="preserve">Frekvenčni regulator 3x400V AC, 4 kW, IP20,z grafičnim panelomo, vgrajenim RFI filtrom razred A1/B, Modbus RTU . TIP: VLT Proizvajalec: Danfoss (ali enakovredno)                                                      </t>
  </si>
  <si>
    <r>
      <t xml:space="preserve">Razširitveni digitalni vhodni modul
</t>
    </r>
    <r>
      <rPr>
        <sz val="9"/>
        <rFont val="Cambria"/>
        <family val="2"/>
      </rPr>
      <t>Tip: TM3DI16, Proizvajalec: Schneider ali enakovredno z naslednjimi lastnostmi:</t>
    </r>
    <r>
      <rPr>
        <b/>
        <sz val="9"/>
        <rFont val="Cambria"/>
        <family val="2"/>
      </rPr>
      <t xml:space="preserve">
</t>
    </r>
    <r>
      <rPr>
        <sz val="9"/>
        <rFont val="Cambria"/>
        <family val="2"/>
      </rPr>
      <t>število vhodov 16, 24 V DC</t>
    </r>
    <r>
      <rPr>
        <b/>
        <sz val="9"/>
        <rFont val="Cambria"/>
        <family val="2"/>
      </rPr>
      <t xml:space="preserve"> </t>
    </r>
    <r>
      <rPr>
        <sz val="9"/>
        <rFont val="Cambria"/>
        <family val="2"/>
        <charset val="238"/>
      </rPr>
      <t>sink/source</t>
    </r>
  </si>
  <si>
    <r>
      <rPr>
        <b/>
        <sz val="9"/>
        <color indexed="8"/>
        <rFont val="Calibri Light"/>
        <family val="2"/>
        <charset val="238"/>
      </rPr>
      <t>Razširitveni relejski izhodni modul</t>
    </r>
    <r>
      <rPr>
        <sz val="9"/>
        <color indexed="8"/>
        <rFont val="Calibri Light"/>
        <family val="2"/>
        <charset val="238"/>
      </rPr>
      <t xml:space="preserve">
Tip: TM3DQ16, Proizvajalec: Schneider ali enakovredno z naslednjimi lastnostmi:
število izhodov 16, 2A</t>
    </r>
  </si>
  <si>
    <r>
      <t xml:space="preserve">Razširitveni analogni vhodni modul
</t>
    </r>
    <r>
      <rPr>
        <sz val="9"/>
        <rFont val="Cambria"/>
        <family val="2"/>
      </rPr>
      <t>Tip: TM3AI8, Proizvajalec: Schneider ali enakovredno z naslednjimi lastnostmi:
število vhodov vsaj 8, 4 - 20 mA, 
8 AI, -10...10 V / 0…10 V / 0...20 mA / 4...20 mA, 12 bit</t>
    </r>
  </si>
  <si>
    <r>
      <rPr>
        <b/>
        <sz val="9"/>
        <color indexed="8"/>
        <rFont val="Cambria"/>
        <family val="2"/>
        <charset val="238"/>
      </rPr>
      <t>Dobava, namestitev, razširitev in izdelava kompletne potrebne programske in strojne opreme, z optimizacijo:</t>
    </r>
    <r>
      <rPr>
        <sz val="9"/>
        <color indexed="8"/>
        <rFont val="Cambria"/>
        <family val="2"/>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t>
    </r>
    <r>
      <rPr>
        <sz val="9"/>
        <color indexed="8"/>
        <rFont val="Cambria"/>
        <family val="2"/>
        <charset val="238"/>
      </rPr>
      <t xml:space="preserv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</si>
  <si>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r>
      <t xml:space="preserve">Industrijski 4G/LTE mobilni usmerjevalnik z Wifi dostopno točko
</t>
    </r>
    <r>
      <rPr>
        <sz val="9"/>
        <rFont val="Cambria"/>
        <family val="2"/>
      </rPr>
      <t>tip: RUT955, Proizvajalec: Teltonika ali enakovredno</t>
    </r>
    <r>
      <rPr>
        <b/>
        <sz val="9"/>
        <rFont val="Cambria"/>
        <family val="2"/>
      </rPr>
      <t xml:space="preserve">
</t>
    </r>
    <r>
      <rPr>
        <sz val="9"/>
        <rFont val="Cambria"/>
        <family val="2"/>
        <charset val="238"/>
      </rPr>
      <t>3</t>
    </r>
    <r>
      <rPr>
        <sz val="9"/>
        <rFont val="Cambria"/>
        <family val="2"/>
      </rPr>
      <t xml:space="preserve">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</si>
  <si>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r>
      <t xml:space="preserve">Zunanja antena 4G / 3G / GPRS / GSM / LTE / WCDMA / HSPA+
</t>
    </r>
    <r>
      <rPr>
        <sz val="9"/>
        <rFont val="Cambria"/>
        <family val="2"/>
        <charset val="238"/>
      </rPr>
      <t>tip: UNICOM P-30, prozvajalec: Iskra ali enakovredno</t>
    </r>
    <r>
      <rPr>
        <b/>
        <sz val="9"/>
        <rFont val="Cambria"/>
        <family val="2"/>
      </rPr>
      <t xml:space="preserve"> 
</t>
    </r>
    <r>
      <rPr>
        <sz val="9"/>
        <rFont val="Cambria"/>
        <family val="2"/>
      </rPr>
      <t>z ustreznim SMA priključkom na usmerjevalnik in zadostno dolžino kabla
zaščita IP67</t>
    </r>
  </si>
  <si>
    <r>
      <rPr>
        <b/>
        <sz val="9"/>
        <rFont val="Cambria"/>
        <family val="2"/>
        <charset val="238"/>
      </rPr>
      <t xml:space="preserve">Merilnik temperature zraka v prostoru
</t>
    </r>
    <r>
      <rPr>
        <sz val="9"/>
        <rFont val="Cambria"/>
        <family val="2"/>
        <charset val="238"/>
      </rPr>
      <t>komunikacijski priključek RS485 MODBUS RTU, merilno območje -30 do 40°C, vključno s celotnim montažno pritrdilnim materialom.
Tip:  TTP 311, proizvajalec: Eltratec ali enakovredno</t>
    </r>
  </si>
  <si>
    <r>
      <rPr>
        <b/>
        <sz val="9"/>
        <rFont val="Cambria"/>
        <family val="2"/>
      </rPr>
      <t xml:space="preserve">Merilnik tlaka v cevovodu
</t>
    </r>
    <r>
      <rPr>
        <sz val="9"/>
        <rFont val="Cambria"/>
        <family val="2"/>
      </rPr>
      <t>medij: voda, komunikacijski priključek RS485 ModBUS RTU, merilno območje 0-16 bar, zaščita IP68, cevni priključek R1/2, vključno s celotnim montažno pritrdilnim materialom.  
 Tip: PPI 140, proizvajlec: Eltratec ali enakovredno.</t>
    </r>
  </si>
  <si>
    <t xml:space="preserve">Instalacijske cevi PVC DN 32 in DN 25, znotraj in zunaj polirane (PRAHER, ali enakovredno), z zapornimi ventili                     
- cevi s fitingi skupne dolžine 15 m                                                 
Ventili so sestavljeni s PTFE sedežem in tesnili FPM
 - ventili 6 kosov
</t>
  </si>
  <si>
    <t>Vtičnica 400V, 16A- montaža v omaro</t>
  </si>
  <si>
    <t>Vtičnica 230V, 16A - montaža v omaro</t>
  </si>
  <si>
    <t>Nadometna vtičnica 230V, 16A   IP54</t>
  </si>
  <si>
    <r>
      <rPr>
        <b/>
        <sz val="9"/>
        <rFont val="Cambria"/>
        <family val="2"/>
        <charset val="238"/>
      </rPr>
      <t>Testiranje in dokumentiranje programske in strojne opreme in delovanja:</t>
    </r>
    <r>
      <rPr>
        <sz val="9"/>
        <rFont val="Cambria"/>
        <family val="2"/>
        <charset val="238"/>
      </rPr>
      <t xml:space="preserve">
na nivoju objekta za redno in izredno delovanje
na nivoju objekt-objekt (odvisna objekta) za redno in izredno delovanje
na nivoju CNS za redno in izredno delovanje</t>
    </r>
  </si>
  <si>
    <r>
      <rPr>
        <b/>
        <sz val="9"/>
        <rFont val="Cambria"/>
        <family val="2"/>
        <charset val="238"/>
      </rPr>
      <t>Predaja vseh izvornih kod, licenc, konfiguracijskih datotek in administrativnih gesel</t>
    </r>
    <r>
      <rPr>
        <sz val="9"/>
        <rFont val="Cambria"/>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</si>
  <si>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Cambria"/>
        <family val="2"/>
        <charset val="238"/>
      </rPr>
      <t>Izdelava tehnične dokumentacije v slovenskem jeziku</t>
    </r>
    <r>
      <rPr>
        <sz val="9"/>
        <rFont val="Cambria"/>
        <family val="2"/>
        <charset val="238"/>
      </rPr>
      <t xml:space="preserve">
v kompletu (PID) projekt izvedenega stanja.
Garancijske izjave.
Izdaja navodil o uporabi, obratovanju in vzdrževanju.</t>
    </r>
  </si>
  <si>
    <r>
      <rPr>
        <b/>
        <sz val="9"/>
        <rFont val="Cambria"/>
        <family val="2"/>
        <charset val="238"/>
      </rPr>
      <t>Izvedba instalacijskih meritev</t>
    </r>
    <r>
      <rPr>
        <sz val="9"/>
        <rFont val="Cambria"/>
        <family val="2"/>
        <charset val="238"/>
      </rPr>
      <t xml:space="preserve">
električne instalacije ter izdaja merilnih protokolov o uspešno opravljenih meritvah.</t>
    </r>
  </si>
  <si>
    <r>
      <rPr>
        <b/>
        <sz val="9"/>
        <rFont val="Cambria"/>
        <family val="2"/>
        <charset val="238"/>
      </rPr>
      <t>Zagon, testiranje in optimizacija objekta</t>
    </r>
    <r>
      <rPr>
        <sz val="9"/>
        <rFont val="Cambria"/>
        <family val="2"/>
        <charset val="238"/>
      </rPr>
      <t xml:space="preserve">
Spuščanje v pogon, test delovanja in nastavitve parametrov (v PLC-ju, zaščitnih napravah, merilnikih …)</t>
    </r>
  </si>
  <si>
    <r>
      <rPr>
        <b/>
        <sz val="9"/>
        <rFont val="Cambria"/>
        <family val="2"/>
        <charset val="238"/>
      </rPr>
      <t xml:space="preserve">Izobraževanje uporabnika 
</t>
    </r>
    <r>
      <rPr>
        <sz val="9"/>
        <rFont val="Cambria"/>
        <family val="2"/>
        <charset val="238"/>
      </rPr>
      <t>v slovenskem jeziku na sedežu podjetja upravljavca sistema B.
Nastavitve, upravljanje sistema</t>
    </r>
  </si>
  <si>
    <t xml:space="preserve">Merilna omara po zahtevah el. en. soglasja Omara, poliester, 590x1065x322mm s podstavkom. (Direktni trifazni števec energije z dajalnikom impulza tip ZMF120ABTFS2 ali  MT381-D1A52 z odklopnikom ZO350-D1 ali ZMXI320CPU1L1D3 ,- komunikator AD_FP91D140   , varovalčni ločilnik NV250 3x 35A , prenapetostna zaščita (B), priključne sponke , GIP letev, ključavnica, tipka za za ponovni vklop merilne naprave, drobni in vezni material) </t>
  </si>
  <si>
    <t>(Pred izvedbo,  opremo uskladiti z distributerjem - Elektro Maribor)</t>
  </si>
  <si>
    <t>Izvedba priklopa NN kabla v obstoječi PSO. Priključek s strani elektrodistributerja, stikalne manipulacije.</t>
  </si>
  <si>
    <t>Dobava in montaža kabel NAY2Y-J 4x150mm2+ 1,5 mm2</t>
  </si>
  <si>
    <t xml:space="preserve">Dobava in montaža kabla NYY-J 5x6 mm2. </t>
  </si>
  <si>
    <t>Pritrditev kabla na mostu čez - potok - zaščitna cev 17m . Pritrdilni material.</t>
  </si>
  <si>
    <t xml:space="preserve">     Vodovodno omrežje Filovci - SMT-4_1 - primar</t>
  </si>
  <si>
    <t>Vozlišče na NL DN150 - ODCEP  PE Ø63:</t>
  </si>
  <si>
    <t>Vozlišče na NL DN150 - ODCEP  PE Ø110:</t>
  </si>
  <si>
    <t>PRIKLJUČEK PE Ø32 na NL DN150</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</si>
  <si>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stremenom DN150 + tel.vgradna,grt.</t>
    </r>
  </si>
  <si>
    <t xml:space="preserve">     Vodovodno omrežje Filovci SMT-4_2 - primar</t>
  </si>
  <si>
    <t>zaščitna cev Ø100 za PE Ø32 - Ø63</t>
  </si>
  <si>
    <r>
      <t xml:space="preserve">PE 100 PN 16 </t>
    </r>
    <r>
      <rPr>
        <sz val="10"/>
        <rFont val="Arial"/>
        <family val="2"/>
        <charset val="238"/>
      </rPr>
      <t>Ø</t>
    </r>
    <r>
      <rPr>
        <sz val="10"/>
        <color indexed="8"/>
        <rFont val="Arial"/>
        <family val="2"/>
        <charset val="238"/>
      </rPr>
      <t>125 RC PROTECT SDR11 PN16</t>
    </r>
  </si>
  <si>
    <r>
      <t xml:space="preserve">PE 100 PN 16 </t>
    </r>
    <r>
      <rPr>
        <sz val="10"/>
        <rFont val="Arial"/>
        <family val="2"/>
        <charset val="238"/>
      </rPr>
      <t>Ø</t>
    </r>
    <r>
      <rPr>
        <sz val="10"/>
        <color indexed="8"/>
        <rFont val="Arial"/>
        <family val="2"/>
        <charset val="238"/>
      </rPr>
      <t>125 RC PROTECT SDR11 PN16         z dodanim aluminijastim slojem</t>
    </r>
  </si>
  <si>
    <r>
      <t xml:space="preserve">PE 100 PN 16 </t>
    </r>
    <r>
      <rPr>
        <sz val="10"/>
        <rFont val="Arial"/>
        <family val="2"/>
        <charset val="238"/>
      </rPr>
      <t>Ø</t>
    </r>
    <r>
      <rPr>
        <sz val="10"/>
        <color indexed="8"/>
        <rFont val="Arial"/>
        <family val="2"/>
        <charset val="238"/>
      </rPr>
      <t>110 RC PROTECT SDR11 PN16</t>
    </r>
  </si>
  <si>
    <r>
      <t xml:space="preserve">PE 100 PN 16 </t>
    </r>
    <r>
      <rPr>
        <sz val="10"/>
        <rFont val="Arial"/>
        <family val="2"/>
        <charset val="238"/>
      </rPr>
      <t>Ø</t>
    </r>
    <r>
      <rPr>
        <sz val="10"/>
        <color indexed="8"/>
        <rFont val="Arial"/>
        <family val="2"/>
        <charset val="238"/>
      </rPr>
      <t>110 RC PROTECT SDR11 PN16                 z dodanim aluminijastim slojem</t>
    </r>
  </si>
  <si>
    <r>
      <t xml:space="preserve">PE 100 PN 16 </t>
    </r>
    <r>
      <rPr>
        <sz val="10"/>
        <rFont val="Arial"/>
        <family val="2"/>
        <charset val="238"/>
      </rPr>
      <t>Ø</t>
    </r>
    <r>
      <rPr>
        <sz val="10"/>
        <color indexed="8"/>
        <rFont val="Arial"/>
        <family val="2"/>
        <charset val="238"/>
      </rPr>
      <t>90 RC PROTECT SDR11 PN16</t>
    </r>
  </si>
  <si>
    <r>
      <t xml:space="preserve">PE 100 PN 16 </t>
    </r>
    <r>
      <rPr>
        <sz val="10"/>
        <rFont val="Arial"/>
        <family val="2"/>
        <charset val="238"/>
      </rPr>
      <t>Ø</t>
    </r>
    <r>
      <rPr>
        <sz val="10"/>
        <color indexed="8"/>
        <rFont val="Arial"/>
        <family val="2"/>
        <charset val="238"/>
      </rPr>
      <t>90 RC PROTECT SDR11 PN16           z dodanim aluminijastim slojem</t>
    </r>
  </si>
  <si>
    <r>
      <t xml:space="preserve">PE 100 PN 16 </t>
    </r>
    <r>
      <rPr>
        <sz val="10"/>
        <rFont val="Arial"/>
        <family val="2"/>
        <charset val="238"/>
      </rPr>
      <t>Ø63</t>
    </r>
    <r>
      <rPr>
        <sz val="10"/>
        <color indexed="8"/>
        <rFont val="Arial"/>
        <family val="2"/>
        <charset val="238"/>
      </rPr>
      <t xml:space="preserve"> RC PROTECT SDR11 PN16</t>
    </r>
  </si>
  <si>
    <r>
      <t xml:space="preserve">PE 100 PN 16 </t>
    </r>
    <r>
      <rPr>
        <sz val="10"/>
        <rFont val="Arial"/>
        <family val="2"/>
        <charset val="238"/>
      </rPr>
      <t>Ø63</t>
    </r>
    <r>
      <rPr>
        <sz val="10"/>
        <color indexed="8"/>
        <rFont val="Arial"/>
        <family val="2"/>
        <charset val="238"/>
      </rPr>
      <t xml:space="preserve"> RC PROTECT SDR11 PN16           z dodanim aluminijastim slojem</t>
    </r>
  </si>
  <si>
    <r>
      <t xml:space="preserve">Vozlišče nadzemni hidrant na </t>
    </r>
    <r>
      <rPr>
        <b/>
        <sz val="10"/>
        <rFont val="Calibri"/>
        <family val="2"/>
        <charset val="238"/>
      </rPr>
      <t>Ø</t>
    </r>
    <r>
      <rPr>
        <b/>
        <sz val="10"/>
        <rFont val="Arial CE"/>
        <charset val="238"/>
      </rPr>
      <t>110:</t>
    </r>
  </si>
  <si>
    <t>Vozlišče nadzemni hidrant na Ø125:</t>
  </si>
  <si>
    <t>Vozlišče PH-izpust na Ø110:</t>
  </si>
  <si>
    <t>Vozlišče zračnik na Ø63:</t>
  </si>
  <si>
    <t>Vozlišče izpust na Ø63:</t>
  </si>
  <si>
    <r>
      <t xml:space="preserve">GARNITURA ZA IZPIRANJE DN50, RD=1,00m komplet z priključnim kolenom 90° in ISO spojko </t>
    </r>
    <r>
      <rPr>
        <sz val="10"/>
        <rFont val="Calibri"/>
        <family val="2"/>
        <charset val="238"/>
      </rPr>
      <t>Ø</t>
    </r>
    <r>
      <rPr>
        <sz val="10"/>
        <rFont val="Arial"/>
        <family val="2"/>
        <charset val="238"/>
      </rPr>
      <t xml:space="preserve">63 </t>
    </r>
  </si>
  <si>
    <t>Vozlišče izpust na Ø90:</t>
  </si>
  <si>
    <t>Vozlišče izpust na Ø125:</t>
  </si>
  <si>
    <r>
      <t xml:space="preserve">PE redukcija </t>
    </r>
    <r>
      <rPr>
        <sz val="10"/>
        <color indexed="8"/>
        <rFont val="Calibri"/>
        <family val="2"/>
        <charset val="238"/>
      </rPr>
      <t>Ø</t>
    </r>
    <r>
      <rPr>
        <sz val="10"/>
        <color indexed="8"/>
        <rFont val="Arial"/>
        <family val="2"/>
        <charset val="238"/>
      </rPr>
      <t>125/63 SDR11 PN16</t>
    </r>
  </si>
  <si>
    <t>Vozlišče zračnik na Ø125:</t>
  </si>
  <si>
    <t>Vozlišče na PE Ø110 - ODCEP  PE Ø63:</t>
  </si>
  <si>
    <t>Vozlišče na PE Ø110 - ODCEP  PE Ø110:</t>
  </si>
  <si>
    <t>3.2.12</t>
  </si>
  <si>
    <t>Vozlišče na PE Ø90 - ODCEP  PE Ø63:</t>
  </si>
  <si>
    <t>NAVRTALNI ZASUN ZA ODCEPE Ø50-63, z vrtljivim kolenom z ISO spojko Ø63 in dvod.oklepom Ø90+ tel.vgradna,grt.</t>
  </si>
  <si>
    <t>3.2.13</t>
  </si>
  <si>
    <t>Vozlišče na PE Ø125 - ODCEP  PE Ø90:</t>
  </si>
  <si>
    <t>3.2.14</t>
  </si>
  <si>
    <t>Vozlišče na PE Ø125 - ODCEP  PE Ø125:</t>
  </si>
  <si>
    <t>3.2.15</t>
  </si>
  <si>
    <t>Vozlišče na PE Ø125 - ODCEP  PE Ø63:</t>
  </si>
  <si>
    <t>3.2.16</t>
  </si>
  <si>
    <t>Vozlišče na PE Ø63 - ODCEP  PE Ø63:</t>
  </si>
  <si>
    <t>NAVRTALNI ZASUN ZA ODCEPE Ø50-63, z vrtljivim kolenom z ISO spojko Ø63 in dvod.oklepom Ø63 + tel.vgradna,grt.</t>
  </si>
  <si>
    <t>3.2.17</t>
  </si>
  <si>
    <t>3.2.18</t>
  </si>
  <si>
    <t>Prehod iz Ø125 na Ø63:</t>
  </si>
  <si>
    <t>3.2.19</t>
  </si>
  <si>
    <t>Prehod iz Ø125 na Ø110:</t>
  </si>
  <si>
    <r>
      <t xml:space="preserve">PE redukcija </t>
    </r>
    <r>
      <rPr>
        <sz val="10"/>
        <color indexed="8"/>
        <rFont val="Calibri"/>
        <family val="2"/>
        <charset val="238"/>
      </rPr>
      <t>Ø</t>
    </r>
    <r>
      <rPr>
        <sz val="10"/>
        <color indexed="8"/>
        <rFont val="Arial"/>
        <family val="2"/>
        <charset val="238"/>
      </rPr>
      <t>125/110 SDR11 PN16</t>
    </r>
  </si>
  <si>
    <t>3.2.20</t>
  </si>
  <si>
    <t>Linijski zasun na Ø125:</t>
  </si>
  <si>
    <t>ZASUN DN100 bajonetni (obojka/obojka) + tel.vgradna,grt.</t>
  </si>
  <si>
    <t>3.2.21</t>
  </si>
  <si>
    <t>3.2.22</t>
  </si>
  <si>
    <t>Prečkanje vodotoka z Ø125:</t>
  </si>
  <si>
    <t>3.2.23</t>
  </si>
  <si>
    <t>Prečkanje vodotoka z Ø110:</t>
  </si>
  <si>
    <t>3.2.24</t>
  </si>
  <si>
    <t>Prečkanje vodotoka z Ø63:</t>
  </si>
  <si>
    <t>3.2.25</t>
  </si>
  <si>
    <t>lomi na cevovodu PE Ø90</t>
  </si>
  <si>
    <t>lok elektrovarilni 90°  Ø90 SDR 11 PN16</t>
  </si>
  <si>
    <t>3.2.26</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</si>
  <si>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Ø125 + tel.vgradna,grt.</t>
    </r>
  </si>
  <si>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Ø110 + tel.vgradna,grt.</t>
    </r>
  </si>
  <si>
    <t>PRIKLJUČEK PE Ø32 na PE Ø90</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</si>
  <si>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Ø90 + tel.vgradna,grt.</t>
    </r>
  </si>
  <si>
    <t xml:space="preserve">     Vodovodno omrežje Filovci - črpališče</t>
  </si>
  <si>
    <t>Pri formiranju enotne cene za posamezna dela je potrebno upoštevati vse potrebne prenose in materiale za izdelavo posameznih postavk, kot tudi potrebne odre , razopažanje , potrebno podpiranje ter pomožna dela.</t>
  </si>
  <si>
    <t>V enotne cene je zajeti potrebne odre.</t>
  </si>
  <si>
    <t>Naprava vertikalne hidroizolacije robov talne  plošče z membransko izolacijo iz iz bele sintetične folije, na bazi HDPE s posebnim patentiranim nanosom, ki v kontaktu s svežim betonom zreagira v trajno elastično lepljiv spoj z visoko adhezijsko afiniteto.</t>
  </si>
  <si>
    <t xml:space="preserve">Naprava vertiklane  hidroizolacije sten v izvedbi  : 1x hladni premaz z ibitolom in  1sloj varjene  lepenke deb. 4 mm ter zaščita z 3 cm styrodurjem XPS ali podobnim materialom </t>
  </si>
  <si>
    <t xml:space="preserve">Kompletna izdelava fasade izolacijske plošče iz ekspandiranega polistirena  deb. 10cm lepljene na podlago in sidrane s sidrnimi elementi v steno,steklena mreža, lepljena na stiropor , izravnalni sloj,  zaključni silikatni omet (npr. JUB - zrnca deb. 2 mm </t>
  </si>
  <si>
    <t xml:space="preserve">Dobava in montaža dvokrilnih vrat bele barve, izdelanih iz Alu profilov s prekinjenim toplotnim mostom (k=1,6 W/m2K), komplet s polnim krilom in podbojem, nerjavečo kljuko, vgradnim zračnikom, ključavnico in samozapiralom, svetla odprtina vrat 290/255 cm </t>
  </si>
  <si>
    <t>Izdelava, dobava in montaža kovinske varnostne ograje iz nerjavečega materiala, višine do 1,1 m, komplet z vsem pritrdilnim materialom</t>
  </si>
  <si>
    <t>CEVOVOD NL DN150 (bypass)</t>
  </si>
  <si>
    <t>E-kos DN 150 sidrni razstavljivi spoj</t>
  </si>
  <si>
    <t>F-kos DN 150 sidrni razstavljivi spoj</t>
  </si>
  <si>
    <t xml:space="preserve">FF  DN150 INOKS+nav. prirob. </t>
  </si>
  <si>
    <t>ZASUN DN150 + elektromotorni pogon + adapter za namestitev
Elektro pogon 3-fazni 3x400 VAC, s krmilno enoto Auma Aumatic 01.2 ali enakovredno.</t>
  </si>
  <si>
    <t>T-kos DN150/100</t>
  </si>
  <si>
    <t>Prir. nepovratni ventil DN150</t>
  </si>
  <si>
    <t>Montažno - demontažni kos DN150</t>
  </si>
  <si>
    <t>gumi kompenzator DN100</t>
  </si>
  <si>
    <t>Pretočna ratezna posoda V=100l komplet z vsem spojnim in regulacijskim materialom</t>
  </si>
  <si>
    <t>TLAČNI CEVOVOD NL DN100</t>
  </si>
  <si>
    <t>POPIS ELEKTRO DEL - ČRP. FILOVCI</t>
  </si>
  <si>
    <t>D.1</t>
  </si>
  <si>
    <t xml:space="preserve">Stikalni blok izdelan iz pločevine dimenzije 1000 x 2000 x 400 mm  na 100 mm podstavku. Omara je z vrati, s ključavnico, z montažno ploščo in/ali nosilci opreme, s predalom za načrte, dno omare je zaprto.Stikalni blok je v zaščiti IP 55, barva RAL7032 za </t>
  </si>
  <si>
    <t>Merilni inštrument - multimeter 
tip: METSEPM3255, proizvajalec: Schneider ali enakovredno
multitarifni
število vzorcev na cikel: 32
nazivna napetost: 100...300 V DC, 100...277 V AC, 173...480 V AC
Tip meritev: tok, napetost (po fazi in povprečje), delovn</t>
  </si>
  <si>
    <t>Tripolni motorski odklopnik,  za nazivno napetost 690 V in tok 4 A, prekinitvene moči  50 kA, z zaščitno napravo za zaščito pred kratkim stikom in preobremenitvijo, I&gt;... 6-10A , I&gt;&gt;...13*Ir  s pomožnimi kontakti signalizacije preobremenitve in kratkega s</t>
  </si>
  <si>
    <t>Tripolni motorski odklopnik,  za nazivno napetost 690 V in tok 6 A, prekinitvene moči  50 kA, z zaščitno napravo za zaščito pred kratkim stikom in preobremenitvijo, I&gt;... 6-10A , I&gt;&gt;...13*Ir  s pomožnimi kontakti signalizacije preobremenitve in kratkega s</t>
  </si>
  <si>
    <t xml:space="preserve">Frekvenčni regulator 3x400V AC, 4 kW, IP20,z grafičnim panelomo, vgrajenim RFI filtrom razred A1/B, Modbus RTU .  TIP: VLT Proizvajalec: Danfoss (ali enakovredno)                                                      </t>
  </si>
  <si>
    <t>Nadometni javljalnik gibanja 360°
TIP: Infra Garde 360, proizvajalec: Zublin ali enakovredeno
javljalnik se veže na krmilnik za potrebe proženja alarma v primeru gibanja
napajanje: 230 V
relejski izhod
notranja uporaba
zaščita vsaj IP44
kot pokritosti: 36</t>
  </si>
  <si>
    <t>38</t>
  </si>
  <si>
    <t>39</t>
  </si>
  <si>
    <t>D.2</t>
  </si>
  <si>
    <r>
      <t xml:space="preserve">Industrijski 4G/LTE mobilni usmerjevalnik z Wifi dostopno točko
</t>
    </r>
    <r>
      <rPr>
        <sz val="9"/>
        <rFont val="Cambria"/>
        <family val="2"/>
      </rPr>
      <t>tip: RUT955, Proizvajalec: Teltonika ali enakovredno</t>
    </r>
    <r>
      <rPr>
        <b/>
        <sz val="9"/>
        <rFont val="Cambria"/>
        <family val="2"/>
      </rPr>
      <t xml:space="preserve">
</t>
    </r>
    <r>
      <rPr>
        <sz val="9"/>
        <rFont val="Cambria"/>
        <family val="2"/>
        <charset val="238"/>
      </rPr>
      <t>3</t>
    </r>
    <r>
      <rPr>
        <sz val="9"/>
        <rFont val="Cambria"/>
        <family val="2"/>
      </rPr>
      <t xml:space="preserve"> x 10/100 LAN vhod
1 x 10/100 WAN vhod
WiFi dostopna točka (2.4GHz 802.11b/g/n)
vgrajen VPN-usmerjevalnik   (IPSec/SSL/GRE/L2TP/PPTP)
Vgr</t>
    </r>
  </si>
  <si>
    <t>D.3</t>
  </si>
  <si>
    <r>
      <rPr>
        <sz val="9"/>
        <rFont val="Cambria"/>
        <family val="2"/>
        <charset val="238"/>
      </rPr>
      <t>Merilnik temperature zraka v prostoru
komunikacijski priključek RS485 MODBUS RTU, merilno območje -30 do 40°C, vključno s celotnim montažno pritrdilnim materialom.
Tip:  TTP 311, proizvajalec: Eltratec ali enakovredno</t>
    </r>
  </si>
  <si>
    <r>
      <rPr>
        <sz val="9"/>
        <rFont val="Cambria"/>
        <family val="2"/>
      </rPr>
      <t>Merilnik tlaka v cevovodu
medij: voda, komunikacijski priključek RS485 ModBUS RTU, merilno območje 0-16 bar, zaščita IP68, cevni priključek R1/2, vključno s celotnim montažno pritrdilnim materialom.  
 Tip: PPI 140, proizvajlec: Eltratec ali enakovredno.</t>
    </r>
  </si>
  <si>
    <t>D.4</t>
  </si>
  <si>
    <t>D.5</t>
  </si>
  <si>
    <t>D.6</t>
  </si>
  <si>
    <t>D.7</t>
  </si>
  <si>
    <r>
      <rPr>
        <b/>
        <sz val="9"/>
        <rFont val="Cambria"/>
        <family val="2"/>
        <charset val="238"/>
      </rPr>
      <t>Predaja vseh izvornih kod, licenc, konfiguracijskih datotek in administrativnih gesel</t>
    </r>
    <r>
      <rPr>
        <sz val="9"/>
        <rFont val="Cambria"/>
        <family val="2"/>
        <charset val="238"/>
      </rPr>
      <t xml:space="preserve"> 
nezaščitene, z možnostjo urejanja za PLC krmilnik, router, SCADA, Historian, Win-911, komunikacijski driver in vso ostalo povezano programsko in strojno opremo.
Prenos </t>
    </r>
  </si>
  <si>
    <t>D.8</t>
  </si>
  <si>
    <t>Merilna omara po zahtevah el. en. soglasja Omara, poliester, 590x1065x322mm s podstavkom. (Direktni trifazni števec energije z dajalnikom impulza tip ZMF120ABTFS2 ali  MT381-D1A52 z odklopnikom ZO350-D1 ali ZMXI320CPU1L1D3 ,- komunikator AD_FP91D140   , v</t>
  </si>
  <si>
    <t>Priklop   kabla NA2XY-J 4x70mm2 v
omari</t>
  </si>
  <si>
    <t xml:space="preserve">Priklop   kabla 5x6mm2 v  omari. </t>
  </si>
  <si>
    <t>Dobava in vgradnja rebrastih cevi STIGMAFLEX za izdelavo kabelske kanalizacije, 1x ɸ110 mm,  na globini 0.8m (vrh zgornjega roba cevi), izkop v zemljišču I. do III. ktg., dobava peska (granul. 3-7 mm) in zaščita cevi s peskom v sloju 10 cm nad cevmi, zasi</t>
  </si>
  <si>
    <t xml:space="preserve">Priklop kabla NA2XY-J 4x70mm2 v obstoječi PS-PRMO omari. </t>
  </si>
  <si>
    <t>Strojni izkop gradbene jame v terenu III. ktg. do določene nivelete s točnostjo ±10cm, z odvozom materiala do 30.0 m od roba gradbene jame oz. odvozom materiala na stalno deponijo; globina izkopa po podatkih opažnih načrtov. Izkop izvršiti skladno s predpisi o varstvu pri delu.</t>
  </si>
  <si>
    <t>Strojno nakladanje ob izkopu, transport izkopanega materiala na stalno deponijo gradbenega materiala v oddaljenosti do 20 km, razkladanje in razgrinjanje s plačilom vseh taks za deponiranje.</t>
  </si>
  <si>
    <t>Razpiranje gradbene jame na mestih, kjer nastopa možnost zrušenja bokov pri močnejšem zemeljskem pritisku, glede na stabilnost brežin, globino gradbene jame in bližino prometne obtežbe. Razpirati je potrebno povsod, kjer to zahtevajo predpisi o varstvu pri delu.</t>
  </si>
  <si>
    <t xml:space="preserve">Komplet izdelava peščene posteljice gradbene  jame (tampon) vodohrana iz nekoherentnega materiala do deb. 30cm (pesek/gramoz z zrnom do max. 8mm brez ostrih robov). Valjanje in nabijanje peščene posteljice pod objektom do zbitosto 50 Mpa. </t>
  </si>
  <si>
    <t>Strojno zasipavanje gradbene jame vodohrana z mešanico materiala iz izkopa in gramoza 0/64mm, strojno nabijanje v plasteh po 20cm, do nosilnosti Ev2&gt;60MPa na planumu tampona do kote terena oz kote razplaniranja humusa. Upoštevano razmerje 40/60% izkop/gramoz. Ustreznost uporabe izkopanega materiala odobri geomehanski nadzor.</t>
  </si>
  <si>
    <t>Vgrajevanje nasipa vodohrana v plasteh po 30 cm v projekt. nagibih (1:1), z ročnim razprostiranjem, komprimiranjem ter grobo izravnavo brežin v predvidenem nagibu;</t>
  </si>
  <si>
    <t>Razsip in zasutje z izkopanim humusom na mestih, kjer je bil humus izkopan v debelini 20 cm in širini 1,5 m in zatravitev</t>
  </si>
  <si>
    <t>Razplaniranje odvečnega materiala po depresijah v okolici VH</t>
  </si>
  <si>
    <t>Humuziranje brežin zasipa in okolice rezervoarja z zatravitvijo in stabiliziranjem brežin po potrebi (biotorkret) !</t>
  </si>
  <si>
    <t>B.1.13</t>
  </si>
  <si>
    <t>Izvedba meritev nosilnosti in zgoščenosti nosilnega tampona z izdajo atesta (povozne površine). Št. meritev</t>
  </si>
  <si>
    <t>B.1.14</t>
  </si>
  <si>
    <t>Dobava in vgraditev peska/lomljenec 0-32 mm za izvedbo gramoziranega platoja (dovoz) dim. 2,0 m x 9,0 m; strojno nabijanje v plasteh po 20 cm.</t>
  </si>
  <si>
    <t>B.1.15</t>
  </si>
  <si>
    <t>B.1.16</t>
  </si>
  <si>
    <t xml:space="preserve">Čiščenje terena po končanih delih in vzpostavitev dovozne makadamske ceste in okolice v prvotno stanje.
</t>
  </si>
  <si>
    <t>Dobava in vgrajevanje betona v nearmirane konstrukcije preseka do 0,10 m3/m2-m; z vsemi pomožnimi deli in prenosi do mesta vgraditve.
~podložni beton C 12/15_XC deb. 10 cm, zaščitni beton C 12/15_XC deb. 5 cm (pod temeljno ploščo) ter podložni beton za postavitev hidropostaje, dim. 230x50x40 cm</t>
  </si>
  <si>
    <t xml:space="preserve">Betoniranje naklonskega betona C12/15_XC2 </t>
  </si>
  <si>
    <t xml:space="preserve">Betoniranje dna, sten, plošč vodohrana z betonom C25/30_XC2_XD2_PV-II </t>
  </si>
  <si>
    <t>Betoniranje zunanjih podpornih zidov z betonom C 25/30_XD1_XF2</t>
  </si>
  <si>
    <t>Izvedba gladkega opaža za ravno AB ploščo deb. do 25 cm, s podporami višine 2 do 3 m; s prenosom, razopaženjem in vsemi pomožnimi deli.</t>
  </si>
  <si>
    <t>Izvedba gladkega dvostranskega opaža za ravne bet. stene s prenosom materiala do mesta vgraditve, razopaženjem in vsemi pomožnimi deli. Upoštevati je potrebno odprtine v stenah za montažo cevovoda</t>
  </si>
  <si>
    <t>Izdelava lahkega premičnega delovnega odra višine 2 - 4 m (obračun po tlorisni površini).</t>
  </si>
  <si>
    <t>Dodatna dela pri zatesnitvi prehodov cevi skozi betonske stene (glej projekt) način preboja oz. zatesnitve uskladi izvajalec z nadzornim organom</t>
  </si>
  <si>
    <t>Hidroizolacija krovne in talne plošče z  bitumenskimi premazi (ibitol + varjeni izotekt) (ali 1 x izotekt, vobitex ipd.)</t>
  </si>
  <si>
    <t xml:space="preserve">Vertikalna hidroizolacija zunanjih nevidnih zidov (ibitol+varjeni izotekt) </t>
  </si>
  <si>
    <t>Toplotna izolacija objekta s ekstrudiranim polistirenom debeline min 5cm in začitnim PE filcem oz. PVC hidroizolacijsko folijo</t>
  </si>
  <si>
    <t>Nabava in vgraditev vodotesnega dilatacijskega traku v delovne stike talne plošče in sten vodnih celic v vodohranu; s čiščenjem in obdelavo bet. površin stika</t>
  </si>
  <si>
    <t>Pleskanje notranjih betonskih sten objekta ter stropa in korita za izpust, z barvo za beton in predhodni namaz z emulzijo. V ceno je všteta nabava emulzije in barve ter transport in čiščenje po končanem delu.</t>
  </si>
  <si>
    <t>Notranja obloga talne in stropne plošče ter sten s kombi ploščami po projektu in fini omet s cementno malto</t>
  </si>
  <si>
    <t>Premaz zunanjih vidnih betonskih površin vodohrana (betonski premaz zunanjih podpornih zidov)</t>
  </si>
  <si>
    <t>Izdelava in vgraditev vstopnih kovinskih lestev iz JE D1.5"; nerjaveče jeklo, pri prehodu v vodno celico.</t>
  </si>
  <si>
    <t xml:space="preserve">Nabava in vgradnja kovinskih ALU vhodnih vrat po projektu s toplotno izolacijo, miniziranjem in pleskanjem, komplet z izdelavo prezračevalne odprtine 20x50 cm v spodnjem delu vrat, odprtina zaščitena s kovinsko mrežo iz nerjavečega jekla proti mrčesu (dim. vrat 105 x 200 cm)
</t>
  </si>
  <si>
    <t>Izdelava zaključne kape zidu nad krovno ploščo iz barvane pločevine šir. 0.75 m in letev prereza 5/5 in 3/5 po projektu</t>
  </si>
  <si>
    <t>Izdelava, sidranje in vbetoniranje pritrdilnih kljuk v plošče objekta</t>
  </si>
  <si>
    <t>Strgalo za čevlje pri vhodu, vgradnja ob pripravi podlage vstopnega podesta, točkovni betonski temelj (beton in pripravo vključiti v ceno).</t>
  </si>
  <si>
    <t>F-kos NL DN150</t>
  </si>
  <si>
    <t>FFR  NL DN150/100</t>
  </si>
  <si>
    <t>FF-kos DN100/800mm s sidrno prirobnico - INOX</t>
  </si>
  <si>
    <t>Zasun EV F4 NL DN100 s kolesom</t>
  </si>
  <si>
    <t>Koleno DN100/90° - INOX</t>
  </si>
  <si>
    <t xml:space="preserve">Manometer 1/2", R 60mm, (0÷25 bar) </t>
  </si>
  <si>
    <t>T-kos DN100/100 - INOX</t>
  </si>
  <si>
    <t>ZASUN DN100 + elektromotorni pogon + adapter za namestitev
Elektro pogon 3-fazni 3x400 VAC, s krmilno enoto Auma Aumatic 01.2. ali enakovredno .</t>
  </si>
  <si>
    <t>Sesalni koš DN100 - INOX</t>
  </si>
  <si>
    <t>FF-kos DN100/600mm s sidrno prirobnico - INOX</t>
  </si>
  <si>
    <t>Krogelna pipa R 3/4"</t>
  </si>
  <si>
    <t>Protipovratni ventil NL DN100</t>
  </si>
  <si>
    <t>Gumi kompenzator DN100</t>
  </si>
  <si>
    <t>Avtomatski odzračevalni ventil NL DN80</t>
  </si>
  <si>
    <t>T-kos DN100/50 - INOX</t>
  </si>
  <si>
    <t>Krogelni ventil R 1 "</t>
  </si>
  <si>
    <t>Ekspanzijska posoda (V=300 l), v kompletu z zapornimi organi ter drobnim in tesnilnim materialom</t>
  </si>
  <si>
    <t>Hidravlični regulator tlaka NL DN100, pn=16bar</t>
  </si>
  <si>
    <t>Prelivni kos DN100 - INOX</t>
  </si>
  <si>
    <t>Koleno DN150/90° - INOX</t>
  </si>
  <si>
    <t>T-kos DN150/150 - INOX</t>
  </si>
  <si>
    <t>F-kos DN100/500mm s sidrno prirobnico - INOX</t>
  </si>
  <si>
    <t>Enojna multijoint spojka NL DN150</t>
  </si>
  <si>
    <t>Koleno DN160/90° - PVC</t>
  </si>
  <si>
    <t>Y - kos DN160/110/45° - PVC</t>
  </si>
  <si>
    <t>Koleno DN160/45° - PVC</t>
  </si>
  <si>
    <t>Koleno DN110/45° - PVC</t>
  </si>
  <si>
    <t>Varilna prirobnica DN50 - INOX</t>
  </si>
  <si>
    <t>Varilna prirobnica DN100 - INOX</t>
  </si>
  <si>
    <t>Varilna prirobnica DN150 - INOX</t>
  </si>
  <si>
    <t>Vodovodna cev DN100 iz nerjavečega jekla (INOX), standard EN1127</t>
  </si>
  <si>
    <t>Vodovodna cev DN150 iz nerjavečega jekla (INOX), standard EN1127</t>
  </si>
  <si>
    <t>Kanalizacijska cev PVC DN160</t>
  </si>
  <si>
    <t>Kanalizacijska cev PVC DN110</t>
  </si>
  <si>
    <t>m4</t>
  </si>
  <si>
    <t>INOX talni sifon DN110</t>
  </si>
  <si>
    <t>Dezinfekcija</t>
  </si>
  <si>
    <t xml:space="preserve">Mikroprocesorska enota namenjena avtomatskemu doziranju natrijevega hipoklorita v vodo (kot na primer AQUAControler tip M 5500 C, Controlmatik ABW, ali enakovredno).
Enota krmili dozirno črpalko. Krmiljenje dozirne črpalke poteka na osnovi podatkov dobljenih od merilnika pretoka vode in analizatorja prostega klora v vodi. 
Enota ima štiri tokovne vhode (4 x 4-20mA) in dva tokovna izhoda (2 x 4-20mA). 
Enota ima štiri digitalne vhode 24VDC in štiri relejske izhode. 
Napajanje je 230 VAC.
Na enoti lahko poljubno izbiramo koriščenje izhodov in vhodov. 
Za krmiljenje dozirne črpalke se uporablja tokovni izhod. 
Za izhod o odprtosti regulatorja se uporablja tokovni izhod.
Doziranje se izvaja na osnovi PID regulacije.
Preko tokovnih in digilalnih vhodov je možno vklapljati in izklapljati klorinacijo ali nastavljati željene vrednosti prostega klora. 
Enota omogoča priklop na CNS preko digitalnih in tokovnih izhodov.                                                                                                                                          
</t>
  </si>
  <si>
    <t xml:space="preserve">Dozirni komplet:                                                                                  
- samoodzračevalna dozirna črpalka kapacitete 0.9l/h  
- sesalna sonda z dvostopenjskim stikalom
- multifunkcijski protipovratni ventil za preprečevanje hidravlične natege   
- dozirni ventil z možnostjo demontaže pod tlakom  
- dozirno cev dimenzije 6/4
- signalni kabel  
- konzola za montažo dozirne črpalke
- kemikalija za zagon z ustrezno embalažo in lovilno posodo  
Najmanjši impulz je 0,19ml
Dozirna črpalka (kot naprimer Controlmatik ABW, tip GMXa 1602 NPT7, ali enakovredno), ima vgrajen elektromagnetni motor s proporcionalnim doziranjem.
Ima vgrajen rele za izhod napake.
Krmiljenje tokovno (4-20mA).                     
</t>
  </si>
  <si>
    <t xml:space="preserve">Centrifugalna samosesalna JET črpalka z nosilno konzolo, INOKS izvedba, VITON tesnilo (odporno na klor), za pitno vodo.
Črpalka sesa vodo iz globine do 8 m.
220 V, 50 Hz, P= 0,6 kW
Kapaciteta :
Q=3,0 m3/h  pri H= 2,0 bar
Q=1,0 m3/h  pri H= 3,8 bar
</t>
  </si>
  <si>
    <t>POPIS ELEKTRO DEL - VH FILOVCI</t>
  </si>
  <si>
    <r>
      <rPr>
        <b/>
        <sz val="9"/>
        <rFont val="Arial"/>
        <family val="2"/>
        <charset val="238"/>
      </rPr>
      <t>Merilni inštrument - multimeter</t>
    </r>
    <r>
      <rPr>
        <sz val="9"/>
        <rFont val="Arial"/>
        <family val="2"/>
        <charset val="238"/>
      </rPr>
      <t xml:space="preserve">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r>
  </si>
  <si>
    <t>Tripolni motorski odklopnik,  za nazivno napetost 690 V in tok 8 A, prekinitvene moči  50 kA, z zaščitno napravo za zaščito pred kratkim stikom in preobremenitvijo, I&gt;... 6-10A , I&gt;&gt;...13*Ir  s pomožnimi kontakti signalizacije preobremenitve in kratkega s</t>
  </si>
  <si>
    <r>
      <t xml:space="preserve">Razširitveni digitalni izhodni modul
</t>
    </r>
    <r>
      <rPr>
        <sz val="9"/>
        <rFont val="Cambria"/>
        <family val="2"/>
      </rPr>
      <t>Tip: TM3DQ16, Proizvajalec: Schneider ali enakovredno z naslednjimi lastnostmi:</t>
    </r>
    <r>
      <rPr>
        <b/>
        <sz val="9"/>
        <rFont val="Cambria"/>
        <family val="2"/>
      </rPr>
      <t xml:space="preserve">
</t>
    </r>
    <r>
      <rPr>
        <sz val="9"/>
        <rFont val="Cambria"/>
        <family val="2"/>
      </rPr>
      <t>število izhodov 16, 24 V DC</t>
    </r>
    <r>
      <rPr>
        <b/>
        <sz val="9"/>
        <rFont val="Cambria"/>
        <family val="2"/>
      </rPr>
      <t xml:space="preserve"> </t>
    </r>
    <r>
      <rPr>
        <sz val="9"/>
        <rFont val="Cambria"/>
        <family val="2"/>
        <charset val="238"/>
      </rPr>
      <t>sink/source</t>
    </r>
  </si>
  <si>
    <r>
      <t xml:space="preserve">Posluževalni (HMI) panel - zaslon na dotik
</t>
    </r>
    <r>
      <rPr>
        <sz val="9"/>
        <rFont val="Cambria"/>
        <family val="2"/>
        <charset val="238"/>
      </rPr>
      <t>tip: XBT GT Proizvajalec: Schneider elecrtic (ali enakovredno)</t>
    </r>
    <r>
      <rPr>
        <b/>
        <sz val="9"/>
        <rFont val="Cambria"/>
        <family val="2"/>
      </rPr>
      <t xml:space="preserve">
</t>
    </r>
    <r>
      <rPr>
        <sz val="9"/>
        <rFont val="Cambria"/>
        <family val="2"/>
      </rPr>
      <t>Posluževalni panel, touch screen, barvni LCD, diagonala 5,7", 
ethernet 10/100, RS232, RS485, CANopen/Profibus DP, USB</t>
    </r>
  </si>
  <si>
    <r>
      <rPr>
        <b/>
        <sz val="9"/>
        <rFont val="Cambria"/>
        <family val="2"/>
      </rPr>
      <t xml:space="preserve">Merilnik nivoja in temperature vodohrana
</t>
    </r>
    <r>
      <rPr>
        <sz val="9"/>
        <rFont val="Cambria"/>
        <family val="2"/>
      </rPr>
      <t>medij: voda,  komunikacijski priključek RS485 MODBUS RTU, merilno območje 0-10 m in 0-40°C, zaščita IP68, vključno s celotnim montažno pritrdilnim materialom.
TIP: PPI 220 Proizvajalec: Eltratec ali enakovredno</t>
    </r>
  </si>
  <si>
    <t>Tipska povozna merilna ozemljitvena omarica, telo izdelano iz umetnih materialov, obstojnih na atmosferi (PE),</t>
  </si>
  <si>
    <t>Lovilna palica Al Ø16nn, h=2m, komplet z pritrdilnim kompletom ter povezavo na ozemljilni sistem in s postavitvio.</t>
  </si>
  <si>
    <t>Priklop kabla NA2XY-J 4x70mm2 na obstoječe leseno oprorišče (NOP007)</t>
  </si>
  <si>
    <t>VODOVOD KANČEVCI - LONČAROVCI (VKL-2, VKL-3) - primar</t>
  </si>
  <si>
    <t>Izkop vezljive zemljine/zrnate kamnine – 3. kategorije za  kanalske rove  širine do 1,0 m in globine 1,1 do 2,0 m – ročno, planiranje dna ročno</t>
  </si>
  <si>
    <t>Izkop vezljive zemljine/zrnate kamnine – 3. kategorije za  kanalske rove  širine do 1,0 m in globine 1,1 do 2,0 m – strojno, planiranje dna ročno</t>
  </si>
  <si>
    <t xml:space="preserve"> 2.3</t>
  </si>
  <si>
    <t xml:space="preserve"> 2.4</t>
  </si>
  <si>
    <t xml:space="preserve"> 2.5</t>
  </si>
  <si>
    <t xml:space="preserve"> 2.6</t>
  </si>
  <si>
    <t xml:space="preserve">Zasip  kanala z izkopano zemljino – 3. kategorije  s komprimiranjem v slojih . </t>
  </si>
  <si>
    <t xml:space="preserve"> 2.7</t>
  </si>
  <si>
    <t xml:space="preserve"> 2.8</t>
  </si>
  <si>
    <t xml:space="preserve"> 2.9</t>
  </si>
  <si>
    <t>2.10.</t>
  </si>
  <si>
    <t>Priprava terena za asfaltiranje: izkop gramoza v deb. 10 cm, z nakladanjem in odvozom na deponijo razdalje do 5 km, planiranje in končno valjanje pred asfaltiranjem ter premaz stika z bitumensko emulzijo.</t>
  </si>
  <si>
    <t>Izdelava zgornje nosilne plasti bituminiziranega drobljenca zrnavosti 0/22 mm v debelini 6 cm</t>
  </si>
  <si>
    <t xml:space="preserve">Rezkanje obstoječega asfalta v širini 40 cm in deb. 3 cm za napravo vzdolžnega stika, vključno z odvozom materiala. V ceni zajeti čiščenje in obrizg z bitumensko emulzijo.   </t>
  </si>
  <si>
    <t>Izdelava obrabne in zaporne ali zaščitne plasti bitumenskega betona BB 8k iz zmesi zrn iz karbonatnih kamnin in cestogradbenega bitumna v debelini 30 mm</t>
  </si>
  <si>
    <t xml:space="preserve">Prevoz materiala na razdaljo do 5 km </t>
  </si>
  <si>
    <t xml:space="preserve">Odlaganje odpadnega asfalta z odvozom na urejeno deponijo </t>
  </si>
  <si>
    <r>
      <t xml:space="preserve">zaščitna cev </t>
    </r>
    <r>
      <rPr>
        <sz val="10"/>
        <rFont val="Calibri"/>
        <family val="2"/>
        <charset val="238"/>
      </rPr>
      <t>Ø</t>
    </r>
    <r>
      <rPr>
        <sz val="10"/>
        <rFont val="Arial"/>
        <family val="2"/>
        <charset val="238"/>
      </rPr>
      <t>250 za PE Ø125 - Ø250</t>
    </r>
  </si>
  <si>
    <r>
      <t xml:space="preserve">zaščitna cev </t>
    </r>
    <r>
      <rPr>
        <sz val="10"/>
        <rFont val="Calibri"/>
        <family val="2"/>
        <charset val="238"/>
      </rPr>
      <t>Ø</t>
    </r>
    <r>
      <rPr>
        <sz val="10"/>
        <rFont val="Arial"/>
        <family val="2"/>
        <charset val="238"/>
      </rPr>
      <t>250 za PE Ø110 - Ø200</t>
    </r>
  </si>
  <si>
    <r>
      <t xml:space="preserve">Nadzemni hidrant na </t>
    </r>
    <r>
      <rPr>
        <b/>
        <sz val="10"/>
        <rFont val="Calibri"/>
        <family val="2"/>
        <charset val="238"/>
      </rPr>
      <t>Ø</t>
    </r>
    <r>
      <rPr>
        <b/>
        <sz val="10"/>
        <rFont val="Arial CE"/>
        <charset val="238"/>
      </rPr>
      <t>125:</t>
    </r>
  </si>
  <si>
    <t>Nadzemni hidrant na Ø110:</t>
  </si>
  <si>
    <t>Skupaj:</t>
  </si>
  <si>
    <t>Prečkanje potoka Curek:</t>
  </si>
  <si>
    <t>lok elektrovarilni 45°  Ø110 SDR 11 PN16</t>
  </si>
  <si>
    <t>Vozlišče GV36:</t>
  </si>
  <si>
    <t>T kos DN125/125 BAIO</t>
  </si>
  <si>
    <t>EV Zasun bajonetni HSM (bajonet/obojka) DN 125  + tel.vgradna,grt.</t>
  </si>
  <si>
    <r>
      <t xml:space="preserve">PE redukcija </t>
    </r>
    <r>
      <rPr>
        <sz val="9"/>
        <color indexed="8"/>
        <rFont val="Calibri"/>
        <family val="2"/>
        <charset val="238"/>
      </rPr>
      <t>Ø</t>
    </r>
    <r>
      <rPr>
        <sz val="9"/>
        <color indexed="8"/>
        <rFont val="Arial"/>
        <family val="2"/>
        <charset val="238"/>
      </rPr>
      <t>125/110 SDR11 PN16</t>
    </r>
  </si>
  <si>
    <r>
      <t xml:space="preserve">PE redukcija </t>
    </r>
    <r>
      <rPr>
        <sz val="9"/>
        <color indexed="8"/>
        <rFont val="Calibri"/>
        <family val="2"/>
        <charset val="238"/>
      </rPr>
      <t>Ø</t>
    </r>
    <r>
      <rPr>
        <sz val="9"/>
        <color indexed="8"/>
        <rFont val="Arial"/>
        <family val="2"/>
        <charset val="238"/>
      </rPr>
      <t>110/63 SDR11 PN16</t>
    </r>
  </si>
  <si>
    <t>Vozlišče GV37:</t>
  </si>
  <si>
    <t>Vozlišče GV39, GV41:</t>
  </si>
  <si>
    <t>Vozlišče GV40:</t>
  </si>
  <si>
    <t>EV Zasun bajonetni HSM DN 100</t>
  </si>
  <si>
    <t>Vozlišče GV43:</t>
  </si>
  <si>
    <t>F-KS DN100</t>
  </si>
  <si>
    <r>
      <t xml:space="preserve">PE redukcija </t>
    </r>
    <r>
      <rPr>
        <sz val="10"/>
        <color indexed="8"/>
        <rFont val="Calibri"/>
        <family val="2"/>
        <charset val="238"/>
      </rPr>
      <t>Ø</t>
    </r>
    <r>
      <rPr>
        <sz val="10"/>
        <color rgb="FF000000"/>
        <rFont val="Arial"/>
        <family val="2"/>
        <charset val="238"/>
      </rPr>
      <t>110</t>
    </r>
    <r>
      <rPr>
        <sz val="10"/>
        <color indexed="8"/>
        <rFont val="Arial"/>
        <family val="2"/>
        <charset val="238"/>
      </rPr>
      <t>/63 SDR11 PN16</t>
    </r>
  </si>
  <si>
    <t>Vozlišče GV38:</t>
  </si>
  <si>
    <t>Loki, zaključki cevovodov:</t>
  </si>
  <si>
    <t>lok elektrovarilni 45°  Ø125 SDR 11 PN16</t>
  </si>
  <si>
    <t>VODOVOD KANČEVCI - LONČAROVCI (R1-R10, L1-L6) - primar</t>
  </si>
  <si>
    <t xml:space="preserve">Izkop slabo nosilne zemljine – 2. kategorije   širine do 1,0 m in globine  do 1,0 m  – strojno izkop z škarpirno žlico  - ureditev odvodnih jarkov </t>
  </si>
  <si>
    <t xml:space="preserve">Dobava in vgrajevanje tampona 0-32 v plast  d = 50cm, komprimiranje do zbitosti večje ali enako 80 Mp/m2, upošteva se vgraditev pod asfaltno površino in bankine </t>
  </si>
  <si>
    <t xml:space="preserve">Humuziranje zelenice brez valjanja, v debelini nad 15 cm - strojno - ročno , V ceni upoštevati dobavo humusa z deponije in posaditev s travnim sememnom </t>
  </si>
  <si>
    <t xml:space="preserve">PE 100 fi 63, zaščitna DN 150 </t>
  </si>
  <si>
    <t>Prekop lokalne ali regionalne ceste, v ceno zajeti vsa  potrebna dela, priprava gradbene jame, razpiranje sten, globine do 2,0 m, črpanje vode,  vgrajevanje  vodovodne cevi   ter zaščitne cevi z drsnimi obroči in gumi manšetami (rezanje asfalta zajeto posebaj)</t>
  </si>
  <si>
    <t>PE 100 fi 110, zaščitna DN 200</t>
  </si>
  <si>
    <t>Dobava in vgrajevanje zaščitnih cevi (PVC cev DN250) z obbetoniranjem pod vodotokom - potok, v ceno zajeti vsa  potrebna dela, priprava gradbene jame, razpiranje sten, globine do 2,0 m, črpanje vode,  vgrajevanje  vodovodne cevi   ter zaščitne cevi z drsnimi manšetami podvrtavanje dna (Ratkovski potok)</t>
  </si>
  <si>
    <r>
      <t xml:space="preserve">PE 100 PN 16 </t>
    </r>
    <r>
      <rPr>
        <sz val="10"/>
        <rFont val="Arial"/>
        <family val="2"/>
      </rPr>
      <t>Ø</t>
    </r>
    <r>
      <rPr>
        <sz val="10"/>
        <color indexed="8"/>
        <rFont val="Arial"/>
        <family val="2"/>
      </rPr>
      <t>63 RC PROTECT SDR11 PN16                 z dodanim aluminijastim slojem</t>
    </r>
  </si>
  <si>
    <r>
      <t xml:space="preserve">PE 100 PN 16 </t>
    </r>
    <r>
      <rPr>
        <sz val="10"/>
        <rFont val="Arial"/>
        <family val="2"/>
      </rPr>
      <t>Ø</t>
    </r>
    <r>
      <rPr>
        <sz val="10"/>
        <color indexed="8"/>
        <rFont val="Arial"/>
        <family val="2"/>
      </rPr>
      <t>32 RC PROTECT SDR11 PN16</t>
    </r>
  </si>
  <si>
    <r>
      <t xml:space="preserve">PE 100 PN 16 </t>
    </r>
    <r>
      <rPr>
        <sz val="10"/>
        <rFont val="Arial"/>
        <family val="2"/>
      </rPr>
      <t>Ø</t>
    </r>
    <r>
      <rPr>
        <sz val="10"/>
        <color indexed="8"/>
        <rFont val="Arial"/>
        <family val="2"/>
      </rPr>
      <t>32 RC PROTECT SDR11 PN16                 z dodanim aluminijastim slojem</t>
    </r>
  </si>
  <si>
    <r>
      <t xml:space="preserve">Zračnik na </t>
    </r>
    <r>
      <rPr>
        <b/>
        <sz val="10"/>
        <rFont val="Calibri"/>
        <family val="2"/>
        <charset val="238"/>
      </rPr>
      <t>Ø</t>
    </r>
    <r>
      <rPr>
        <b/>
        <sz val="10"/>
        <rFont val="Arial CE"/>
        <charset val="238"/>
      </rPr>
      <t>63 - konec linije:</t>
    </r>
  </si>
  <si>
    <t>EN kos baj. EN DN 80</t>
  </si>
  <si>
    <t>vertikalno bajonentno varovalo DN80</t>
  </si>
  <si>
    <t>Izpust na Ø63-konec linije:</t>
  </si>
  <si>
    <t>Podzemni hidrant (+izpust) na Ø110:</t>
  </si>
  <si>
    <t>Podzemni izpust na Ø63:</t>
  </si>
  <si>
    <t>Prečkanje Ratkovskega potoka:</t>
  </si>
  <si>
    <t>T-KOS bajonetni MMB 100/80 z intergiranim zasunom DN 80 + tel.vgradna,grt.</t>
  </si>
  <si>
    <t>PODZEMNI HIDRANT DN 80</t>
  </si>
  <si>
    <t>S kos bajonetni DN 80</t>
  </si>
  <si>
    <t>T-KOS bajonetni MMB 100/80</t>
  </si>
  <si>
    <t>F kos DN80</t>
  </si>
  <si>
    <t>Hidrant na Ø110:</t>
  </si>
  <si>
    <t>Vozlišče GV32 +hidrant na Ø110:</t>
  </si>
  <si>
    <t>T-KOS bajonetni MMB 100/80 z intergiranim zasunom + tel.vgradna,grt.</t>
  </si>
  <si>
    <t>S kos baj. DN 80</t>
  </si>
  <si>
    <t>EN kos baj. DN 80</t>
  </si>
  <si>
    <t>PE T-KOS 63/63</t>
  </si>
  <si>
    <t>EV Zasun bajonetni HSM DN100 + tel.vgradna,grt.</t>
  </si>
  <si>
    <t>PE redukcija Ø110/Ø63, PN16, epoxy</t>
  </si>
  <si>
    <t>Vozlišče GV31:</t>
  </si>
  <si>
    <t>T - kos bajonetni MMB DN100/100 z int. zasunom DN100 + tel.vgradna,grt.</t>
  </si>
  <si>
    <t>EV Zasun bajonetni HSM (obojka/obojka) z vgradno garnituro in cestno kapo DN100</t>
  </si>
  <si>
    <t>Vozlišče GV45:</t>
  </si>
  <si>
    <t>T - kos bajonetni MMB DN100/80 z int. zasunom DN80 + tel.vgradna,grt.</t>
  </si>
  <si>
    <t>NH DN 80 z vgrad. garnituro, podložno ploščo, drenažnim elementom, varovalom z manžeto in označevalno tablo - komplet (sidro pocinkano za pritrditev stebra, stebriček poc. Ø48, označevalna tabla PVC)</t>
  </si>
  <si>
    <t>PE redukcija Ø110/Ø63, PN16</t>
  </si>
  <si>
    <r>
      <t xml:space="preserve">Prehod </t>
    </r>
    <r>
      <rPr>
        <b/>
        <sz val="10"/>
        <rFont val="Arial"/>
        <family val="2"/>
        <charset val="238"/>
      </rPr>
      <t>Ø</t>
    </r>
    <r>
      <rPr>
        <b/>
        <sz val="11"/>
        <color theme="1"/>
        <rFont val="Calibri"/>
        <family val="2"/>
        <scheme val="minor"/>
      </rPr>
      <t>110/Ø63:</t>
    </r>
  </si>
  <si>
    <t>Vozlišče GV49:</t>
  </si>
  <si>
    <t>Vozlišče GV53:</t>
  </si>
  <si>
    <t xml:space="preserve">T-KOS bajonetni MMB 80/80 z int. zasunom DN80 + tel.vgradna,grt. </t>
  </si>
  <si>
    <t>Vodovodno omrežje Fokovci - VFS-2</t>
  </si>
  <si>
    <t>Postavitev in zavarovanje prečnega profila za komunalne vode v ravninskem terenu</t>
  </si>
  <si>
    <t xml:space="preserve">Zakoličba obstoječega vodovoda s strani upravljavca vodovoda vzdolž trase novega vodovoda        </t>
  </si>
  <si>
    <t>1.15</t>
  </si>
  <si>
    <t>1.16</t>
  </si>
  <si>
    <t xml:space="preserve"> 2.2</t>
  </si>
  <si>
    <t xml:space="preserve">Naprava jaška not. dimenzij 3,0x1.6x1,8, v ceni zajeti izkop, gramozna posteljica, vodotesen beton C25/30, naprava opaža, armatura 80 kg/m3, LTŽ pokrov 80/80 ter zasip jaška </t>
  </si>
  <si>
    <t>vozlišče V280:</t>
  </si>
  <si>
    <t>Vozlišče reducirni ventil - V288:</t>
  </si>
  <si>
    <t>Nadzemni hidrant na DN 125:</t>
  </si>
  <si>
    <r>
      <t xml:space="preserve">Vozlišče zračnik na </t>
    </r>
    <r>
      <rPr>
        <b/>
        <sz val="10"/>
        <rFont val="Calibri"/>
        <family val="2"/>
        <charset val="238"/>
      </rPr>
      <t>Ø</t>
    </r>
    <r>
      <rPr>
        <b/>
        <sz val="10"/>
        <rFont val="Arial CE"/>
        <charset val="238"/>
      </rPr>
      <t>110:</t>
    </r>
  </si>
  <si>
    <t>Podzemni hidrant na Ø110:</t>
  </si>
  <si>
    <t>Prečkanje potoka Repec:</t>
  </si>
  <si>
    <t>T-KOS bajonetni MMB 125/80 z intergiranim zasunom DN 80 + tel.vgradna,grt.</t>
  </si>
  <si>
    <t>Vozlišče V108:</t>
  </si>
  <si>
    <t>Vozlišče V303 - odcep F1:</t>
  </si>
  <si>
    <t>Vozlišče V96 - odcep F2</t>
  </si>
  <si>
    <t>EV Zasun bajonetni HSM DN100</t>
  </si>
  <si>
    <r>
      <t xml:space="preserve">Hidrant na </t>
    </r>
    <r>
      <rPr>
        <b/>
        <sz val="10"/>
        <rFont val="Calibri"/>
        <family val="2"/>
        <charset val="238"/>
      </rPr>
      <t>Ø</t>
    </r>
    <r>
      <rPr>
        <b/>
        <sz val="10"/>
        <rFont val="Arial CE"/>
        <charset val="238"/>
      </rPr>
      <t>110:</t>
    </r>
  </si>
  <si>
    <t>MORAVSKE TOPLICE</t>
  </si>
  <si>
    <t>ČRP GORNJI MORAVCI</t>
  </si>
  <si>
    <t>ČRP PROSENJAKOVCI (OB MEJI)</t>
  </si>
  <si>
    <t>ČRP PROSENJAKOVCI (ŠOLA)</t>
  </si>
  <si>
    <t>ČRP SEBEBORCI (PODŽLAKE)</t>
  </si>
  <si>
    <t>Vodovodno omrežje Bukovnica (B1, B3-B6)</t>
  </si>
  <si>
    <t>PE 100 PN 16 Ø63 RC PROTECT SDR11 PN16                 z dodanim aluminijastim slojem</t>
  </si>
  <si>
    <r>
      <t xml:space="preserve">Vozlišče zračnik na </t>
    </r>
    <r>
      <rPr>
        <b/>
        <sz val="10"/>
        <rFont val="Calibri"/>
        <family val="2"/>
        <charset val="238"/>
      </rPr>
      <t>Ø</t>
    </r>
    <r>
      <rPr>
        <b/>
        <sz val="10"/>
        <rFont val="Arial CE"/>
        <charset val="238"/>
      </rPr>
      <t>63:</t>
    </r>
  </si>
  <si>
    <r>
      <t xml:space="preserve">Vozlišče izpust na </t>
    </r>
    <r>
      <rPr>
        <b/>
        <sz val="10"/>
        <rFont val="Calibri"/>
        <family val="2"/>
        <charset val="238"/>
      </rPr>
      <t>Ø</t>
    </r>
    <r>
      <rPr>
        <b/>
        <sz val="10"/>
        <rFont val="Arial CE"/>
        <charset val="238"/>
      </rPr>
      <t>63:</t>
    </r>
  </si>
  <si>
    <t>Vodovodno omrežje Krnci (K1-K8)</t>
  </si>
  <si>
    <r>
      <t xml:space="preserve">zaščitna cev </t>
    </r>
    <r>
      <rPr>
        <sz val="10"/>
        <rFont val="Calibri"/>
        <family val="2"/>
        <charset val="238"/>
      </rPr>
      <t>Ø</t>
    </r>
    <r>
      <rPr>
        <sz val="10"/>
        <rFont val="Arial"/>
        <family val="2"/>
        <charset val="238"/>
      </rPr>
      <t>150 za PE Ø90 - Ø125</t>
    </r>
  </si>
  <si>
    <r>
      <t xml:space="preserve">zaščitna cev Ø110 za PE </t>
    </r>
    <r>
      <rPr>
        <sz val="10"/>
        <rFont val="Calibri"/>
        <family val="2"/>
        <charset val="238"/>
      </rPr>
      <t>Ø</t>
    </r>
    <r>
      <rPr>
        <sz val="10"/>
        <rFont val="Arial"/>
        <family val="2"/>
        <charset val="238"/>
      </rPr>
      <t xml:space="preserve">63 </t>
    </r>
  </si>
  <si>
    <t xml:space="preserve">Naprava jaška not. dimenzij 3,0x2.0x1,8, v ceni zajeti izkop, gramozna posteljica, vodotesen beton C25/30, naprava opaža, armatura 80 kg/m3, LTŽ pokrov 80/80 ter zasip jaška </t>
  </si>
  <si>
    <t>Vozlišče V15:</t>
  </si>
  <si>
    <t>Vozlišče VOZLIŠČE na PE Ø110 - ODCEP  PE Ø110:</t>
  </si>
  <si>
    <t>Vozlišče VOZLIŠČE na PE Ø110 - ODCEP  PE Ø63:</t>
  </si>
  <si>
    <t>Vozlišče V163:</t>
  </si>
  <si>
    <t>MMB z int.zasunom DN 80/80 bajonetni + tel.vgradna,grt.</t>
  </si>
  <si>
    <t>Reducirni jašek:</t>
  </si>
  <si>
    <t>Sekundarno vodovodno omrežje Fokovci (F1-F7)</t>
  </si>
  <si>
    <t>Zakoličba in zaščita   komunalnih vodov ki bodo prečkali vodovod (vodovod CATV, TK vodi) - pavšal</t>
  </si>
  <si>
    <t xml:space="preserve">Dobava in vgrajevanje tampona 0-32 v plast  d = 50cm, komprimiranje do zbitosti večje ali enako 80 Mp/m2, upošteva se vgraditev pod voziščem in bankino </t>
  </si>
  <si>
    <r>
      <t xml:space="preserve">zaščitna cev </t>
    </r>
    <r>
      <rPr>
        <sz val="10"/>
        <rFont val="Calibri"/>
        <family val="2"/>
        <charset val="238"/>
      </rPr>
      <t>Ø</t>
    </r>
    <r>
      <rPr>
        <sz val="10"/>
        <rFont val="Arial"/>
        <family val="2"/>
        <charset val="238"/>
      </rPr>
      <t>150 za PE Ø63</t>
    </r>
  </si>
  <si>
    <t>PE 100 PN 16 Ø63 RC PROTECT SDR11</t>
  </si>
  <si>
    <t>Zračnik na Ø63 - konec linije:</t>
  </si>
  <si>
    <t>Izpust na Ø63:</t>
  </si>
  <si>
    <r>
      <t xml:space="preserve">PE T kos </t>
    </r>
    <r>
      <rPr>
        <sz val="10"/>
        <color indexed="8"/>
        <rFont val="Calibri"/>
        <family val="2"/>
        <charset val="238"/>
      </rPr>
      <t>Ø</t>
    </r>
    <r>
      <rPr>
        <sz val="10"/>
        <color indexed="8"/>
        <rFont val="Arial"/>
        <family val="2"/>
        <charset val="238"/>
      </rPr>
      <t>63/63 SDR11 PN16</t>
    </r>
  </si>
  <si>
    <t>Vozlišče V584, V395:</t>
  </si>
  <si>
    <t>T-KOS bajonetni MMB 80/80 z intergiranim zasunom DN 80 + tel.vgradna,grt.</t>
  </si>
  <si>
    <t>EV Zasun bajonetni HSM (bajonet/obojka) DN  80</t>
  </si>
  <si>
    <t>cestna kapa za zasun. + podložna plošča</t>
  </si>
  <si>
    <r>
      <t xml:space="preserve">Prehod </t>
    </r>
    <r>
      <rPr>
        <b/>
        <sz val="10"/>
        <rFont val="Arial"/>
        <family val="2"/>
        <charset val="238"/>
      </rPr>
      <t xml:space="preserve"> Ø</t>
    </r>
    <r>
      <rPr>
        <b/>
        <sz val="11"/>
        <color theme="1"/>
        <rFont val="Calibri"/>
        <family val="2"/>
        <scheme val="minor"/>
      </rPr>
      <t>110/ Ø63:</t>
    </r>
  </si>
  <si>
    <t>Vodovodno omrežje Središče - SMT-1/18</t>
  </si>
  <si>
    <t>Vozlišče navezava na obst. vodovod:</t>
  </si>
  <si>
    <t>Vozlišče izpust na  Ø63:</t>
  </si>
  <si>
    <t>Rogašovci</t>
  </si>
  <si>
    <t xml:space="preserve">Rogašovci_Vodovod VGG-R </t>
  </si>
  <si>
    <t>Rogašovci_Vodovod VRS</t>
  </si>
  <si>
    <t>Rogašovci_Vodovod VSN</t>
  </si>
  <si>
    <t>Rogašovci_Vodovod VSO</t>
  </si>
  <si>
    <t xml:space="preserve">Rogašovci_Vodovod SR-4/26 </t>
  </si>
  <si>
    <t xml:space="preserve">Rogašovci_Vodovod SR-5/8 </t>
  </si>
  <si>
    <t xml:space="preserve">Rogašovci_Vodovod SR-4/10 </t>
  </si>
  <si>
    <t xml:space="preserve">Rogašovci_Vodovod SR-5/7 </t>
  </si>
  <si>
    <t xml:space="preserve">Rogašovci_Vodovod SR-5/1 </t>
  </si>
  <si>
    <t>Rogašovci_Vodovod SR-4/6</t>
  </si>
  <si>
    <t xml:space="preserve">Rogašovci_Vodovod VRP </t>
  </si>
  <si>
    <t>Rogašovci_Vodovod SR-1/7</t>
  </si>
  <si>
    <t>Rogašovci_Vodovod SR-2/1</t>
  </si>
  <si>
    <t>Rogašovci_Vodovod SR-2/9</t>
  </si>
  <si>
    <t>Rogašovci_VH in ČRP Sotina</t>
  </si>
  <si>
    <t>Rogašovci_ČRP Buček</t>
  </si>
  <si>
    <t>Rogašovci_RT-5</t>
  </si>
  <si>
    <t>Rogašovci_Vodovod SR-3/7</t>
  </si>
  <si>
    <t xml:space="preserve">Rogašovci_Vodovod SR-3/8.1 </t>
  </si>
  <si>
    <t>Rogašovci_Vodovod SR-4/15</t>
  </si>
  <si>
    <t>Vodovod VGG-R + VGG-R1 + PR3</t>
  </si>
  <si>
    <t>Pripravljalna dela:
Ureditev gradbišča skladno z veljavno zakonodajo, komplet (varnostni načrt,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</si>
  <si>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PE 100 PN 16 Ø125 RC PROTECT SDR11 PN16</t>
  </si>
  <si>
    <t>PE 100 PN 16 Ø125 RC PROTECT SDR11 PN16         z dodanim aluminijastim slojem</t>
  </si>
  <si>
    <r>
      <t xml:space="preserve">PE elektrfuz. obojka </t>
    </r>
    <r>
      <rPr>
        <sz val="10"/>
        <rFont val="Arial"/>
        <family val="2"/>
        <charset val="238"/>
      </rPr>
      <t xml:space="preserve"> </t>
    </r>
    <r>
      <rPr>
        <sz val="10"/>
        <rFont val="Calibri"/>
        <family val="2"/>
        <charset val="238"/>
      </rPr>
      <t>Ø125</t>
    </r>
    <r>
      <rPr>
        <sz val="9"/>
        <rFont val="Arial"/>
        <family val="2"/>
        <charset val="238"/>
      </rPr>
      <t xml:space="preserve"> SDR11 PN16</t>
    </r>
  </si>
  <si>
    <r>
      <t xml:space="preserve">PE elektrfuz. obojka  </t>
    </r>
    <r>
      <rPr>
        <sz val="9"/>
        <rFont val="Calibri"/>
        <family val="2"/>
        <charset val="238"/>
      </rPr>
      <t>Ø</t>
    </r>
    <r>
      <rPr>
        <sz val="9"/>
        <rFont val="Arial"/>
        <family val="2"/>
        <charset val="238"/>
      </rPr>
      <t>125 SDR11 PN16</t>
    </r>
  </si>
  <si>
    <t>VOZLIŠČE na NL DN150 - ODCEP  PE Ø125</t>
  </si>
  <si>
    <r>
      <t xml:space="preserve">ozn. tablica + poc.steber </t>
    </r>
    <r>
      <rPr>
        <sz val="9"/>
        <rFont val="Calibri"/>
        <family val="2"/>
        <charset val="238"/>
      </rPr>
      <t>Ø</t>
    </r>
    <r>
      <rPr>
        <sz val="9"/>
        <rFont val="Arial"/>
        <family val="2"/>
        <charset val="238"/>
      </rPr>
      <t>48 + poc.sidro stebra</t>
    </r>
  </si>
  <si>
    <t>Spojka Alkaten reducirna fi 50-40</t>
  </si>
  <si>
    <t>Spojka Alkaten reducirna fi 40-32</t>
  </si>
  <si>
    <t>VRS (VH Rogašovci - VH Sotina) in SR-4/9</t>
  </si>
  <si>
    <t xml:space="preserve">Izkop slabo nosilne zemljine – 2. kategorije   širine do 1,0m in globine  do 1,0m  – strojno izkop z škarpirno žlico  - ureditev odvodnih jarkov. </t>
  </si>
  <si>
    <t>Rezanje asfaltne plasti s talno diamantno žago, debelinedo 10 cm.</t>
  </si>
  <si>
    <t>Prevoz materiala na ustrezno deponijo do 10km</t>
  </si>
  <si>
    <r>
      <t xml:space="preserve">zaščitna cev </t>
    </r>
    <r>
      <rPr>
        <sz val="9"/>
        <rFont val="Calibri"/>
        <family val="2"/>
        <charset val="238"/>
      </rPr>
      <t>Ø</t>
    </r>
    <r>
      <rPr>
        <sz val="9"/>
        <rFont val="Arial"/>
        <family val="2"/>
        <charset val="238"/>
      </rPr>
      <t>300 za NL DN150</t>
    </r>
  </si>
  <si>
    <r>
      <t xml:space="preserve">PE 100 PN 16 </t>
    </r>
    <r>
      <rPr>
        <sz val="9"/>
        <rFont val="Arial"/>
        <family val="2"/>
        <charset val="238"/>
      </rPr>
      <t>Ø40</t>
    </r>
    <r>
      <rPr>
        <sz val="9"/>
        <color indexed="8"/>
        <rFont val="Arial"/>
        <family val="2"/>
        <charset val="238"/>
      </rPr>
      <t xml:space="preserve"> RC PROTECT SDR11</t>
    </r>
  </si>
  <si>
    <r>
      <t xml:space="preserve">PE 100 PN 16 </t>
    </r>
    <r>
      <rPr>
        <sz val="9"/>
        <rFont val="Arial"/>
        <family val="2"/>
        <charset val="238"/>
      </rPr>
      <t>Ø40</t>
    </r>
    <r>
      <rPr>
        <sz val="9"/>
        <color indexed="8"/>
        <rFont val="Arial"/>
        <family val="2"/>
        <charset val="238"/>
      </rPr>
      <t xml:space="preserve"> RC PROTECT SDR11 PN16           z dodanim aluminijastim slojem</t>
    </r>
  </si>
  <si>
    <t>lomi na cevovodu NL DN150</t>
  </si>
  <si>
    <t>PODZEMNI ZRAČNIK na NL DN150</t>
  </si>
  <si>
    <r>
      <t xml:space="preserve">IZPIRALNA GARNITURA na PE </t>
    </r>
    <r>
      <rPr>
        <b/>
        <sz val="9"/>
        <rFont val="Calibri"/>
        <family val="2"/>
        <charset val="238"/>
      </rPr>
      <t>Ø</t>
    </r>
    <r>
      <rPr>
        <b/>
        <sz val="9"/>
        <rFont val="Arial"/>
        <family val="2"/>
        <charset val="238"/>
      </rPr>
      <t>110</t>
    </r>
  </si>
  <si>
    <r>
      <t xml:space="preserve">PE elektrfuz. obojka  </t>
    </r>
    <r>
      <rPr>
        <sz val="9"/>
        <rFont val="Calibri"/>
        <family val="2"/>
        <charset val="238"/>
      </rPr>
      <t>Ø</t>
    </r>
    <r>
      <rPr>
        <sz val="9"/>
        <rFont val="Arial"/>
        <family val="2"/>
        <charset val="238"/>
      </rPr>
      <t>110 SDR11 PN16</t>
    </r>
  </si>
  <si>
    <r>
      <t xml:space="preserve">PE redukcija </t>
    </r>
    <r>
      <rPr>
        <sz val="9"/>
        <rFont val="Calibri"/>
        <family val="2"/>
        <charset val="238"/>
      </rPr>
      <t>Ø</t>
    </r>
    <r>
      <rPr>
        <sz val="9"/>
        <rFont val="Arial"/>
        <family val="2"/>
        <charset val="238"/>
      </rPr>
      <t>110/63 SDR11 PN16</t>
    </r>
  </si>
  <si>
    <t>IZPUST na NL DN150</t>
  </si>
  <si>
    <t>NADZEMNI HIDRANT na NL DN150</t>
  </si>
  <si>
    <t xml:space="preserve">LINIJSKI ZASUN na NL DN150 </t>
  </si>
  <si>
    <t>ZASUN DN150 bajonetni (obojka/obojka) + tel.vgradna,grt.</t>
  </si>
  <si>
    <t>VOZLIŠČE na NL DN150 - ODCEP NL DN150</t>
  </si>
  <si>
    <t>MMB z int.zasunom DN 150/150 bajonetni + tel.vgradna,grt.</t>
  </si>
  <si>
    <t>VOZLIŠČE na NL DN150 - ODCEP  PE Ø110</t>
  </si>
  <si>
    <t>VOZLIŠČE na NL DN150 - ODCEP  PE Ø63</t>
  </si>
  <si>
    <t>VOZLIŠČE na PE Ø110 - ODCEP  PE Ø90</t>
  </si>
  <si>
    <t xml:space="preserve">PRIKLJUČEK PE Ø40 na NL DN150 </t>
  </si>
  <si>
    <t>NAVRTALNI ZASUN ZA ODCEPE Ø32-40, z vrtljivim kolenom z ISO spojko Ø40 in stremenom DN150 + tel.vgradna,grt.</t>
  </si>
  <si>
    <t>Vodovod VSN ( VRS - VH Nuskova)</t>
  </si>
  <si>
    <t>LINIJSKI ZASUN na PE Ø110</t>
  </si>
  <si>
    <t>VOZLIŠČE na PE Ø110 - ODCEP  PE Ø110</t>
  </si>
  <si>
    <t>PRIKLJUČEK PE Ø40 na PE Ø110</t>
  </si>
  <si>
    <t>NAVRTALNI ZASUN ZA ODCEPE Ø32-40, z vrtljivim kolenom z ISO spojko Ø40 in dvod.oklepom Ø110 + tel.vgradna,grt.</t>
  </si>
  <si>
    <t>PRIKLJUČEK PE Ø50 na PE Ø90</t>
  </si>
  <si>
    <t>NAVRTALNI ZASUN ZA ODCEPE Ø50-63, z vrtljivim kolenom z ISO spojko Ø50 in dvod.oklepom Ø90 + tel.vgradna,grt.</t>
  </si>
  <si>
    <t>Vodovod VKK VFK + SR-2/24 + SR-2/27</t>
  </si>
  <si>
    <t>JAŠEK ZA REDUCIRNI VENTIL 2,5x2,5x1,8m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PVC Ø110 v dolžini do 30m, komplet z nepovratno loputo v jašku, iztočno glavo,  INOKS žabjim poklopcem in INOKS mrežo,  ter zasip jaška, ureditev nasipa in okolice.</t>
  </si>
  <si>
    <t>ZASUN DN100 bajonetni (obojka/obojka)  + tel.vgradna,grt.</t>
  </si>
  <si>
    <r>
      <t xml:space="preserve">PE elektrfuz. obojka  </t>
    </r>
    <r>
      <rPr>
        <sz val="9"/>
        <rFont val="Calibri"/>
        <family val="2"/>
        <charset val="238"/>
      </rPr>
      <t>Ø</t>
    </r>
    <r>
      <rPr>
        <sz val="9"/>
        <rFont val="Arial"/>
        <family val="2"/>
        <charset val="238"/>
      </rPr>
      <t>90 SDR11 PN16</t>
    </r>
  </si>
  <si>
    <r>
      <t xml:space="preserve">REDUCIRNI VENTIL na PE </t>
    </r>
    <r>
      <rPr>
        <b/>
        <sz val="9"/>
        <rFont val="Calibri"/>
        <family val="2"/>
        <charset val="238"/>
      </rPr>
      <t>Ø</t>
    </r>
    <r>
      <rPr>
        <b/>
        <sz val="9.9"/>
        <rFont val="Arial"/>
        <family val="2"/>
        <charset val="238"/>
      </rPr>
      <t>90</t>
    </r>
    <r>
      <rPr>
        <b/>
        <sz val="9"/>
        <rFont val="Arial"/>
        <family val="2"/>
        <charset val="238"/>
      </rPr>
      <t xml:space="preserve"> (v jašku)</t>
    </r>
  </si>
  <si>
    <t>Vodovod VSO, VSO 1, SR-4/18, SR-4/18.1, SR-4/18.1, SR-4.19/5, SR-4/20, SR-4/21.1, SR-4/21.2, SR-4/21.2a, SR-4/21.2b</t>
  </si>
  <si>
    <t>Izvedba vodenega vrtanja po tehnologiji HDD v zemljini IV - V kategorjie, komplet z uvlačenjem cevi.</t>
  </si>
  <si>
    <t>za cev PE Ø90</t>
  </si>
  <si>
    <r>
      <t xml:space="preserve">PE 100 PN 16 </t>
    </r>
    <r>
      <rPr>
        <sz val="9"/>
        <rFont val="Arial"/>
        <family val="2"/>
        <charset val="238"/>
      </rPr>
      <t>Ø</t>
    </r>
    <r>
      <rPr>
        <sz val="9"/>
        <color indexed="8"/>
        <rFont val="Arial"/>
        <family val="2"/>
        <charset val="238"/>
      </rPr>
      <t>90 RC PROTECT SDR11 PN16</t>
    </r>
  </si>
  <si>
    <r>
      <t xml:space="preserve">PE 100 PN 16 </t>
    </r>
    <r>
      <rPr>
        <sz val="9"/>
        <rFont val="Arial"/>
        <family val="2"/>
        <charset val="238"/>
      </rPr>
      <t>Ø</t>
    </r>
    <r>
      <rPr>
        <sz val="9"/>
        <color indexed="8"/>
        <rFont val="Arial"/>
        <family val="2"/>
        <charset val="238"/>
      </rPr>
      <t>90 RC PROTECT SDR11 PN16           z dodanim aluminijastim slojem</t>
    </r>
  </si>
  <si>
    <t>Kompletna izvedba obešanja na mostno konstrukcijo pri prečkanju potoka, na cevovodu Ø125 mm (vključno z obešali, toplotno izolacijo z mehansko zaščito in z vsemi pritrditvenimi elementi - po priloženem detajlu)</t>
  </si>
  <si>
    <r>
      <t xml:space="preserve">IZPIRALNA GARNITURA na PE </t>
    </r>
    <r>
      <rPr>
        <b/>
        <sz val="9"/>
        <rFont val="Calibri"/>
        <family val="2"/>
        <charset val="238"/>
      </rPr>
      <t>Ø</t>
    </r>
    <r>
      <rPr>
        <b/>
        <sz val="9"/>
        <rFont val="Arial"/>
        <family val="2"/>
        <charset val="238"/>
      </rPr>
      <t>125</t>
    </r>
  </si>
  <si>
    <r>
      <t xml:space="preserve">PE redukcija </t>
    </r>
    <r>
      <rPr>
        <sz val="9"/>
        <rFont val="Calibri"/>
        <family val="2"/>
        <charset val="238"/>
      </rPr>
      <t>Ø</t>
    </r>
    <r>
      <rPr>
        <sz val="9"/>
        <rFont val="Arial"/>
        <family val="2"/>
        <charset val="238"/>
      </rPr>
      <t>125/63 SDR11 PN16</t>
    </r>
  </si>
  <si>
    <t>NADZEMNI HIDRANT na PE Ø110</t>
  </si>
  <si>
    <t>LINIJSKI ZASUN na PE Ø125</t>
  </si>
  <si>
    <t>VOZLIŠČE na PE Ø125 - ODCEP  PE Ø90</t>
  </si>
  <si>
    <r>
      <t xml:space="preserve">PE redukcija </t>
    </r>
    <r>
      <rPr>
        <sz val="9"/>
        <rFont val="Calibri"/>
        <family val="2"/>
        <charset val="238"/>
      </rPr>
      <t>Ø</t>
    </r>
    <r>
      <rPr>
        <sz val="9"/>
        <rFont val="Arial"/>
        <family val="2"/>
        <charset val="238"/>
      </rPr>
      <t>90/63 SDR11 PN16</t>
    </r>
  </si>
  <si>
    <r>
      <t xml:space="preserve">PE elektrfuz. obojka  </t>
    </r>
    <r>
      <rPr>
        <sz val="9"/>
        <rFont val="Calibri"/>
        <family val="2"/>
        <charset val="238"/>
      </rPr>
      <t>Ø</t>
    </r>
    <r>
      <rPr>
        <sz val="9"/>
        <rFont val="Arial"/>
        <family val="2"/>
        <charset val="238"/>
      </rPr>
      <t>63 SDR11 PN16</t>
    </r>
  </si>
  <si>
    <t>VOZLIŠČE na PE Ø90 - ODCEP  PE Ø90</t>
  </si>
  <si>
    <t xml:space="preserve">PRIKLJUČEK PE Ø63 na PE Ø125 </t>
  </si>
  <si>
    <t>NAVRTALNI ZASUN ZA ODCEPE Ø50-63, z vrtljivim kolenom z ISO spojko Ø63 in dvod.oklepom Ø125 + tel.vgradna,grt.</t>
  </si>
  <si>
    <t>Vodovod SR-4/26 + SR-4/26.5</t>
  </si>
  <si>
    <r>
      <t xml:space="preserve">Dobava in vgrajevanje tamponskega drobljenca TD32 v debelini min 40 cm, komprimiranje do zbitosti 100 Mpa - </t>
    </r>
    <r>
      <rPr>
        <u/>
        <sz val="9"/>
        <rFont val="Arial"/>
        <family val="2"/>
        <charset val="238"/>
      </rPr>
      <t>vozišče</t>
    </r>
    <r>
      <rPr>
        <sz val="9"/>
        <rFont val="Arial"/>
        <family val="2"/>
        <charset val="238"/>
      </rPr>
      <t>.</t>
    </r>
  </si>
  <si>
    <r>
      <t xml:space="preserve">PE 100 PN 16 </t>
    </r>
    <r>
      <rPr>
        <sz val="9"/>
        <rFont val="Arial"/>
        <family val="2"/>
        <charset val="238"/>
      </rPr>
      <t>Ø50</t>
    </r>
    <r>
      <rPr>
        <sz val="9"/>
        <color indexed="8"/>
        <rFont val="Arial"/>
        <family val="2"/>
        <charset val="238"/>
      </rPr>
      <t xml:space="preserve"> RC PROTECT SDR11</t>
    </r>
  </si>
  <si>
    <r>
      <t xml:space="preserve">PE 100 PN 16 </t>
    </r>
    <r>
      <rPr>
        <sz val="9"/>
        <rFont val="Arial"/>
        <family val="2"/>
        <charset val="238"/>
      </rPr>
      <t>Ø50</t>
    </r>
    <r>
      <rPr>
        <sz val="9"/>
        <color indexed="8"/>
        <rFont val="Arial"/>
        <family val="2"/>
        <charset val="238"/>
      </rPr>
      <t xml:space="preserve"> RC PROTECT SDR11 PN16           z dodanim aluminijastim slojem</t>
    </r>
  </si>
  <si>
    <t>PRIKLJUČEK PE Ø50 na PE Ø63</t>
  </si>
  <si>
    <t>NAVRTALNI ZASUN ZA ODCEPE Ø50-63, z vrtljivim kolenom z ISO spojko Ø50 in dvod.oklepom Ø63 + tel.vgradna,grt.</t>
  </si>
  <si>
    <t xml:space="preserve">Vodovod SR-5/8 + SR-5/10 </t>
  </si>
  <si>
    <t>3.4.1</t>
  </si>
  <si>
    <t>Vodovod SR-4/10 + SR-4/10.5 + SR-4/11 + SR-4/12 + SR-4/13</t>
  </si>
  <si>
    <r>
      <t xml:space="preserve">Dobava in vgrajevanje tamponskega drobljenca TD32 v debelini min 25 cm, komprimiranje do zbitosti 60 Mpa - </t>
    </r>
    <r>
      <rPr>
        <u/>
        <sz val="9"/>
        <rFont val="Arial"/>
        <family val="2"/>
        <charset val="238"/>
      </rPr>
      <t>hodniki</t>
    </r>
    <r>
      <rPr>
        <sz val="9"/>
        <rFont val="Arial"/>
        <family val="2"/>
        <charset val="238"/>
      </rPr>
      <t>.</t>
    </r>
  </si>
  <si>
    <t>PRIKLJUČEK PE Ø40 na PE Ø125</t>
  </si>
  <si>
    <t>NAVRTALNI ZASUN ZA ODCEPE Ø32-40, z vrtljivim kolenom z ISO spojko Ø40 in dvod.oklepom Ø125 + tel.vgradna,grt.</t>
  </si>
  <si>
    <t>PRIKLJUČEK PE Ø50 na PE Ø110</t>
  </si>
  <si>
    <t>NAVRTALNI ZASUN ZA ODCEPE Ø50-63, z vrtljivim kolenom z ISO spojko Ø50 in dvod.oklepom Ø110 + tel.vgradna,grt.</t>
  </si>
  <si>
    <t>Vodovod SR-5/7 + SR-5/6 + SR-5/5.2 + So3-So4</t>
  </si>
  <si>
    <t>IZPUST na PE Ø63</t>
  </si>
  <si>
    <t>Vodovod SR-5/1 + SR-5/2 + SR-5/3 + SR-5/4 + SR-5/5.1</t>
  </si>
  <si>
    <r>
      <t xml:space="preserve">PODZEMNI ZRAČNIK na PE </t>
    </r>
    <r>
      <rPr>
        <b/>
        <sz val="9"/>
        <rFont val="Calibri"/>
        <family val="2"/>
        <charset val="238"/>
      </rPr>
      <t>Ø</t>
    </r>
    <r>
      <rPr>
        <b/>
        <sz val="9"/>
        <rFont val="Arial"/>
        <family val="2"/>
        <charset val="238"/>
      </rPr>
      <t>90</t>
    </r>
  </si>
  <si>
    <t>IZPUST na PE Ø90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</si>
  <si>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Ø90 + tel.vgradna,grt.</t>
    </r>
  </si>
  <si>
    <t>Vodovod SR-4/6 + SR-4/7 + SR-4/8 + SR-4/7.1 + SR-4/7.2 + SR-4/9.3 + SR-4/9.4 + SR-2/20.1 + SR-2/20.2</t>
  </si>
  <si>
    <t>PE 100 PN 16 Ø125 RC PROTECT SDR11 PN16           z dodanim aluminijastim slojem</t>
  </si>
  <si>
    <r>
      <t xml:space="preserve">PE 100 PN 16 </t>
    </r>
    <r>
      <rPr>
        <sz val="9"/>
        <rFont val="Arial"/>
        <family val="2"/>
        <charset val="238"/>
      </rPr>
      <t>Ø63</t>
    </r>
    <r>
      <rPr>
        <sz val="9"/>
        <color indexed="8"/>
        <rFont val="Arial"/>
        <family val="2"/>
        <charset val="238"/>
      </rPr>
      <t xml:space="preserve"> RC PROTECT SDR11 PN16            z dodanim aluminijastim slojem</t>
    </r>
  </si>
  <si>
    <r>
      <t xml:space="preserve">PE 100 PN 16 </t>
    </r>
    <r>
      <rPr>
        <sz val="9"/>
        <rFont val="Arial"/>
        <family val="2"/>
        <charset val="238"/>
      </rPr>
      <t>Ø40</t>
    </r>
    <r>
      <rPr>
        <sz val="9"/>
        <color indexed="8"/>
        <rFont val="Arial"/>
        <family val="2"/>
        <charset val="238"/>
      </rPr>
      <t xml:space="preserve"> RC PROTECT SDR11 PN16            z dodanim aluminijastim slojem</t>
    </r>
  </si>
  <si>
    <r>
      <t xml:space="preserve">PE 100 PN 16 </t>
    </r>
    <r>
      <rPr>
        <sz val="9"/>
        <rFont val="Arial"/>
        <family val="2"/>
        <charset val="238"/>
      </rPr>
      <t>Ø</t>
    </r>
    <r>
      <rPr>
        <sz val="9"/>
        <color indexed="8"/>
        <rFont val="Arial"/>
        <family val="2"/>
        <charset val="238"/>
      </rPr>
      <t>32 RC PROTECT SDR11 PN16            z dodanim aluminijastim slojem</t>
    </r>
  </si>
  <si>
    <t>MMB z int.zasunom DN 100/100 bajonetni</t>
  </si>
  <si>
    <t>Vodovod VRP + SR-1/1 + SR-1/2 + SR-1/3 + SR-1/4 + SR-1/5</t>
  </si>
  <si>
    <r>
      <t xml:space="preserve">Izdelava obrabne in zaporne plasti bituminizirane zmesi v dveh slojih po AC 8 surf B 50/70 A5 v debelini 4 cm, vključno s čiščenjem in premazom stikov z bitumensko emulzijo ter pobrizg očiščenega asfalta z bitumensko emulzijo 0,5 kg/m2 - </t>
    </r>
    <r>
      <rPr>
        <u/>
        <sz val="9"/>
        <rFont val="Arial"/>
        <family val="2"/>
        <charset val="238"/>
      </rPr>
      <t>hodniki in kolesarske steze - na priključkih in uvozih.</t>
    </r>
  </si>
  <si>
    <t>PE 100 PN 16 Ø63 RC PROTECT SDR11 PN16</t>
  </si>
  <si>
    <r>
      <t>PE 100 PN 16 Ø50</t>
    </r>
    <r>
      <rPr>
        <sz val="9"/>
        <color indexed="8"/>
        <rFont val="Arial"/>
        <family val="2"/>
        <charset val="238"/>
      </rPr>
      <t xml:space="preserve"> RC PROTECT SDR11 PN16</t>
    </r>
  </si>
  <si>
    <t xml:space="preserve">Vodovod SR-1/7 + SR-1/8 + SR-1/8.1 + SR-1/10 </t>
  </si>
  <si>
    <t>Vodovod SR-2/1 + SR-2/2 + SR-2/3 + SR-2/4 +       SR-2/5 + SR-2/6 + SR-2/7</t>
  </si>
  <si>
    <t>Vodovod SR-2/9 + SR-2/10 + SR-2/11</t>
  </si>
  <si>
    <t>3.3.1</t>
  </si>
  <si>
    <t>Pripravljalna dela:
Ureditev gradbišča skladno z veljavno zakonodajo, komplet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t>
  </si>
  <si>
    <t>Preverba podatkov, detekcija, odkrivanje in zakoličevanje vseh obstoječih infrastrukturnih vodov, ki tangirajo gradnjo (elektro, TK, kanalizacija, vodovod...).</t>
  </si>
  <si>
    <t>Sekanje in odstranjevanje grmičevja in dreves (deb. do 10 cm), odvoz v deponijo do 3 km in sežig.</t>
  </si>
  <si>
    <t>Razpiranje gradbene jame na mestih, kjer nastopa možnost zrušenja bokov pri močnejšem zemeljskem pritisku, glede na stabilnost brežin, globino gradbene jame in bližino prometne obtežbe. Razpirati je potrebno povsod, kjer to zahtevajo predpisi o varstvu pr</t>
  </si>
  <si>
    <t>Strojno zasipavanje gradbene jame vodohrana z mešanico materiala iz izkopa in gramoza 0/64mm, strojno nabijanje v plasteh po 20cm, do nosilnosti Ev2&gt;60MPa na planumu tampona do kote terena oz kote razplaniranja humusa. Upoštevano razmerje 40/60% izkop/gra</t>
  </si>
  <si>
    <t>Izvedba meritev nosilnosti in zgoščenosti nosilnega tampona z izdajo atesta (povozne površine).</t>
  </si>
  <si>
    <t>ZEMELJSKA DELA SKUPAJ:</t>
  </si>
  <si>
    <t>Pri vseh betonskih delih je zajeti v enotno ceno potrebne preiskave.</t>
  </si>
  <si>
    <t>Dobava in vgrajevanje betona v nearmirane konstrukcije preseka do 0,10 m3/m2-m; z vsemi pomožnimi deli in prenosi do mesta vgraditve.
~podložni beton C 12/15_XC deb. 10 cm, zaščitni beton C 12/15_XC deb. 5 cm (pod temeljno ploščo) ter podložni beton za po</t>
  </si>
  <si>
    <t>Betoniranje dna, sten, plošč vodohrana z betonom C25/30_XC2_XD2_PV-II ter zunanjih stopnic in podpornih zidov z betonom C 25/30_XD1_XF2</t>
  </si>
  <si>
    <t>Betoniranje zunanjih stopnic s podestom in podpornih zidov z betonom C 25/30_XD1_XF2</t>
  </si>
  <si>
    <t>- RA do fi12mm (S-500B (BSt 500S)</t>
  </si>
  <si>
    <t>- RA nad fi12mm (S-500B (BSt 500S)</t>
  </si>
  <si>
    <t>- armaturne mreže (BSt 500M)</t>
  </si>
  <si>
    <t>Izvedba gladkega opaža za ravno AB ploščo deb. do 20 cm, s podporami višine 2 do 3 m; s prenosom, razopaženjem in vsemi pomožnimi deli.</t>
  </si>
  <si>
    <t xml:space="preserve">Izvedba gladkega opaža za zunanje stopnice, s prenosom materiala do mesta vgraditve, razopaženjem in vsemi pomožnimi deli. </t>
  </si>
  <si>
    <t xml:space="preserve">Izvedba gladkega opaža za podporna zidova ob stopnicah, s prenosom materiala do mesta vgraditve, razopaženjem in vsemi pomožnimi deli. </t>
  </si>
  <si>
    <t>Izvedba zaokrožnice v vseh kotih s sanacijsko malto Sika MonoTop 412 N, ali enakovredno.</t>
  </si>
  <si>
    <t>Preplastitev vseh površin sten in tal s tesnilno malto SikaLastic-1K, ali enakovredno, v dveh slojih skupne debeline 3 mm</t>
  </si>
  <si>
    <t>Izvedba stropnega cementnega obrizga s cementno tesnilno malto Sika 110 HD, ali enakovredno v kapniški strukturi.</t>
  </si>
  <si>
    <t>Dobava in montaža pohodne rešetke iz nerjavečega jekla (inox) na izpustno - prezračevalnem jašku, dimenzij 100/100 cm; izreze in dimenzije prilagoditi fazonskim kosom armaturne celice</t>
  </si>
  <si>
    <t xml:space="preserve">Dobava in vgradnja prefabriciranega revizijskega jaška iz PE fi 100 cm, globine 6 m, skupaj z betonskim obročem, razbremenilno ploščo in z napravo AB temelja, obdelavo vtokov in iztoka, ter z vgraditvijo LTŽ pokrova s tesnenjem, fi 600 mm, nosilnosti 250kN. Ležišče jaška iz betona C12/15, debeline 10cm. </t>
  </si>
  <si>
    <t>Dobava in vgradnja PVC fi 250 mm izpustno prezračevalne  cevi iz objekta, dolžine 12 m, komplet s fazonskimi kosi (koleni)</t>
  </si>
  <si>
    <t>Izgradnja izpustno prezračevalne glave (v kompletu z opaženjem, betoniranjem, razopaženjem in vsemi pomožnimi deli)
- opaž; 4 m 
- beton C 12/15; 0.05 m3
- AB C 25/30; 1.5 m2 
- lomljenec; 0.8 m3
- žabji poklopec; 1 kos
- betonski pokrov 1x1 m; 1 kos
- nerjaveča JE mrežica proti mrčesu; 1 kos
- ureditev izpusta s tlakovanjem kamen v betonu; 1 m3</t>
  </si>
  <si>
    <r>
      <t xml:space="preserve">Pri NL ceveh se upošteva izvedba </t>
    </r>
    <r>
      <rPr>
        <b/>
        <sz val="10"/>
        <rFont val="Arial"/>
        <family val="2"/>
      </rPr>
      <t>30% dolžine</t>
    </r>
    <r>
      <rPr>
        <sz val="10"/>
        <rFont val="Arial"/>
        <family val="2"/>
      </rPr>
      <t xml:space="preserve"> z NL cevmi s sidrnimi rastavljivimi spoji.</t>
    </r>
  </si>
  <si>
    <r>
      <t xml:space="preserve">Pri PE ceveh se upošteva izvedba </t>
    </r>
    <r>
      <rPr>
        <b/>
        <sz val="10"/>
        <rFont val="Arial"/>
        <family val="2"/>
      </rPr>
      <t>10% dolžine</t>
    </r>
    <r>
      <rPr>
        <sz val="10"/>
        <rFont val="Arial"/>
        <family val="2"/>
      </rPr>
      <t xml:space="preserve"> z PE cevmi z dodanim aluminijastim slojem</t>
    </r>
  </si>
  <si>
    <t xml:space="preserve">Prelivni cevovod in izpust NL DN150 </t>
  </si>
  <si>
    <t xml:space="preserve">Prelivni kos DN 150 INOKS+nav. prirob. </t>
  </si>
  <si>
    <t xml:space="preserve">E-kos DN 150  INOKS+nav. prirob. </t>
  </si>
  <si>
    <t xml:space="preserve">F-kos DN 150  INOKS+nav. prirob. </t>
  </si>
  <si>
    <t xml:space="preserve">FF  DN150/800 INOKS+nav. slepa prirob. v steni  </t>
  </si>
  <si>
    <t xml:space="preserve">FF  DN150/1000 INOKS+nav. prirob. </t>
  </si>
  <si>
    <t xml:space="preserve">FF  DN150/500 INOKS+nav. prirob. </t>
  </si>
  <si>
    <t xml:space="preserve">FFR-kos DN 150/100  INOKS+nav. prirob. </t>
  </si>
  <si>
    <t xml:space="preserve">FF  DN100/800 INOKS+nav. slepa prirob. v steni  </t>
  </si>
  <si>
    <t>FFQ-kos DN150 INOX</t>
  </si>
  <si>
    <t>Zasun DN100 + kolo</t>
  </si>
  <si>
    <t>Zasun DN150 + kolo</t>
  </si>
  <si>
    <t>Sesalni cevovod NL DN150</t>
  </si>
  <si>
    <t>FF  DN150 INOKS+nav. prirob.+nav. odcepom 1"</t>
  </si>
  <si>
    <t>T-kos DN150/150 INOX</t>
  </si>
  <si>
    <t>TT-kos DN150/150 INOX</t>
  </si>
  <si>
    <t>ZASUN DN150 + elektro pogon
Elektro pogon je Auma , 3-fazni 3x400 VAC. Auma pogon s krmilno enoto Aumatic 01.2. Priklop na krmilnik je izveden preko digitalnih vhodov/izhodov na aumi ter analognih izhodov tokovne zanke 4-20mA</t>
  </si>
  <si>
    <t>Zračnik DN100 dvofunkcijski</t>
  </si>
  <si>
    <t>Lovilec nečistoč DN150 s stransko čist. odprtino</t>
  </si>
  <si>
    <t>Nepovratni ventil DN 150</t>
  </si>
  <si>
    <t>MDK DN 150 INOX</t>
  </si>
  <si>
    <t>INDUKTIVNI MERILNIK PRETOKA DN150 
Elektro magnetni dvosmerni merilnik pretoka.
izhod tokovna zanka 4-20mA,  IP68
Montaža, priklop in preizkus ter zagon merilca pretoka. 
TIP: Promag 10W PN16 DN100 Proizvajalec Endress+Hauser ali enakovredeno</t>
  </si>
  <si>
    <t>Sesalni koš s povratnim ventilom DN 150</t>
  </si>
  <si>
    <t>Tlačni cevovod NL DN150</t>
  </si>
  <si>
    <t>FFR-kos DN150/100 INOX</t>
  </si>
  <si>
    <t>Manometer Np 0-16</t>
  </si>
  <si>
    <t>Krogelni ventil ND25 + čep</t>
  </si>
  <si>
    <t>Ostalo k strojnim inštalacijam</t>
  </si>
  <si>
    <t>Tlačni preizkus cevovoda po veljavnih standardih za posamezne vrste cevovoda, po navodilih proizvajalca in zahtevah nadzornega organa.</t>
  </si>
  <si>
    <t>Dezinfekcija in izpiranje cevovoda in objekta po izvršeni tlačni probi in dokončni montaži</t>
  </si>
  <si>
    <t>Pri izvedbi mora izvajalec upoštevati veljavne tehnične standarde in  Smernice  za energetiko, lokalno avtomatiko in telemetrični sistem TRC, ki se uporabljajo na VODOVODU SISTEMA B. Vsa ponujena oprema mora biti kompatibilna z obstoječo opremo! Opremo potrdi upravljavec vodovoda. V ceni vsake posamezne postavke je zajeta nabava, prenosi in transporti, pripravljalna dela, zarisovanje, montaža, preizkusi, regulacija ter vsa drobna dela. Dela izvajati v skladu z veljavnimi tehničnimi predpisi, normativi in upoštevati predpise iz varnosti in zdravja pri delu. V postavkah je všteta izdelava prebojev za elektro instalacije, odvoz ruševin zaradi izdelave prebojev na trajno deponijo, skladno z zakonom in predpisi. Izvedba prebojev na način, da ne pride do poškodb konstrukcije objekta. V cenah morajo biti vključena vsa nepredvidena dela</t>
  </si>
  <si>
    <t>VH in PČR Sotina ozemljitev splošne elektro inštalacije material in delo</t>
  </si>
  <si>
    <t>Gradbena dela</t>
  </si>
  <si>
    <t>Material in delo</t>
  </si>
  <si>
    <t>Cena na enoto</t>
  </si>
  <si>
    <t>Skupaj</t>
  </si>
  <si>
    <t xml:space="preserve">Ploščati nerjaveč trak Rf 30 x 3,5 mm (izvedba ''temeljnega'' ozemljila) položen v betonsko konstrukcijo objekta. Komplet s položitvijo in priteditvijo na armaturo ter zaščeten na mestih prerezov - poškodb z bitumnom. </t>
  </si>
  <si>
    <t xml:space="preserve">Ploščati nerjaveč trak Rf 30 x 3,5 mm, dolžina cca 50m, položen v okoli objekta vodohrana. Komplet z izkopom jarka (globina min 0.8m) in zasutjem jarka, položitvijo, priteditvijo temeljno ozemljilo, z izvedbamo izvodov, merilnih stikov in lovilnih palic.... </t>
  </si>
  <si>
    <t>Križna sponka sestavljena iz 3 ploščic dimenzij  58x58mm in 4 vijakov M8, zalita s bitumen maso (antikorozijska zaščita), komplet z izvedbo spojev na ozemljilni sistem.</t>
  </si>
  <si>
    <t>Tipska povozna merilna ozemljitvena omarica,nosilnost 5t, telo izdelano iz umetnih materialov, obstojnih na atmosferi (PE), pokrov omarice izdelan iz litega železa.</t>
  </si>
  <si>
    <r>
      <t xml:space="preserve">Lovilna palica Al </t>
    </r>
    <r>
      <rPr>
        <sz val="10"/>
        <rFont val="Calibri"/>
        <family val="2"/>
        <charset val="238"/>
      </rPr>
      <t>Ø</t>
    </r>
    <r>
      <rPr>
        <sz val="10"/>
        <rFont val="Arial"/>
        <family val="2"/>
        <charset val="238"/>
      </rPr>
      <t>16nn, h=2m, komplet z pritrdilnim kompletom ter povezavo na ozemljilni sistem in s postavitvio.</t>
    </r>
  </si>
  <si>
    <t>Zbiralka za izenačenje električnega potenciala, s prekritjem iz umetne mase, možnost priključitve ozemljitvenega treku 30x3.5mm, masivnega okroglega vodnika 7-10mm, nosilcem in zbiralko 16mm2…komplet.</t>
  </si>
  <si>
    <t>Kabelska polica iz nerjaveče pločevine, brez pokrova, komplet z obešalnim in pritrdilnim priborom širine 200mm</t>
  </si>
  <si>
    <t>Kabelska polica iz nerjaveče pločevine, brez pokrova, komplet z obešalnim in pritrdilnim priborom širine 100mm</t>
  </si>
  <si>
    <t>Finožični zaščitni vodnik H07V-K 10mm2</t>
  </si>
  <si>
    <t>1.17</t>
  </si>
  <si>
    <t>1.18</t>
  </si>
  <si>
    <t>1.19</t>
  </si>
  <si>
    <t>Palična LED svetilka IP65 , 6000lum, 4000K, montažo ter priklopom.</t>
  </si>
  <si>
    <t>1.20</t>
  </si>
  <si>
    <t>Palična LED svetilka IP65 (zasilna svetilka), akumulator za 3h avtonomno delovanje in sistemo avtomatskega vžiga luči ob izpadu el. napetosti, 6000lum, 4000K, montažo ter priklopom.</t>
  </si>
  <si>
    <t>1.21</t>
  </si>
  <si>
    <t>Stensko nadgradno zunanje zasenčeno svetilo komplet s senzorjem LED, 4000lum, 3000K IP44 ali enakovredno.</t>
  </si>
  <si>
    <t>1.22</t>
  </si>
  <si>
    <t>STIKALO NADOMETNO NAVADNO 230V/10A, IP44.</t>
  </si>
  <si>
    <t>1.23</t>
  </si>
  <si>
    <t>Nadometna 1P vtičnica 16A/230V/50Hz, IP44, montaža h=1.5m.</t>
  </si>
  <si>
    <t>1.24</t>
  </si>
  <si>
    <t>Nadometna 3P vtičnica 16A/400V/50Hz, IP44, montaža h=1.5m.</t>
  </si>
  <si>
    <t>1.25</t>
  </si>
  <si>
    <r>
      <t xml:space="preserve">Zaščitna, plastična, samogasna (RF) za montažo kablov nad ometom </t>
    </r>
    <r>
      <rPr>
        <sz val="10"/>
        <rFont val="Calibri"/>
        <family val="2"/>
        <charset val="238"/>
      </rPr>
      <t>Ø</t>
    </r>
    <r>
      <rPr>
        <sz val="10"/>
        <rFont val="Arial"/>
        <family val="2"/>
        <charset val="238"/>
      </rPr>
      <t>13,5mm, z dozami in pritrdilnim materialom</t>
    </r>
  </si>
  <si>
    <t>1.26</t>
  </si>
  <si>
    <r>
      <t xml:space="preserve">Zaščitna, plastična, samogasna (RF) za montažo kablov nad ometom </t>
    </r>
    <r>
      <rPr>
        <sz val="10"/>
        <rFont val="Calibri"/>
        <family val="2"/>
        <charset val="238"/>
      </rPr>
      <t>Ø</t>
    </r>
    <r>
      <rPr>
        <sz val="10"/>
        <rFont val="Arial"/>
        <family val="2"/>
        <charset val="238"/>
      </rPr>
      <t>16mm, z dozami in pritrdilnim materialom</t>
    </r>
  </si>
  <si>
    <t>1.27</t>
  </si>
  <si>
    <t>NYM-J 3 x 1.5 mm2</t>
  </si>
  <si>
    <t>1.28</t>
  </si>
  <si>
    <t>NYM-J 3 x 2.5 mm2</t>
  </si>
  <si>
    <t>1.29</t>
  </si>
  <si>
    <t>NYM-J 5 x 2.5 mm2</t>
  </si>
  <si>
    <t>1.30</t>
  </si>
  <si>
    <t>NYM-J 5 x 16 mm2</t>
  </si>
  <si>
    <t>1.31</t>
  </si>
  <si>
    <t xml:space="preserve">Cu žica izolirana rumeno/zeleno H07V-K 10mm2, komplet z objemkami in izvedbo galvanskih stikov na vse električno prevodne dele, ter povezavo na ozemljitveni sistem. </t>
  </si>
  <si>
    <t>1.32</t>
  </si>
  <si>
    <t>ÖLFLEX CLASSIC CY 110 Z OKLOPOM 4X2,5 mm2</t>
  </si>
  <si>
    <t>1.33</t>
  </si>
  <si>
    <t>ÖLFLEX CLASSIC CY 110 Z OKLOPOM 3X0,75 mm2</t>
  </si>
  <si>
    <t>1.34</t>
  </si>
  <si>
    <t>LIYCY (TP) 2x2x1mm</t>
  </si>
  <si>
    <t>1.35</t>
  </si>
  <si>
    <t>LIYCY (TP) 4x2x1mm</t>
  </si>
  <si>
    <t>1.36</t>
  </si>
  <si>
    <t>1.37</t>
  </si>
  <si>
    <t>1.38</t>
  </si>
  <si>
    <t>Izvedba fiksnih priklopov IP44 predvidenih črpalk.</t>
  </si>
  <si>
    <t>1.39</t>
  </si>
  <si>
    <t>Sponke, vezni in drobni material</t>
  </si>
  <si>
    <t>VH in PČR Sotina avtomatika in telemetrija</t>
  </si>
  <si>
    <t>Pri izvedbi mora izvajalec upoštevati tehnične standrade in  smernice  za energetiko, lokalno avtomatiko in telemetrični sistem TRC – št: TS-SB-2013/1, ki so že uporabljene v obstoječem sistemu "Oskrbe s pitno vodo Pomurja  – SISTEM  B"</t>
  </si>
  <si>
    <t>Omara POLJE 1 (moč)</t>
  </si>
  <si>
    <t xml:space="preserve">Enota </t>
  </si>
  <si>
    <t>Prostostoječi stikalni blok izdelan iz pločevine dimenzije 1000 x 2000 x 400 mm  na 100mm podstavku. Omara je z vrati, s ključavnico, z montažno ploščo in/ali nosilci opreme, s predalom za načrte, dno omare je zaprto.Stikalni blok je v zaščiti IP 66, za notranjo montažo.</t>
  </si>
  <si>
    <t xml:space="preserve">Prenapetostna zaščita RAZREDA II primeren za TN-C ozemljitveni sistem, karakteristik Un=3x400V/50Hz, Imax=60kA, In=30kA ta&lt;25ns (L/N) in ta&lt;100ns (N/PE). </t>
  </si>
  <si>
    <t xml:space="preserve">RCD diferenčno zaščitno stikalo AC razred zaščite, občutljivosti 30mA, 3P+N, 400V, 40A.                                                                            </t>
  </si>
  <si>
    <t>2.5</t>
  </si>
  <si>
    <t>Tripolni odklopnik,  za nazivno napetost 690 V in tok 63 A, prekinitvene moči  25 kA, z zaščitno napravo za zaščito pred kratkim stikom in preobremenitvijo, I&gt;... (0,7-1)*Ir , I&gt;&gt;...5-10*Ir, spomožnimi kontakti 1NOC signalizacije stanja odklopnika in z obešanko za zaklepanje v izklopljenem stanju.</t>
  </si>
  <si>
    <t>Enofazni prezračevalni ventilator 230V, z rešetko in finim filtrom.</t>
  </si>
  <si>
    <t>Zračnik s finim filtrom pretoka zraka.</t>
  </si>
  <si>
    <t>2.8</t>
  </si>
  <si>
    <t>Interni regulator temperature z 1NO kontaktom 2A, 230V, nastavljiv 0-55°C.</t>
  </si>
  <si>
    <t>2.9</t>
  </si>
  <si>
    <t>Grelec elektro omare 230V/150W.</t>
  </si>
  <si>
    <t>Mehansko stikalo  6A, 230V za vklop razsvetljave elektro omare.</t>
  </si>
  <si>
    <t>Servisna LED svetilka , 1000lum stikalom za ročni/avtomatski vklop svetilke, servisno L+N+PE, 230V,16A vtičnico in originalnim kablom z vtičnico.</t>
  </si>
  <si>
    <t>Agregatska trifazna vtičnica  za montažo na omarico 3P+N+PE, 400-415V, 32A, IP65.</t>
  </si>
  <si>
    <t xml:space="preserve">Industrijska trifazna vtičnica  za montažo na omarico 3P+N+PE, 400-415V, 16A, IP65.                                                                 </t>
  </si>
  <si>
    <t xml:space="preserve">Industrijska enofazna vtičnica  za montažo na omarico 1P+N+PE, 230V, 16A, IP65,                                                                  </t>
  </si>
  <si>
    <t>Tokovnik 100/5A 3VA KL3, vgradnja na DIN letev, klasa 0.5.</t>
  </si>
  <si>
    <r>
      <t xml:space="preserve">Tipka izklop v sili rdeča, deaktivacija s ključem 455, </t>
    </r>
    <r>
      <rPr>
        <sz val="10"/>
        <rFont val="Calibri"/>
        <family val="2"/>
        <charset val="238"/>
      </rPr>
      <t>Ø</t>
    </r>
    <r>
      <rPr>
        <sz val="10"/>
        <rFont val="Arial"/>
        <family val="2"/>
        <charset val="238"/>
      </rPr>
      <t>40, IP65, komplet s podnožjem, stikalnim elementom 2xNC in montažo na vrata elektro omare.</t>
    </r>
  </si>
  <si>
    <r>
      <t xml:space="preserve">Tipka izklop v sili rdeča, deaktivacija s ključem 455, </t>
    </r>
    <r>
      <rPr>
        <sz val="10"/>
        <rFont val="Calibri"/>
        <family val="2"/>
        <charset val="238"/>
      </rPr>
      <t>Ø</t>
    </r>
    <r>
      <rPr>
        <sz val="10"/>
        <rFont val="Arial"/>
        <family val="2"/>
        <charset val="238"/>
      </rPr>
      <t>40, IP65, komplet s podnožjem, stikalnim elementom 2xNC nosilcem - stebričkom h=1.5m ustreznim ohišjem ter montažo ob sklopu črpalk hidrosistema (v črpališču), komplet z montažo.</t>
    </r>
  </si>
  <si>
    <t xml:space="preserve">Inštalacijski odklopniki Icu=15 kA, 3-polna 16 A, karakteristika "B" </t>
  </si>
  <si>
    <t xml:space="preserve">Inštalacijski odklopniki Icu=15 kA, 3-polna 10 A, karakteristika "B" </t>
  </si>
  <si>
    <t>Inštalacijski odklopniki Icu=15 kA, 1-polna 16 A, karakteristika "B"</t>
  </si>
  <si>
    <t>Inštalacijski odklopniki Icu=15 kA, 1-polna 16 A, karakteristika "C"</t>
  </si>
  <si>
    <t>Inštalacijski odklopniki Icu=15 kA, 1-polna 10 A, karakteristika "B"</t>
  </si>
  <si>
    <t>2.25</t>
  </si>
  <si>
    <t>Inštalacijski odklopniki Icu=15 kA, 1-polna 6 A, karakteristika "B"</t>
  </si>
  <si>
    <t>2.26</t>
  </si>
  <si>
    <t>Pomožni kontakt NC za montažo na inštalacijski odklopnik.</t>
  </si>
  <si>
    <t>2.27</t>
  </si>
  <si>
    <t xml:space="preserve">Tripolni motorski odklopnik,  za nazivno napetost 690 V in tok 22 A, prekinitvene moči  50 kA, z zaščitno napravo za zaščito pred kratkim stikom in preobremenitvijo, I&gt;... 6-9A  s pomožnimi kontakti signalizacije preobremenitve in kratkega stika  ter položaja odklopnika.
</t>
  </si>
  <si>
    <t>2.28</t>
  </si>
  <si>
    <t xml:space="preserve">Frekvenčni regulator 3x400V AC, 4kW, IP20,z grafičnim panelomo, vgrajenim RFI filtrom razred A1/B, Modbus RTU.  Proizvajalec: Danfoss (ali enakovredno)                                     </t>
  </si>
  <si>
    <t>2.29</t>
  </si>
  <si>
    <t>Rele s 4 preklopnimi NOC kontakti, optično indikacijo vklopa, s tuljavo za 24 VAC in RC členom.</t>
  </si>
  <si>
    <t>2.30</t>
  </si>
  <si>
    <t>Enopolno izbirno stikalo 1_0, 10 A, 230 V.</t>
  </si>
  <si>
    <t>2.31</t>
  </si>
  <si>
    <t>Enopolno izbirno stikalo 1_0, 16 A, 230 V.</t>
  </si>
  <si>
    <t>2.32</t>
  </si>
  <si>
    <t>Tripolno izbirno stikalo 1_0_2, 10 A, 230 V.</t>
  </si>
  <si>
    <t>2.33</t>
  </si>
  <si>
    <t xml:space="preserve">Zakljucna plošcica, 2/3 polna </t>
  </si>
  <si>
    <t>2.34</t>
  </si>
  <si>
    <t xml:space="preserve">Perforirana montažna letev 7,5mm, dolžine 2000mm </t>
  </si>
  <si>
    <t>2.35</t>
  </si>
  <si>
    <t>KANAL ZA OŽICENJE 80x80</t>
  </si>
  <si>
    <t>2.36</t>
  </si>
  <si>
    <t>Kanal za ožicenje 80x60</t>
  </si>
  <si>
    <t>2.37</t>
  </si>
  <si>
    <t>KANAL ZA OŽICENJE 80x40</t>
  </si>
  <si>
    <t>2.38</t>
  </si>
  <si>
    <t>Sponka 2,5mm2, tip CBC, siva</t>
  </si>
  <si>
    <t>2.39</t>
  </si>
  <si>
    <t>Plošcica zakljucna za sponke 2,5-10mm2, tip CBC, sive barve</t>
  </si>
  <si>
    <t>2.40</t>
  </si>
  <si>
    <t>Oznaka sponk 1-50 (2x)</t>
  </si>
  <si>
    <t>2.41</t>
  </si>
  <si>
    <t>Sponka 10mm2, tip CBC</t>
  </si>
  <si>
    <t>2.42</t>
  </si>
  <si>
    <t xml:space="preserve">Sponka 16mm2, tip CBC, siva </t>
  </si>
  <si>
    <t>2.43</t>
  </si>
  <si>
    <t xml:space="preserve">SPONKA 16mm2, tip CBC, modra </t>
  </si>
  <si>
    <t>2.44</t>
  </si>
  <si>
    <t xml:space="preserve">Plošcica zakljucna za sponke 16mm2, modre barve </t>
  </si>
  <si>
    <t>2.45</t>
  </si>
  <si>
    <t xml:space="preserve">Ozemljitvena sponka 16mm2 tip TE16, rumena/zelena </t>
  </si>
  <si>
    <t>2.46</t>
  </si>
  <si>
    <t xml:space="preserve">Plošcica zakljucna za sponke 16mm2, </t>
  </si>
  <si>
    <t>2.47</t>
  </si>
  <si>
    <t xml:space="preserve">Koncni kos za DIN-letev, črn, ojačen, zaskočni </t>
  </si>
  <si>
    <t>2.48</t>
  </si>
  <si>
    <t>Nosilec oznak sponk</t>
  </si>
  <si>
    <t>2.49</t>
  </si>
  <si>
    <t xml:space="preserve">SPONKA 2,55mm2, modra </t>
  </si>
  <si>
    <t>2.50</t>
  </si>
  <si>
    <t xml:space="preserve">Plošcica zakljucna za sponke 2,5-10mm2, modre barve </t>
  </si>
  <si>
    <t>2.51</t>
  </si>
  <si>
    <t>Uvodnice raznih dimenzij komplet z maticami</t>
  </si>
  <si>
    <t>2.52</t>
  </si>
  <si>
    <t>Matica za uvodnico PG13,5 (M273105---)</t>
  </si>
  <si>
    <t>2.53</t>
  </si>
  <si>
    <r>
      <t xml:space="preserve">Žice H07V-K </t>
    </r>
    <r>
      <rPr>
        <u/>
        <sz val="10"/>
        <rFont val="Arial CE"/>
        <family val="2"/>
        <charset val="238"/>
      </rPr>
      <t>x</t>
    </r>
    <r>
      <rPr>
        <sz val="10"/>
        <rFont val="Arial CE"/>
        <family val="2"/>
        <charset val="238"/>
      </rPr>
      <t xml:space="preserve"> raznobarvne, različnih presekov za ožičenje elementov v elektro omari. </t>
    </r>
  </si>
  <si>
    <t>2.54</t>
  </si>
  <si>
    <t>Ostala nespecificirana spojna in montažna oprema (nosilci, PVC zaščita zbiralk, PF vodniki ustreznih premerov in barv za notranje ožičenje, izolirani tulci in ostali spojni in pritrdilni material)</t>
  </si>
  <si>
    <t>2.55</t>
  </si>
  <si>
    <t>Vezava stikalnega bloka in statično testiranje z izdelavo poročila o testih.</t>
  </si>
  <si>
    <t>Omara POLJE 2 (krmiljenje)</t>
  </si>
  <si>
    <t>Prostostoječi stikalni blok izdelan iz pločevine dimenzije 800 x 2000 x 400 mm na 100mm podstavku. Omara je z vrati, s ključavnico, z montažno ploščo in/ali nosilci opreme, s predalom za načrte, dno omare je zaprto.Stikalni blok je v zaščiti IP 66, za notranjo montažo.</t>
  </si>
  <si>
    <t xml:space="preserve">Selekttivno RCD diferenčno zaščitno stikalo AC razred zaščite, občutljivosti 30mA, 3P+N, 400V, 25A.                                                                            </t>
  </si>
  <si>
    <t xml:space="preserve">SHUKO'' enofazna vtičnica za montažo na omarico 1P+N+PE, 250V, 16A, IP65.                                                                   </t>
  </si>
  <si>
    <t xml:space="preserve">Ločilni transformator 230/230V AC 1000VA </t>
  </si>
  <si>
    <t xml:space="preserve">Galvanski ločilnik DC/DC 4-20/4-20mA. </t>
  </si>
  <si>
    <t>Prenapetostna zaščita 24V DC.</t>
  </si>
  <si>
    <t>Prenapetostna zaščita krmilnih tokokrogov 230V AC razred C.</t>
  </si>
  <si>
    <t>Izolirane varovalčne letve komplet z cevnimi varovalkami 6.3/1A.</t>
  </si>
  <si>
    <t>3.16</t>
  </si>
  <si>
    <t xml:space="preserve">Inštalacijski odklopnik Icu=15 kA, 1-polni 6 A, karakteristika "B" </t>
  </si>
  <si>
    <t>3.17</t>
  </si>
  <si>
    <t>3.18</t>
  </si>
  <si>
    <t>Rele s 4 preklopnimi NOC kontakti, optično indikacijo vklopa, s tuljavo za 24 VDC in RC členom.</t>
  </si>
  <si>
    <t>3.19</t>
  </si>
  <si>
    <t>Signalna svetilka, LED -RDEČA za 24VDC, komplet z podnožjem in montažo.</t>
  </si>
  <si>
    <t>3.20</t>
  </si>
  <si>
    <t>Signalna svetilka, LED -ZELENA za 24VDC,  komplet z podnožjem in montažo.</t>
  </si>
  <si>
    <t>3.21</t>
  </si>
  <si>
    <t>Signalna svetilka, LED -RUMENA za 24V DC,  komplet z podnožjem in montažo.</t>
  </si>
  <si>
    <t>3.22</t>
  </si>
  <si>
    <t>Tipka rumena ''test svtilk'' IP65, komplet z vmesnikom dodatnim kontaktom NO, montažo.</t>
  </si>
  <si>
    <t>3.23</t>
  </si>
  <si>
    <t>Enopolno izbirno stikalo 1_0, 10 A, 24 V s ključem 455.</t>
  </si>
  <si>
    <t>3.24</t>
  </si>
  <si>
    <t>Vezava krmilnika modularna izvedba  (podrobnosti v popisu za krmilnika)</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</si>
  <si>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</si>
  <si>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</si>
  <si>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</si>
  <si>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</si>
  <si>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</si>
  <si>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</si>
  <si>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</si>
  <si>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</si>
  <si>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</si>
  <si>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</si>
  <si>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</si>
  <si>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</si>
  <si>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</si>
  <si>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</si>
  <si>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</si>
  <si>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</si>
  <si>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</si>
  <si>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</si>
  <si>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</si>
  <si>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</si>
  <si>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</si>
  <si>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</si>
  <si>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</si>
  <si>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</si>
  <si>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</si>
  <si>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 xml:space="preserve">SHUKO'' enofazna vtičnica za montažo na omarico 1P+N+PE, 200-250V, 16A, IP65                                                                    </t>
  </si>
  <si>
    <t>4.4</t>
  </si>
  <si>
    <t>4.5</t>
  </si>
  <si>
    <t>Razširitveni analogni izhodni modul
Tip: TM3AQ4, Proizvajalec: Schneider ali enakovredno z naslednjimi lastnostmi:
število izhodov vsaj 4, 4 - 20 mA, 
4 AI, -10...10 V / 0…10 V / 0...20 mA / 4...20 mA, 12 bit</t>
  </si>
  <si>
    <t>4.6</t>
  </si>
  <si>
    <t>4.7</t>
  </si>
  <si>
    <t>4.8</t>
  </si>
  <si>
    <t>4.9</t>
  </si>
  <si>
    <t>4.10</t>
  </si>
  <si>
    <t>4.11</t>
  </si>
  <si>
    <t>Krmilna in komunikacijskla oprema</t>
  </si>
  <si>
    <t>5.1</t>
  </si>
  <si>
    <t>5.2</t>
  </si>
  <si>
    <t>5.3</t>
  </si>
  <si>
    <t>Mehansko tlačno stikalo 1-6bar TIP:PM/PT/PS Proizvajlec: Italtecnica ali enakovredno.</t>
  </si>
  <si>
    <t>5.4</t>
  </si>
  <si>
    <t>5.5</t>
  </si>
  <si>
    <t>Končno stikalo 10A IP 65 ( vstop)</t>
  </si>
  <si>
    <t>5.6</t>
  </si>
  <si>
    <t>5.7</t>
  </si>
  <si>
    <t>5.8</t>
  </si>
  <si>
    <t>5.9</t>
  </si>
  <si>
    <t>6.1</t>
  </si>
  <si>
    <t>6.2</t>
  </si>
  <si>
    <t>6.3</t>
  </si>
  <si>
    <t>Izdelava tehnične dokumentacije v slovenskem jeziku
PID projekt izvedenega stanja.
Garancijske izjave.
Izdaja navodil o uporabi, obratovanju in vzdrževanju.</t>
  </si>
  <si>
    <t>6.4</t>
  </si>
  <si>
    <t>6.5</t>
  </si>
  <si>
    <t>6.6</t>
  </si>
  <si>
    <t xml:space="preserve">Geodetska ZAKOLIČBA NN trase v dolžini 100m, ki služijo za situativno navezavo poteka trase v prostor. </t>
  </si>
  <si>
    <t>Lociranje in zakoličba kompletne obstoječe komunalne infrastrukture (elektrika, omrežje zvez, kanalizacija,…., komplet z naročilom zakoličbe ter sondažnimi izkopi.</t>
  </si>
  <si>
    <t xml:space="preserve">Strojni izkop kabelskega jarka dolžina x širina x globina (100m x 0,4m x 1.2m ) v za položitev NN kanalizacije v zemljo, zaščita kabelskega jaška, zagotovitev stabilnosti cestišča.... </t>
  </si>
  <si>
    <t xml:space="preserve">Izdelava križanj z kompletno obstoječo infrastrukturo. Izdelava križanj z  vodovodno inštalacijo, telekomunikacijsko, energetsko, komunalno,.... </t>
  </si>
  <si>
    <t>Izvedba posteljice za kanalizacijskih cevi z peskom          4-5mm, komplet z utrditvijo dolžina x širina x globina (100m x 0.4m x 0.2m). Plastna utrditev po slojih 20cm.</t>
  </si>
  <si>
    <t>Zasutje NN kanalizacijskega jarka z plastnim utrjevanjem z izkopanim materialom v dolžini 100m, širini 0.4m in globina 1.2m - plastno utrjevanje vsakih 0.2m.</t>
  </si>
  <si>
    <t>Fino ročno planiranje zemlje dolžina x širina x globina (100m x 0.4m x 0.05m). Vzpostavitev terena v prvotno stanje.</t>
  </si>
  <si>
    <t>Zakoličba obstoječe infrastrukture na grabišču s strani upravljalcev obstoječe komunalne infrastrukture.</t>
  </si>
  <si>
    <t>Izdelava končnega geodetskega posnetka posnetka izvedbe trase NN kabelske kanalizacije v dolžini 100m.</t>
  </si>
  <si>
    <t>Projekt za vpis v uradne evidence, vpis objekta v uradne evidence</t>
  </si>
  <si>
    <t>Sklenitev pogodbe o priključitvi na javno elektro distribucijsko omrežje moči 14kW z Elektrom Maribor d.d.. OPOMBA: pogodbo bo skelnil investitor in El. Maribor d.d.. (Dolžnost investitorja).</t>
  </si>
  <si>
    <t>Izvedba priklopa NN kabla na obstoječem elektro drogu  s strani elektrodistributerja, stikalne manipulacije, izvedba podvarovanja, varovalčnimi ločilniki NV 160A, talilnimi vložki 3x NV 500V gL-gG 00C 50A,  izdelava elaborata priklopa na NN omrežje</t>
  </si>
  <si>
    <t xml:space="preserve">Dobava in montaža nizkonapetostnih kabelskih sponk za vodnike 25-95mm2 (4 kom), priklop NN vodnikov na NN zračni elektro vod, dobava in montaža prenapetostnih obvodnikov reda I, primernih za montažo na elektr drog. </t>
  </si>
  <si>
    <t xml:space="preserve">Dobava in montaža modularnega bloka IP65 primernega za namestitev na elektro drog, komplet z NH 160A podstavki za talilne vložke 3x NV 500V gL-gG 00C 50A, izvedba podvarovanja, koplet z montažo. </t>
  </si>
  <si>
    <t>Zaščitno kabelsko korito, za zavarovanje NN kabla, komplet z montažo.</t>
  </si>
  <si>
    <t>Izvedba mehanske podpore in zagotovitev stabilnosti elektro droga ter polaganje kabla v zemljo. Po končanih delih mora biti stabilnost droga enaka kot pred posegom oziroma večja.</t>
  </si>
  <si>
    <t>110m kabel aluminij E AY2Y J 4x70mm2+2.5 RM mm2 0.6/1kV  uvlečen v zaščitno rdečo cev PVC Ø110mm. Komplet s položitvijo in priklopom v predvideni el. omarici PMEO VH in PČR Sotina. Komplet s položitvijo - uvlačenjem v zaščitno cev in priklopom.</t>
  </si>
  <si>
    <t>Dobava in polaganje cevi PVC ENERGETSKA 110/3,2 6M  (rdeča cev), 102m od obstoječe priklopno merilne elektro omare do nove omare PMEO VH in PČR Sotina. Komplet s sponkami in ostalim materialom in delom.</t>
  </si>
  <si>
    <t>Dobava in položitev opozorilnega traku rdeči z napisom POZOR ELEKTRIKA.</t>
  </si>
  <si>
    <t xml:space="preserve">Prostostoječa priključno merilna elektro omarica enokrilna IP54 ali več dim.:500x1000x300 (š,v,g) (v projektu omarica PMEO VH in PČR Sotina), komplet s podstavkom, temeljno ploščo, antihidroskopskem polnilom (1 vreča 100l),  varovalčno letvijo, montažno ploščo, okenci za merilne števce, priključnimi sponkami, ničelno sponko, zbiralko za izenačenje potencila...., postavitvijo v prostor, z direktni trifazni števec energije z dajalnikom impulza tip MT 371-D1A54, varovalčnimi ločilniki NV 160A, talilnimi vložki 3x NV 500V gL-gG 00C 20A, prenapetostni odvodnik reda I, tipsko ključavnico elektra,... Komplet z drobnim materialom. (opomba glej detajl predvidene elektro omare). </t>
  </si>
  <si>
    <t>Končne električne meritve, z izdelavo merilnega poročila. Merilec mora imeti opralvljen izpit Edisom ali Edison plus, meritve morajo biti narejene v prisotnosti odgovornega nadzornega elektro del. Merilec mora biti prisoten pri gradnji v vseh gradbenih fazah! Meritve se morajo izvesti v prisotnosti elektro nadzornika.</t>
  </si>
  <si>
    <t>Izdelava komplet PID: elektro projekt po zakonu o graditvi objektov in pravilniku o podrobnejši vsebini tehnične dokumentacije; komplet PID v 3 izvodih.</t>
  </si>
  <si>
    <t>PREČRPALIŠČE BUČEK</t>
  </si>
  <si>
    <t>Preverba podatkov, detekcija, odkrivanje in zakoličevanje vseh obstoječih infrastrukturnih vodov, ki tangirajo gradnjo (elektro, PTT, kanalizacija, vodovod...).</t>
  </si>
  <si>
    <t>Ročno planiranje dna izkopa s točnostjo od +-3 cm s povprečnim izkopom 0,05 m3/m2in odvozom zemlje na gradbiščno deponijo.</t>
  </si>
  <si>
    <t xml:space="preserve">Komplet izdelava peščene posteljice gradbene  jame (tampon) črpališča iz nekoherentnega materiala do deb. 40cm. (pesek/gramoz z zrnom do max 8mm brez ostrih robov).Valjanje in nabijanje peščene posteljice pod objektom do zbitosto 50 MPa </t>
  </si>
  <si>
    <t>Razsip in zasutje z izkopanim humusom na mestih, kjer je bil humus izkopan v debelini 20cm in širini 1,5m in zatravitev</t>
  </si>
  <si>
    <t>Razplaniranje odvečnega materiala po depresijah v okolici črpališča</t>
  </si>
  <si>
    <t>Humuziranje okolice črpališča z zatravitvijo.</t>
  </si>
  <si>
    <t xml:space="preserve">Dobava in vgrajevanje podložnega betona talne plošče C12/15, XC2, v debelini 10 cm. </t>
  </si>
  <si>
    <t xml:space="preserve">Dobava in vgraditev vodotesnega betona v AB talno   deb. 30 cm . (Beton stopnje izpostavljenosti XC2, XD2, PV-II), C25/30  </t>
  </si>
  <si>
    <t xml:space="preserve">Dobava in vgraditev vodotesnega betona v AB stene deb. 30 cm. (Beton stopnje izpostavljenosti XC2, XD2, XF3, XA3), C25/30  </t>
  </si>
  <si>
    <t xml:space="preserve">Dobava in vgraditev  betona C 25/30 v AB vezi in preklado nad vrati, prerez 0,12-0,2 m3/m2/m1 </t>
  </si>
  <si>
    <t>Pri formiranju enotne cene za posamezna dela je potrebno upoštevati vse potrebne prenose in materiale za izdelavo posameznih postavk, kot tudi potrebne odre, razopažanje, potrebno podpiranje ter pomožna dela.</t>
  </si>
  <si>
    <t>Izvedba gladkega dvostranskega opaža za ravne bet. stene s prenosom mat. do mesta vgraditve, razopaženjem in vsemi pomožnimi deli. Upoštevati je potrebno odprtine v stenah za montažo cevovoda</t>
  </si>
  <si>
    <t xml:space="preserve">Izvedba gladkega dvostranskega opaža za pasovni temelj globine 0,80m, s prenosom mat. do mesta vgraditve, razopaženjem in vsemi pomožnimi deli. </t>
  </si>
  <si>
    <t>Opaž vertikalnih protipotresnih vezi s prenosom materiala do mesta vgraditve, razopaženjem, čiščenjem lesa in vsemi pomožnimi deli in prenosi.</t>
  </si>
  <si>
    <t>Opaž zidnih horizontalnih vezi višine 20 cm, s prenosom materiala do mesta vgraditve, razopaženjem, čiščenjem lesa in vsemi pomožnimi deli in prenosi.</t>
  </si>
  <si>
    <t>Fasadni odri za dobo 30 dni, višine do 10 m, s prenosom materiala do mesta vgraditve, odstranitvijo po uporabi, čiščenje lesa in vsemi pomožnimi deli in prenosi.</t>
  </si>
  <si>
    <t>Dobava in vgrajevanje montažnih opečnih preklad (vratne in okenske preklade) z vsemi pomožnimi deli in transporti.</t>
  </si>
  <si>
    <t>Zidanje nosilnih zidov pritličja z opeko deb. 38 cm (kot npr. Porotherm), s toplotno izolacijsko malto, kompletno s pripravo malte, vsemi potrebnimi transporti in pomožnimi deli.</t>
  </si>
  <si>
    <t>Grobi in fini omet notranjih opečnih sten s toplotno izolacijsko malto, s predhodnim čiščenjem zidu in vsemi potrebnimi pomožnimi deli, napravo malte in prenosi. Vključiti tudi kitanje in brušenje sten ter zaključno bslikanje sten z barvo na pripravljeno podlago.</t>
  </si>
  <si>
    <t xml:space="preserve">Izvedba zaglajenega betona v predprostoru črpališča </t>
  </si>
  <si>
    <t>Dobava in vzidava notranjih in zunanjih okenskih polic iz naravnega kamna.</t>
  </si>
  <si>
    <t>Nabava in vgradnja kovinskega zračnika - rozete dimenzij 30x30 cm. Mere preveriti na objektu.</t>
  </si>
  <si>
    <t>Hidroizolacija notranjih sten in tal, ki so v stiku z vodo z vodotesnimi polimeriziranimi  cementno-silikatnimi zaščitnimi premazi (atesti prehrambene industrije) po tehnologiji ZRMK, hidrotest plus ali podobno, z obdelavo kotnih stikov ipd.</t>
  </si>
  <si>
    <t>Hidroizolacija talne plošče z  bitumenskimi premazi (ibitol + varjeni izotekt) (ali 1 x izotekt, vobitex ipd.)</t>
  </si>
  <si>
    <t xml:space="preserve">Vertikalna hidroizolacija zunanjih zidov in pasovnih temejev (ibitol+varjeni izotekt) </t>
  </si>
  <si>
    <t>Toplotna izolacija objekta s ekstrudiranim polistirenom debeline min 5cm in začitnim PE filcem oz PVC hidroizolacijsko folijo</t>
  </si>
  <si>
    <t>Premaz vidnih betonskih površin črpališča (betonski premaz)</t>
  </si>
  <si>
    <t>Izdelava in vgraditev vstopnih kovinskih lestev iz JE D1.5"; nerjaveče jeklo.</t>
  </si>
  <si>
    <t>Kompletna izdelava lesene strešne konstrukcije po načrtu, prenosom materiala do mesta vgraditve in vsemi pomožnimi deli in prenosi. Poraba lesa  do 0,05-0,06 m3/m3</t>
  </si>
  <si>
    <t>Letvanje strehe za prezračevanje strehe z letvami 7/5 cm pribitimi na špirovce po dolžini, kompletno s polaganjem in pričvrstitvijo sekundarne kritine ter vsemi potrebnimi deli in prenosi.</t>
  </si>
  <si>
    <t>Letvanje strehe s kontra letvami na razmaku za kritje z jekleno izolacijsko kritino ter vsemi potrebnimi deli in prenosi.</t>
  </si>
  <si>
    <t>Opaž napuščev z oblanimi deskami pero na utor debeline 24 mm, širine 15 cm na leseno podkonstrukcijo. Komplet z nabavo, predhodno impregnacijo desk, krojenjem in rezanjem ter vgradnjo. Komplet z vsem pritrdilnim materialom, vsemi pomožnimi deli in prenosi. Vključno z barvanjem lesa - barvo določi investitor.</t>
  </si>
  <si>
    <t>Pokrivanje strešine z jekleno izolacijsko kritino (kot npr. Trimo SNV 150 ali primerljivo) z vsemi potrebnimi zaključki, pritrdilnim materialom in manipulativnimi stroški potrebnimi za popolnoma izdelan izdelek.  Vključeni vsi potrebni prenosi in pomožna dela. Izvedba po navodilih in detajlih proizvajalca kritine.</t>
  </si>
  <si>
    <t>Izvedba kompletne termične fasade debeline 6 cm (kot npr. sistem Demit ali primerljive) z dobavo materiala, vsemi pomožnimi deli, prenosi in transporti. Končno obdelavo in barvo določi investitor.</t>
  </si>
  <si>
    <t>Kompletna izdelava obloge fasade cokla deb 5 cm, v sestavi stirodur in omet (kot npr. baumit ali primerljivo) z dobavo materiala, vsemi pomožnimi deli, prenosi in transporti.  Višina cokla 35 cm. Končno obdelavo in barvo določi investitor.</t>
  </si>
  <si>
    <t>Nabava in polaganje kulir plošč (dim. 40/40/3 cm) na pripravljeno tamponsko podlago (podlago vključiti v ceno) - zaščita fasade.</t>
  </si>
  <si>
    <t>Izdelava in montaža visečih strešnih žlebov polkrožne oblike iz barvane pločevine deb. 0,50 mm z vsemi preddeli, kljukami, pritrdilnim materialom in manipulativnimi stroškipotrebnimi za popolnoma izdelan izdelek. Pločevina razvite širine 40 cm, barvo določi investitor.</t>
  </si>
  <si>
    <t>Dobava in montaža žlebnih priključkov iz barvane pločevine z vsemi pomožnimi deli in prenosi.</t>
  </si>
  <si>
    <t>Izdelava in montaža odtočnih vertikalnih cevi iz barvane pločevine deb. 0,50 mm z vsemi preddeli, kljukami, pritrdilnim materialom in manipulativnimi stroški potrebnimi za popolnoma izdelan izdelek. Pločevina razvite širine 40 cm, barvo določi investitor.</t>
  </si>
  <si>
    <t>Izdelava in montaža zunanje in notranje okenske police iz naravnega kamna z vrezanim odkapnikom ter vsemi pomožnimi deli in prenosi. Polica širine 20 cm in deb. 3 cm. Mere preveriti na objektu samem. Vrsto kamna in barvo določi investitor.</t>
  </si>
  <si>
    <t>Sesalni in tlačni cevovod NL DN100</t>
  </si>
  <si>
    <t>FF  DN100 INOKS+nav. prirob. L=1000 mm</t>
  </si>
  <si>
    <t>PROTIPOVRATNI VENTIL DN 100</t>
  </si>
  <si>
    <t>FFR  DN150/DN100 INOKS</t>
  </si>
  <si>
    <t>FF  DN100 INOKS+nav. prirob.  L=1000 mm</t>
  </si>
  <si>
    <t>Lovilec nečistoč DN100 s stransko čist. odprtino</t>
  </si>
  <si>
    <t>Prečrpališče Buček ozemljitev splošne elektro inštalacije material in delo</t>
  </si>
  <si>
    <t xml:space="preserve">Ploščati nerjaveč trak Rf 30 x 3,5 mm, dolžina cca 45m, položen okoli objekta. Komplet z izkopom jarka (globina min 0.8m) in zasutjem jarka, položitvijo, priteditvijo temeljno ozemljilo, z izvedbamo izvodov, merilnih stikov in lovilnih palic.... </t>
  </si>
  <si>
    <t>Zbiralka za izenačenje električnega potenciala, s prekritjem iz umetne mase, možnost priključitve ozemljitvenega traku 30x3.5mm, masivnega okroglega vodnika 7-10mm, nosilcem in zbiralko 16mm2…komplet.</t>
  </si>
  <si>
    <t>Kabelska polica iz nerjaveče pločevine, s pokrovom, komplet z obešalnim in pritrdilnim priborom širine 100mm</t>
  </si>
  <si>
    <t>Finožični zaščitni vodnik H07V-K 8mm2</t>
  </si>
  <si>
    <t>Prečrpališče Buček avtomatika in telemetrija</t>
  </si>
  <si>
    <t xml:space="preserve">Omrežno preklopno stikalo omrežje - 0- zasilno  400V AC tok 80A 4 polno </t>
  </si>
  <si>
    <t xml:space="preserve">RCD diferenčno zaščitno stikalo AC razred zaščite, občutljivosti 30mA, 3P+N, 400V, 80A.                                                                            </t>
  </si>
  <si>
    <t>Tripolni odklopnik,  za nazivno napetost 690 V in tok 80 A, prekinitvene moči  25 kA, z zaščitno napravo za zaščito pred kratkim stikom in preobremenitvijo, I&gt;... (0,7-1)*Ir , I&gt;&gt;...5-10*Ir, spomožnimi kontakti 1NOC signalizacije stanja odklopnika in z obešanko za zaklepanje v izklopljenem stanju.</t>
  </si>
  <si>
    <t>Agregatska trifazna vtičnica  za montažo na omarico 3P+N+PE, 400-415V, 32A.</t>
  </si>
  <si>
    <t xml:space="preserve">Industrijska trifazna vtičnica  za montažo na omarico 3P+N+PE, 400-415V, 16A.                                                                 </t>
  </si>
  <si>
    <t xml:space="preserve">Industrijska enofazna vtičnica  za montažo na omarico 1P+N+PE, 230V, 16A,                                                                  </t>
  </si>
  <si>
    <t xml:space="preserve">Inštalacijski odklopnik Icu=15 kA, 3-polna 16 A, karakteristika "B" </t>
  </si>
  <si>
    <t xml:space="preserve">Inštalacijski odklopnik Icu=15 kA, 3-polna 10 A, karakteristika "B" </t>
  </si>
  <si>
    <t>Inštalacijski odklopnik Icu=15 kA, 1-polna 16 A, karakteristika "B"</t>
  </si>
  <si>
    <t>Inštalacijski odklopnik Icu=15 kA, 1-polna 16 A, karakteristika "C"</t>
  </si>
  <si>
    <t>Inštalacijski odklopnik Icu=15 kA, 1-polna 10 A, karakteristika "B"</t>
  </si>
  <si>
    <t>Inštalacijski odklopnik Icu=15 kA, 1-polna 6 A, karakteristika "B"</t>
  </si>
  <si>
    <t>Tripolni motorski odklopnik,  za nazivno napetost 690 V in tok 22 A, prekinitvene moči  50 kA, z zaščitno napravo za zaščito pred kratkim stikom in preobremenitvijo, I&gt;... 4-6,3A  s pomožnimi kontakti signalizacije preobremenitve in kratkega stika  ter položaja odklopnika.</t>
  </si>
  <si>
    <t>Tipka rumena ''test svetilk'' IP65, komplet z vmesnikom dodatnim kontaktom NO, montažo.</t>
  </si>
  <si>
    <t>5.10</t>
  </si>
  <si>
    <t>5.11</t>
  </si>
  <si>
    <t>Zakoličba obstoječe infrastrukture na grabišči s strani upravljalcev obstoječe komunalne infrastrukture.</t>
  </si>
  <si>
    <t>ROGAŠOVCI</t>
  </si>
  <si>
    <t>VH NUSKOVA S PREČRPALIŠČEM</t>
  </si>
  <si>
    <r>
      <t xml:space="preserve">objemka varilna </t>
    </r>
    <r>
      <rPr>
        <sz val="9"/>
        <color indexed="8"/>
        <rFont val="Calibri"/>
        <family val="2"/>
        <charset val="238"/>
      </rPr>
      <t>Ø</t>
    </r>
    <r>
      <rPr>
        <sz val="9.9"/>
        <color indexed="8"/>
        <rFont val="Arial"/>
        <family val="2"/>
        <charset val="238"/>
      </rPr>
      <t>110</t>
    </r>
  </si>
  <si>
    <r>
      <t xml:space="preserve">koleno varilno </t>
    </r>
    <r>
      <rPr>
        <sz val="9"/>
        <color indexed="8"/>
        <rFont val="Calibri"/>
        <family val="2"/>
        <charset val="238"/>
      </rPr>
      <t>Ø</t>
    </r>
    <r>
      <rPr>
        <sz val="9.9"/>
        <color indexed="8"/>
        <rFont val="Arial"/>
        <family val="2"/>
        <charset val="238"/>
      </rPr>
      <t>110 - 45</t>
    </r>
    <r>
      <rPr>
        <sz val="9.9"/>
        <color indexed="8"/>
        <rFont val="Calibri"/>
        <family val="2"/>
        <charset val="238"/>
      </rPr>
      <t>˚</t>
    </r>
  </si>
  <si>
    <r>
      <t xml:space="preserve">končnik varilni </t>
    </r>
    <r>
      <rPr>
        <sz val="9"/>
        <rFont val="Calibri"/>
        <family val="2"/>
        <charset val="238"/>
      </rPr>
      <t>Ø</t>
    </r>
    <r>
      <rPr>
        <sz val="9.9"/>
        <rFont val="Arial"/>
        <family val="2"/>
        <charset val="238"/>
      </rPr>
      <t xml:space="preserve"> 110</t>
    </r>
  </si>
  <si>
    <r>
      <t xml:space="preserve">PE jašek </t>
    </r>
    <r>
      <rPr>
        <sz val="9"/>
        <rFont val="Calibri"/>
        <family val="2"/>
        <charset val="238"/>
      </rPr>
      <t>Ø</t>
    </r>
    <r>
      <rPr>
        <sz val="9.9"/>
        <rFont val="Arial"/>
        <family val="2"/>
        <charset val="238"/>
      </rPr>
      <t xml:space="preserve"> 1200</t>
    </r>
  </si>
  <si>
    <t>gumi manšeta DN 100</t>
  </si>
  <si>
    <t>prirobnica varilna DN 100, inox - leteča, PN 16</t>
  </si>
  <si>
    <t>plovni ventil DN 100</t>
  </si>
  <si>
    <t>žabji poklopec DN 100</t>
  </si>
  <si>
    <t>FFR kos DN 125 - 100</t>
  </si>
  <si>
    <t>FF kos DN 100 - 500, inox</t>
  </si>
  <si>
    <t>FF kos DN 100 - 2000, inox</t>
  </si>
  <si>
    <r>
      <t xml:space="preserve">spojka univerzalna </t>
    </r>
    <r>
      <rPr>
        <sz val="9"/>
        <rFont val="Calibri"/>
        <family val="2"/>
        <charset val="238"/>
      </rPr>
      <t>Ø</t>
    </r>
    <r>
      <rPr>
        <sz val="9.9"/>
        <rFont val="Arial"/>
        <family val="2"/>
        <charset val="238"/>
      </rPr>
      <t xml:space="preserve"> 125  (1/1)</t>
    </r>
  </si>
  <si>
    <r>
      <t>koleno varilno DN 100 - 90</t>
    </r>
    <r>
      <rPr>
        <sz val="9"/>
        <rFont val="Calibri"/>
        <family val="2"/>
        <charset val="238"/>
      </rPr>
      <t>˚</t>
    </r>
    <r>
      <rPr>
        <sz val="9.9"/>
        <rFont val="Arial"/>
        <family val="2"/>
        <charset val="238"/>
      </rPr>
      <t>, inox</t>
    </r>
  </si>
  <si>
    <t>T kos DN 100 - 50</t>
  </si>
  <si>
    <t>zračnik DN 50</t>
  </si>
  <si>
    <t xml:space="preserve">MONTAŽNA DELA SKUPAJ: </t>
  </si>
  <si>
    <t>ZASUN DN150 + EM pogon</t>
  </si>
  <si>
    <t>INDUKTIVNI MERILNIK PRETOKA DN150 
Elektro magnetni dvosmerni merilnik pretoka.
izhod tokovna zanka 4-20mA,  IP68
Montaža, priklop in preizkus ter zagon merilca pretoka. 
TIP: Promag 10W PN16 DN150 Proizvajalec Endress+Hauser ali enakovredeno</t>
  </si>
  <si>
    <t>Reducirno-krmilni jašek Rogašovci RT-5</t>
  </si>
  <si>
    <t xml:space="preserve">STROJNI izkop vezljive zemljine/zrnate kamnine – 3.kategorije za  kanalske rove  širine do 1,0m in globine 1,1 do 2,0m </t>
  </si>
  <si>
    <t>STROJNI izkop vezljive zemljine/zrnate kamnine – 3.kategorije za  kanalske rove  širine do 1,0m in globine 1,0m - linja za elektro kabel</t>
  </si>
  <si>
    <t>ELEKTRO OMARICA JAŠKA                                        Dobava in montaža elektro omarice za elektro priklop v jašku. Ob izvedbi elektro priklopa v dolžini linije 50 m od odjemnega mesta.</t>
  </si>
  <si>
    <r>
      <rPr>
        <b/>
        <sz val="9"/>
        <color rgb="FF000000"/>
        <rFont val="Arial"/>
        <family val="2"/>
        <charset val="238"/>
      </rPr>
      <t xml:space="preserve">JAŠEK ZA REDUCIRNI VENTIL IN MERILEC PRETOKA 4,0x2,5x1,8m   </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</si>
  <si>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R-kos DN150/100 bajonetni</t>
  </si>
  <si>
    <t>Vodovod SR-3/7 + SR-2/18.3 + SR-2/19.8</t>
  </si>
  <si>
    <t>Vodovod SR-3/8.1 + SR-3/8.2 + SR-2/17.5 + SR-2/17.6 + SR-2/17.7</t>
  </si>
  <si>
    <t>Vodovod SR-4/15 + SR-4/15.3 + SR-4/14 + SR-4/14.1 + SR-4/14.2 + SR-4/14.3</t>
  </si>
  <si>
    <t>ŠALOVCI</t>
  </si>
  <si>
    <t>Šalovci_ČRP MARKOVCI</t>
  </si>
  <si>
    <t>Šalovci_VH Dolenci</t>
  </si>
  <si>
    <t>Šalovci_VH Domanjševci</t>
  </si>
  <si>
    <t>Šalovci_VH Čepinci</t>
  </si>
  <si>
    <t>Šalovci_ČRP Čepinci 1</t>
  </si>
  <si>
    <t>Šalovci_ČRP Čepinci 2</t>
  </si>
  <si>
    <t>Šalovci_ČRP Čepinci 3</t>
  </si>
  <si>
    <t>VODOVOD ŠALOVCI - MARKOVCI (VŠM 6)</t>
  </si>
  <si>
    <t>Dobava in vgrajevanje tamponskega drobljenca TD32 v debelini min 40 cm, komprimiranje do zbitosti 100 Mpa        - dovozne poti.</t>
  </si>
  <si>
    <r>
      <t xml:space="preserve">Dobava in vgrajevanje tamponskega drobljenca TD32 v debelini min 25 cm, komprimiranje do zbitosti 60 Mpa           - </t>
    </r>
    <r>
      <rPr>
        <u/>
        <sz val="9"/>
        <rFont val="Arial"/>
        <family val="2"/>
        <charset val="238"/>
      </rPr>
      <t>dovozne poti</t>
    </r>
    <r>
      <rPr>
        <sz val="9"/>
        <rFont val="Arial"/>
        <family val="2"/>
        <charset val="238"/>
      </rPr>
      <t>.</t>
    </r>
  </si>
  <si>
    <r>
      <t xml:space="preserve">Izdelava obrabne in zaporne plasti bituminizirane zmesi AC 11 surf B 70/100 A4 v debelini 4 cm, vključno s čiščenjem in premazom stikov z bitumensko emulzijo ter pobrizg očiščenega asfalta z bitumensko emulzijo 0,5 kg/m2  - </t>
    </r>
    <r>
      <rPr>
        <u/>
        <sz val="9"/>
        <rFont val="Arial"/>
        <family val="2"/>
        <charset val="238"/>
      </rPr>
      <t>vozišče LC in RC</t>
    </r>
    <r>
      <rPr>
        <sz val="9"/>
        <rFont val="Arial"/>
        <family val="2"/>
        <charset val="238"/>
      </rPr>
      <t>.</t>
    </r>
  </si>
  <si>
    <t>Dobava in postavitev zaščite cevi z obrnjeno kanaleto 0,5 m nad temenom cevi - v predelu prekopa jarka ali potoka</t>
  </si>
  <si>
    <t>Dobava in polaganje zaščitnih cevi za zaščito vodovoda na križanjih dovoznih poti in z drugimi komunalnimi vodi, v ceno zajeti vsa  potrebna dela</t>
  </si>
  <si>
    <t>zaščitna  cev DN 300 za za NL 150</t>
  </si>
  <si>
    <t>MMQ 90° DN150 bajonetni</t>
  </si>
  <si>
    <t xml:space="preserve"> MMB DN150/80 bajonetni</t>
  </si>
  <si>
    <t>varovalo horizontalno DN 80</t>
  </si>
  <si>
    <t>dranažni element za podzemni hidrant</t>
  </si>
  <si>
    <t>tesnilo prirobnično DN 80</t>
  </si>
  <si>
    <t>vijak+matica M16x70 INOX</t>
  </si>
  <si>
    <t>NAVEZAVA NA PE-HD160</t>
  </si>
  <si>
    <t>T - MMB  DN 150/150 bajonetni</t>
  </si>
  <si>
    <t>F DN 150 bajonetni</t>
  </si>
  <si>
    <t xml:space="preserve">spojka univerzalna DN 150-160 1/1 </t>
  </si>
  <si>
    <t>varovalo horizontalno DN 150</t>
  </si>
  <si>
    <t>vijak+matica M18X90 INOX</t>
  </si>
  <si>
    <t>tesnilo prirobnično DN 150</t>
  </si>
  <si>
    <t>ZASUN DN150 bajonetni (bajonet/obojka) + tel.vgradna,grt.</t>
  </si>
  <si>
    <t>NAVEZAVA CEVOVODA Z PREČRPALIŠČEM</t>
  </si>
  <si>
    <t xml:space="preserve">EU DN 150 bajonetni </t>
  </si>
  <si>
    <t>FFR DN 150-125</t>
  </si>
  <si>
    <t>tesnilo prirobnično DN 125</t>
  </si>
  <si>
    <t>Sekundarno vodovodno omrežje v naselju MARKOVCI</t>
  </si>
  <si>
    <t>(črpališče MARKOVCI)</t>
  </si>
  <si>
    <t>A.9</t>
  </si>
  <si>
    <t xml:space="preserve">Hidroizolacijski premaz pod tlaki s HIDROSTOP ELASTIK AB-Kema Puconci, tudi 10 cm vertikalno na steno, kompletno z izvedbo priprave podlage. </t>
  </si>
  <si>
    <t>Varnostno raztezna posoda Reflex DT 200/16bar</t>
  </si>
  <si>
    <t>Prirobnični gumi kompenzator DN 125</t>
  </si>
  <si>
    <t xml:space="preserve">FF- kos DN 125/1000 INOX </t>
  </si>
  <si>
    <t xml:space="preserve">FF- kos DN 125/500 INOX </t>
  </si>
  <si>
    <t xml:space="preserve">FF- kos DN 125/300 INOX </t>
  </si>
  <si>
    <t>ZASUN DN125 + elektromotorni pogon + adapter za namestitev
Elektro pogon 3-fazni 3x400 VAC, s krmilno enoto Auma Aumatic 01.2. ali enakovredno .</t>
  </si>
  <si>
    <t>FF- kos DN 125/500 INOX (z navojnima odcepoma 3/4" ZN)</t>
  </si>
  <si>
    <t>FF- kos DN 50/500 INOX (z navojnima odcepoma 3/4" ZN)</t>
  </si>
  <si>
    <t xml:space="preserve">FF- kos DN 50/1000 INOX </t>
  </si>
  <si>
    <t>FFR DN 125-80 INOX</t>
  </si>
  <si>
    <t>T kos DN125/125 INOX</t>
  </si>
  <si>
    <t>T kos DN125/50 INOX</t>
  </si>
  <si>
    <t>MDK DN125</t>
  </si>
  <si>
    <t>Loovilec nečistoč DN 125</t>
  </si>
  <si>
    <t>MMQ 90° DN125 INOX</t>
  </si>
  <si>
    <t>MMQ 90° DN50 INOX</t>
  </si>
  <si>
    <t>Ventil protipovratni DN125</t>
  </si>
  <si>
    <t>ODZRAČNIK DN 80 avtomatski</t>
  </si>
  <si>
    <t xml:space="preserve">Ventil krogelni 3/4" </t>
  </si>
  <si>
    <t>tesnilo prirobnično DN 50</t>
  </si>
  <si>
    <t>INDUKTIVNI MERILNIK PRETOKA DN125 
Elektro magnetni dvosmerni merilnik pretoka.
izhod tokovna zanka 4-20mA,  IP68
Montaža, priklop in preizkus ter zagon merilca pretoka. 
TIP: Promag 10W PN16 DN125 Proizvajalec Endress+Hauser ali enakovredeno</t>
  </si>
  <si>
    <t xml:space="preserve">ELEKTRO DELA </t>
  </si>
  <si>
    <t>Stikalni blok izdelan iz pločevine dimenzije 1000 x 2000 x 400 mm  na 100 mm podstavku. Omara je z vrati, s ključavnico, z montažno ploščo in/ali nosilci opreme, s predalom za načrte, dno omare je zaprto.Stikalni blok je v zaščiti IP 55, barva RAL7032 za notranjo montažo.TIP: OLN, Proizvajalec: HIMEL (ali enakovredno)
(Pred izvedbo opremo uskladiti  distributerju</t>
  </si>
  <si>
    <t xml:space="preserve">Frekvenčni regulator 3x400V AC, 4 kW, IP20,z grafičnim panelomo, vgrajenim RFI filtrom razred A1/B, Modbus RTU  TIP: VLT Proizvajalec: Danfoss (ali enakovredno)                                                      </t>
  </si>
  <si>
    <t>ÖLFLEX CLASSIC CY 110  5x4 mm2</t>
  </si>
  <si>
    <t>Merilna omara po zahtevah el. en. soglasja Omara, poliester, 590x1065x322mm s podstavkom. (Direktni trifazni števec energije z dajalnikom impulza tip ZMF120ABTFS2 ali  MT381-D1A52 z odklopnikom ZO350-D1 ali ZMXI320CPU1L1D3 ,- komunikator AD_FP91D140   , varovalčni ločilnik NV250 3x 32A (2 kompleta), prenapetostna zaščita (B), priključne sponke (2 kompleta), GIP letev, ključavnica, tipka za za ponovni vklop merilne naprave, drobni in vezni material) 
(Pred izvedbo,  opremo uskladiti z distributerjem - Elektro Maribor)</t>
  </si>
  <si>
    <t>Priklop novega  kabla NAY2Y-J 4x70mm2 v
omari</t>
  </si>
  <si>
    <t>Demontaža obstojčega kabla NAY2Y-J 4x70mm2 in priklop  kabla v omari.</t>
  </si>
  <si>
    <t xml:space="preserve">Priklop kabla  na obstoječo leseno  oporišče
</t>
  </si>
  <si>
    <t>ELEKTRO DELA SKUPAJ</t>
  </si>
  <si>
    <t>VH DOLENCI</t>
  </si>
  <si>
    <t>Dobava in montaža manjšega kontejnerja (po naročilu), tlorisnih dimenzij 2,70m*1,60m in višine 2,20m. Kontejner se postavi na desni strani vhodnega dela vodohrana. Kontejner mora biti toplotno izoliran - minimalne zahteve in s talno. Vratna odprtina je na sprednjem delu. V primeru, da se izvede kontejner samo s tremi stranicami, se zadnji del pričvrsti na obstoječi objekt.</t>
  </si>
  <si>
    <r>
      <t>Izvedba kovinske konstrukcije za nadtrešek kontejnerja iz jeklenih pocinkanih cevi 4/6 cm,  tlorisne dimenzije nadstreška 2,80m*1,60m in naklon 11</t>
    </r>
    <r>
      <rPr>
        <sz val="9"/>
        <rFont val="Calibri"/>
        <family val="2"/>
        <charset val="238"/>
      </rPr>
      <t>°</t>
    </r>
    <r>
      <rPr>
        <sz val="9.9"/>
        <rFont val="Arial"/>
        <family val="2"/>
        <charset val="238"/>
      </rPr>
      <t>)</t>
    </r>
    <r>
      <rPr>
        <sz val="9"/>
        <rFont val="Arial"/>
        <family val="2"/>
        <charset val="238"/>
      </rPr>
      <t>. Konstrukcija nadstreška se pritrdi na obstoječi objekt enako kot obstoječa konstrukcija nadstreška</t>
    </r>
  </si>
  <si>
    <t>Dobava in vgradnja strešne kritine - kot leksan</t>
  </si>
  <si>
    <t>NL DN 400 C40 / 6m, sidrni razstavljivi spoj</t>
  </si>
  <si>
    <t>NL DN 400 C40 / 6m, nesidrni spoj</t>
  </si>
  <si>
    <t>NL DN 300 C40 / 6m, nesidrni spoj</t>
  </si>
  <si>
    <t>NL DN 250 C50 / 6m, sidrni razstavljivi spoj</t>
  </si>
  <si>
    <t>NL DN 250 C50 / 6m, nesidrni spoj</t>
  </si>
  <si>
    <t>lomi na cevovodu NL DN400</t>
  </si>
  <si>
    <t>MMK 11° DN400 sidrni razstavljivi spoj</t>
  </si>
  <si>
    <t>MMK 22° DN400 sidrni razstavljivi spoj</t>
  </si>
  <si>
    <t>MMK 45° DN400 sidrni razstavljivi spoj</t>
  </si>
  <si>
    <t>sidrna objemka DN400</t>
  </si>
  <si>
    <t>lomi na cevovodu NL DN300</t>
  </si>
  <si>
    <t>MMK 11° DN300 bajonetni</t>
  </si>
  <si>
    <t>MMK 22° DN300 bajonetni</t>
  </si>
  <si>
    <t>MMK 30° DN300 bajonetni</t>
  </si>
  <si>
    <t>sidrna objemka DN300-bajonetna</t>
  </si>
  <si>
    <t>lomi na cevovodu NL DN250</t>
  </si>
  <si>
    <t>MMK 11° DN250 bajonetni</t>
  </si>
  <si>
    <t>MMK 22° DN250 bajonetni</t>
  </si>
  <si>
    <t>MMK 30° DN250 bajonetni</t>
  </si>
  <si>
    <t>sidrna objemka DN250-bajonetna</t>
  </si>
  <si>
    <t>ZRAČNIK na NL DN400 (v jašku)</t>
  </si>
  <si>
    <t>E-kos DN 400 sidrni razstavljivi spoj</t>
  </si>
  <si>
    <t>F-kos DN 400 sidrni razstavljivi spoj</t>
  </si>
  <si>
    <t xml:space="preserve">FF  DN400/800 INOKS+nav. slepa prirob. v steni jaška </t>
  </si>
  <si>
    <t>T kos DN400/200</t>
  </si>
  <si>
    <t>MDK DN400</t>
  </si>
  <si>
    <t>FF DN300/400 INOKS z odcepom DN25-ZN</t>
  </si>
  <si>
    <t>ZASUN DN200 + kolo</t>
  </si>
  <si>
    <t xml:space="preserve">sidrna objemka DN400 </t>
  </si>
  <si>
    <t>ZRAČNIK na NL DN300 (v jašku)</t>
  </si>
  <si>
    <t>E-kos DN300 sidrni razstavljivi spoj</t>
  </si>
  <si>
    <t>F-kos DN300 sidrni razstavljivi spoj</t>
  </si>
  <si>
    <t>T DN300/200</t>
  </si>
  <si>
    <t xml:space="preserve">sidrna objemka DN300 </t>
  </si>
  <si>
    <t>ZRAČNIK na NL DN250 (v jašku)</t>
  </si>
  <si>
    <t>E-kos DN250 sidrni razstavljivi spoj</t>
  </si>
  <si>
    <t>F-kos DN250 sidrni razstavljivi spoj</t>
  </si>
  <si>
    <t xml:space="preserve">FF  DN250/800 INOKS+nav. slepa prirob. v steni jaška </t>
  </si>
  <si>
    <t>T DN250/150</t>
  </si>
  <si>
    <t>MDK DN250</t>
  </si>
  <si>
    <t>FF DN250/400 INOKS z odcepom DN25-ZN</t>
  </si>
  <si>
    <t>sidrna objemka DN250</t>
  </si>
  <si>
    <r>
      <t xml:space="preserve">PE redukcija </t>
    </r>
    <r>
      <rPr>
        <sz val="9"/>
        <color indexed="8"/>
        <rFont val="Calibri"/>
        <family val="2"/>
        <charset val="238"/>
      </rPr>
      <t>Ø</t>
    </r>
    <r>
      <rPr>
        <sz val="9"/>
        <color indexed="8"/>
        <rFont val="Arial"/>
        <family val="2"/>
        <charset val="238"/>
      </rPr>
      <t>125/63 SDR11 PN16</t>
    </r>
  </si>
  <si>
    <r>
      <t xml:space="preserve">IZPIRALNA GARNITURA na PE </t>
    </r>
    <r>
      <rPr>
        <b/>
        <sz val="9"/>
        <rFont val="Calibri"/>
        <family val="2"/>
        <charset val="238"/>
      </rPr>
      <t>Ø</t>
    </r>
    <r>
      <rPr>
        <b/>
        <sz val="9"/>
        <rFont val="Arial"/>
        <family val="2"/>
        <charset val="238"/>
      </rPr>
      <t>90</t>
    </r>
  </si>
  <si>
    <t>IZPUST na NL DN400</t>
  </si>
  <si>
    <t>MMA DN 400/80 sidrni razstavljivi spoj</t>
  </si>
  <si>
    <t>ZASUN DN400 + tel.vgradna,grt.</t>
  </si>
  <si>
    <t>Q-kos DN80</t>
  </si>
  <si>
    <t>FF DN80/300</t>
  </si>
  <si>
    <t>ZASUN DN80 + tel.vgradna,grt.</t>
  </si>
  <si>
    <t xml:space="preserve">N DN80 </t>
  </si>
  <si>
    <t>IZPUST na NL DN300</t>
  </si>
  <si>
    <t>ZASUN HSM DN300 bajonetni + tel.vgradna,grt.</t>
  </si>
  <si>
    <t>sidrna objemka DN300 bajonetna</t>
  </si>
  <si>
    <t>IZPUST na NL DN250</t>
  </si>
  <si>
    <t>MMB DN 250/80 bajonetni</t>
  </si>
  <si>
    <t>ZASUN HSM DN250 bajonetni + tel.vgradna,grt.</t>
  </si>
  <si>
    <t>NADZEMNI HIDRANT na NL DN400</t>
  </si>
  <si>
    <t xml:space="preserve">N-kos DN80 </t>
  </si>
  <si>
    <t>FF-kos DN80/200</t>
  </si>
  <si>
    <t>FF-kos DN80/400</t>
  </si>
  <si>
    <t>NADZEMNI HIDRANT na NL DN300</t>
  </si>
  <si>
    <t>NADZEMNI HIDRANT na NL DN250</t>
  </si>
  <si>
    <t>NADZEMNI HIDRANT na NL DN200</t>
  </si>
  <si>
    <t xml:space="preserve">LINIJSKI ZASUN na NL DN400 </t>
  </si>
  <si>
    <t xml:space="preserve">LINIJSKI ZASUN na NL DN300 </t>
  </si>
  <si>
    <t xml:space="preserve">ZASUN DN300 bajonetni (obojka/obojka) </t>
  </si>
  <si>
    <t xml:space="preserve">LINIJSKI ZASUN na NL DN250 </t>
  </si>
  <si>
    <t xml:space="preserve">ZASUN DN250 bajonetni (obojka/obojka) </t>
  </si>
  <si>
    <t xml:space="preserve">ZASUN DN200 bajonetni (obojka/obojka) </t>
  </si>
  <si>
    <t xml:space="preserve">ZASUN DN150 bajonetni (obojka/obojka) </t>
  </si>
  <si>
    <t xml:space="preserve">ZASUN DN100 bajonetni (obojka/obojka) </t>
  </si>
  <si>
    <t>LINIJSKI ZASUN na PE Ø90</t>
  </si>
  <si>
    <t xml:space="preserve">ZASUN DN80 bajonetni (obojka/obojka) </t>
  </si>
  <si>
    <t>VOZLIŠČE na NL DN400 - ODCEP NL DN300</t>
  </si>
  <si>
    <t>MMA DN 400/300 sidrni razstavljivi spoj</t>
  </si>
  <si>
    <t>ZASUN DN300 + tel.vgradna,grt.</t>
  </si>
  <si>
    <t>VOZLIŠČE na NL DN400 - ODCEP NL DN250</t>
  </si>
  <si>
    <t>MMA DN 400/250 sidrni razstavljivi spoj</t>
  </si>
  <si>
    <t>ZASUN DN250 + tel.vgradna,grt.</t>
  </si>
  <si>
    <t>VOZLIŠČE na NL DN400 - ODCEP NL DN200</t>
  </si>
  <si>
    <t>MMA DN 400/200 sidrni razstavljivi spoj</t>
  </si>
  <si>
    <t>ZASUN DN200 + tel.vgradna,grt.</t>
  </si>
  <si>
    <t xml:space="preserve">EU-kos DN200 bajonetni </t>
  </si>
  <si>
    <t>VOZLIŠČE na NL DN400 - ODCEP NL DN150</t>
  </si>
  <si>
    <t>MMA DN 400/150 sidrni razstavljivi spoj</t>
  </si>
  <si>
    <t>ZASUN DN150 + tel.vgradna,grt.</t>
  </si>
  <si>
    <t xml:space="preserve">EU-kos DN150 bajonetni </t>
  </si>
  <si>
    <t>VOZLIŠČE na NL DN400 - ODCEP PE Ø125</t>
  </si>
  <si>
    <t>MMA DN 400/100 sidrni razstavljivi spoj</t>
  </si>
  <si>
    <t>ZASUN DN100 + tel.vgradna,grt.</t>
  </si>
  <si>
    <t xml:space="preserve">EU-kos DN100 sidrni bajonetni </t>
  </si>
  <si>
    <t>VOZLIŠČE na NL DN400 - ODCEP PE Ø110</t>
  </si>
  <si>
    <t>VOZLIŠČE na NL DN400 - ODCEP PE Ø90</t>
  </si>
  <si>
    <t xml:space="preserve">EU-kos DN80 sidrni bajonetni </t>
  </si>
  <si>
    <t>VOZLIŠČE na NL DN400 - ODCEP PE Ø63</t>
  </si>
  <si>
    <t>VOZLIŠČE na NL DN300 - ODCEP NL DN300</t>
  </si>
  <si>
    <t>MMA DN 300/300 sidrni razstavljivi spoj</t>
  </si>
  <si>
    <t>VOZLIŠČE na NL DN300 - ODCEP NL DN250</t>
  </si>
  <si>
    <t>MMA DN 300/250 sidrni razstavljivi spoj</t>
  </si>
  <si>
    <t xml:space="preserve">sidrna objemka DN250 </t>
  </si>
  <si>
    <t>VOZLIŠČE na NL DN300 - ODCEP NL DN150</t>
  </si>
  <si>
    <t>MMB DN 300/150 bajonetni</t>
  </si>
  <si>
    <t>VOZLIŠČE na NL DN300 - ODCEP PE Ø125</t>
  </si>
  <si>
    <t>MMB DN 300/100 sidrni bajonetni</t>
  </si>
  <si>
    <t>VOZLIŠČE na NL DN300 - ODCEP PE Ø110</t>
  </si>
  <si>
    <t>VOZLIŠČE na NL DN300 - ODCEP PE Ø90</t>
  </si>
  <si>
    <t>MMB DN 300/80 sidrni bajonetni</t>
  </si>
  <si>
    <t>VOZLIŠČE na NL DN200 - ODCEP NL DN200</t>
  </si>
  <si>
    <t>MMB z int.zasunom DN 200/200 bajonetni</t>
  </si>
  <si>
    <t>VOZLIŠČE na NL DN200 - ODCEP NL DN150</t>
  </si>
  <si>
    <t>MMB z int.zasunom DN 200/150 bajonetni</t>
  </si>
  <si>
    <t>VOZLIŠČE na NL DN200 - ODCEP  PE Ø125</t>
  </si>
  <si>
    <t>MMB z int.zasunom DN 200/100 bajonetni</t>
  </si>
  <si>
    <t>VOZLIŠČE na NL DN200 - ODCEP  PE Ø110</t>
  </si>
  <si>
    <t>VOZLIŠČE na NL DN200 - ODCEP  PE Ø90</t>
  </si>
  <si>
    <t>MMB z int.zasunom DN 200/80 bajonetni</t>
  </si>
  <si>
    <t>VOZLIŠČE na NL DN200 - ODCEP  PE Ø63</t>
  </si>
  <si>
    <t>MMB z int.zasunom DN 150/150 bajonetni</t>
  </si>
  <si>
    <t>MMB z int.zasunom DN 150/100 bajonetni</t>
  </si>
  <si>
    <t>VOZLIŠČE na NL DN150 - ODCEP  PE Ø90</t>
  </si>
  <si>
    <t>MMB z int.zasunom DN 150/80 bajonetni</t>
  </si>
  <si>
    <t>MMB z int.zasunom DN 100/80 bajonetni</t>
  </si>
  <si>
    <t>NAVRTALNI ZASUN ZA ODCEPE Ø50-63, z vrtljivim kolenom z ISO spojko Ø63 in stremenom DN150</t>
  </si>
  <si>
    <t xml:space="preserve">PRIKLJUČEK PE Ø50 na NL DN150 </t>
  </si>
  <si>
    <t>NAVRTALNI ZASUN ZA ODCEPE Ø50-63, z vrtljivim kolenom z ISO spojko Ø50 in stremenom DN150</t>
  </si>
  <si>
    <t>NAVRTALNI ZASUN ZA ODCEPE Ø32-40, z vrtljivim kolenom z ISO spojko Ø40 in stremenom DN150</t>
  </si>
  <si>
    <t>NAVRTALNI ZASUN ZA ODCEPE Ø50-63, z vrtljivim kolenom z ISO spojko Ø63 in dvod.oklepom Ø125</t>
  </si>
  <si>
    <t>NAVRTALNI ZASUN ZA ODCEPE Ø50-63, z vrtljivim kolenom z ISO spojko Ø50 in dvod.oklepom Ø125</t>
  </si>
  <si>
    <t>NAVRTALNI ZASUN ZA ODCEPE Ø32-40, z vrtljivim kolenom z ISO spojko Ø40 in dvod.oklepom Ø125</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</si>
  <si>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Ø125</t>
    </r>
  </si>
  <si>
    <t>NAVRTALNI ZASUN ZA ODCEPE Ø50-63, z vrtljivim kolenom z ISO spojko Ø63 in dvod.oklepom Ø110</t>
  </si>
  <si>
    <t>NAVRTALNI ZASUN ZA ODCEPE Ø50-63, z vrtljivim kolenom z ISO spojko Ø50 in dvod.oklepom Ø110</t>
  </si>
  <si>
    <t>NAVRTALNI ZASUN ZA ODCEPE Ø32-40, z vrtljivim kolenom z ISO spojko Ø40 in dvod.oklepom Ø110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</si>
  <si>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t>
    </r>
  </si>
  <si>
    <t>PRIKLJUČEK PE Ø63 na PE Ø90</t>
  </si>
  <si>
    <t>NAVRTALNI ZASUN ZA ODCEPE Ø50-63, z vrtljivim kolenom z ISO spojko Ø63 in dvod.oklepom Ø90</t>
  </si>
  <si>
    <t>NAVRTALNI ZASUN ZA ODCEPE Ø50-63, z vrtljivim kolenom z ISO spojko Ø50 in dvod.oklepom Ø90</t>
  </si>
  <si>
    <t>PRIKLJUČEK PE Ø40 na PE Ø90</t>
  </si>
  <si>
    <t>NAVRTALNI ZASUN ZA ODCEPE Ø32-40, z vrtljivim kolenom z ISO spojko Ø40 in dvod.oklepom Ø90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</si>
  <si>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Ø90</t>
    </r>
  </si>
  <si>
    <t>NAVRTALNI ZASUN ZA ODCEPE Ø32-40, z vrtljivim kolenom z ISO spojko Ø40 in dvod.oklepom Ø63</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</si>
  <si>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t>
    </r>
  </si>
  <si>
    <t>MERILNIK PRETOKA na NL DN400 (v jašku)</t>
  </si>
  <si>
    <t xml:space="preserve">FFK 45° DN400 </t>
  </si>
  <si>
    <t>FFR  DN400/200</t>
  </si>
  <si>
    <t>FF  DN200/600</t>
  </si>
  <si>
    <t xml:space="preserve">FFK 45° DN200 </t>
  </si>
  <si>
    <t xml:space="preserve">FF  DN200/800 INOKS+nav. slepa prirob. v steni jaška </t>
  </si>
  <si>
    <t xml:space="preserve">FF  DN200/200  </t>
  </si>
  <si>
    <t>T kos DN200/200</t>
  </si>
  <si>
    <t>FF DN200/400</t>
  </si>
  <si>
    <t>MDK DN200</t>
  </si>
  <si>
    <t>IND.MERILEC PRETOKA DN200 PROMAG W800 IP68</t>
  </si>
  <si>
    <t>FF DN200/400 INOKS z odcepom DN25-ZN</t>
  </si>
  <si>
    <t>R-kos DN300/200 bajonetni</t>
  </si>
  <si>
    <t>F-kos DN 200 bajonetni</t>
  </si>
  <si>
    <t>MERILNIK PRETOKA na NL DN200 (v jašku)</t>
  </si>
  <si>
    <t>MERILNIK PRETOKA na NL DN150 (v jašku)</t>
  </si>
  <si>
    <t>REDUCIRNI VENTIL na NL DN200 (v jašku)</t>
  </si>
  <si>
    <t>R-kos DN200/100 bajonetni</t>
  </si>
  <si>
    <r>
      <t xml:space="preserve">objemka z gumo </t>
    </r>
    <r>
      <rPr>
        <sz val="9"/>
        <rFont val="Calibri"/>
        <family val="2"/>
        <charset val="238"/>
      </rPr>
      <t>Ø</t>
    </r>
    <r>
      <rPr>
        <sz val="9.9"/>
        <rFont val="Arial"/>
        <family val="2"/>
        <charset val="238"/>
      </rPr>
      <t>32</t>
    </r>
  </si>
  <si>
    <r>
      <t xml:space="preserve">termo izolacija cevi </t>
    </r>
    <r>
      <rPr>
        <sz val="9"/>
        <rFont val="Calibri"/>
        <family val="2"/>
        <charset val="238"/>
      </rPr>
      <t>Ø</t>
    </r>
    <r>
      <rPr>
        <sz val="9.9"/>
        <rFont val="Arial"/>
        <family val="2"/>
        <charset val="238"/>
      </rPr>
      <t>32</t>
    </r>
  </si>
  <si>
    <t>Klorna postaja mora biti nameščena v zabojniku, dimenzij najmanj 200x100x220 cm (lxšxv). Zabojnik mora biti primeren za zunanjo montažo na ustrezen betonski postavek, korozijsko odporen, izoliran in ogrevan. Vrata morajo biti dimenzije najmanj 80x190 cm. Z objektom bo povezan z ustrezno zaščitenimi vodi.</t>
  </si>
  <si>
    <t>VH DOMANJŠEVCI</t>
  </si>
  <si>
    <t>MDK DN 150, inox</t>
  </si>
  <si>
    <t>vodomer DN 150</t>
  </si>
  <si>
    <t>varjenje prirobnic (predelava cevovoda)</t>
  </si>
  <si>
    <t>varjenje navojne objemke 1", inox</t>
  </si>
  <si>
    <t>nosilec (podpora) DN 150, inox</t>
  </si>
  <si>
    <t>tesnilo DN 200</t>
  </si>
  <si>
    <t>VH ČEPINCI</t>
  </si>
  <si>
    <t xml:space="preserve">oklep navrtalni  110 - 1" </t>
  </si>
  <si>
    <t>ČRP ČEPINCI 1</t>
  </si>
  <si>
    <t>ČRP ČEPINCI 2</t>
  </si>
  <si>
    <t>ČRP ČEPINCI 3</t>
  </si>
  <si>
    <t>HIDROPOSTAJA SKUPAJ</t>
  </si>
  <si>
    <t>PLC komplet</t>
  </si>
  <si>
    <t>T kos DN 150/150, inox</t>
  </si>
  <si>
    <t>T kos DN 150/125, inox</t>
  </si>
  <si>
    <r>
      <t>lok DN 125/90</t>
    </r>
    <r>
      <rPr>
        <sz val="9"/>
        <rFont val="Calibri"/>
        <family val="2"/>
        <charset val="238"/>
      </rPr>
      <t>˚, inox</t>
    </r>
  </si>
  <si>
    <r>
      <t>lok DN 150/90</t>
    </r>
    <r>
      <rPr>
        <sz val="9"/>
        <rFont val="Calibri"/>
        <family val="2"/>
        <charset val="238"/>
      </rPr>
      <t>˚, inox</t>
    </r>
  </si>
  <si>
    <t>cev DN 150, inox</t>
  </si>
  <si>
    <t>cev DN 125, inox</t>
  </si>
  <si>
    <t xml:space="preserve">Rezanje stene jaška za preboj z diamantno žago, stena debela  20 cm,  Ø300 </t>
  </si>
  <si>
    <t>ZASUN  DN 125 + kolo</t>
  </si>
  <si>
    <t>ZASUN  DN 150 + kolo</t>
  </si>
  <si>
    <t>Q 90˚ DN150</t>
  </si>
  <si>
    <r>
      <t>lok DN 150/45</t>
    </r>
    <r>
      <rPr>
        <sz val="9"/>
        <rFont val="Calibri"/>
        <family val="2"/>
        <charset val="238"/>
      </rPr>
      <t>˚, inox</t>
    </r>
  </si>
  <si>
    <t>T kos DN 125/125</t>
  </si>
  <si>
    <t>FFR kos DN 150/125</t>
  </si>
  <si>
    <t>FFK kos DN 125/45˚</t>
  </si>
  <si>
    <t>Univ.spojka DN125</t>
  </si>
  <si>
    <t>Grlata prirobnica DN 150</t>
  </si>
  <si>
    <t>Grlata prirobnica DN125</t>
  </si>
  <si>
    <t>sesalni koš DN 150</t>
  </si>
  <si>
    <t>Univ.spojka DN150</t>
  </si>
  <si>
    <t>INDUKTIVNI MERILNIK PRETOKA DN125 
Elektro magnetni dvosmerni merilnik pretoka.
izhod tokovna zanka 4-20mA,  IP68
Montaža, priklop in preizkus ter zagon merilca pretoka. 
TIP: Promag 10W PN16 DN100 Proizvajalec Endress+Hauser ali enakovredeno</t>
  </si>
  <si>
    <t>Q 90˚ DN125</t>
  </si>
  <si>
    <t>nepovratna loputa DN 150</t>
  </si>
  <si>
    <t>nepovratna loputa DN 125</t>
  </si>
  <si>
    <t>zračnik DN 125</t>
  </si>
  <si>
    <t>obročno tesnilo DN 300/150 (prehod skozi steno)</t>
  </si>
  <si>
    <t>obročno tesnilo DN 300/125 (prehod skozi steno)</t>
  </si>
  <si>
    <t xml:space="preserve">objemka + nosilec INOX cevi DN 150 </t>
  </si>
  <si>
    <t>objemka + nosilec INOX cevi DN 125</t>
  </si>
  <si>
    <t xml:space="preserve">Cev PP Φ 32 </t>
  </si>
  <si>
    <t xml:space="preserve">m </t>
  </si>
  <si>
    <t>Lok PP Φ 32 90°</t>
  </si>
  <si>
    <t>Preh. kos PP Φ32-1˝ Zn</t>
  </si>
  <si>
    <t>Preh koleno PP Φ32-1˝</t>
  </si>
  <si>
    <t>Objemka ceva 1˝</t>
  </si>
  <si>
    <t>Ventil 1˝</t>
  </si>
  <si>
    <t>T-kos PP 1˝</t>
  </si>
  <si>
    <t>Dv. navoj inox 5/4˝</t>
  </si>
  <si>
    <t>Ventil 5/4˝</t>
  </si>
  <si>
    <t>R-kos inox 5/4˝- 1˝</t>
  </si>
  <si>
    <t>odcep 5/4" ZN, inox</t>
  </si>
  <si>
    <t>NL DN 150 C64 / 6m, sidrni razstavljivi spoj</t>
  </si>
  <si>
    <t>Q kos DN 50/90˚</t>
  </si>
  <si>
    <t>INDUKTIVNI MERILNIK PRETOKA DN100 
Elektro magnetni dvosmerni merilnik pretoka.
izhod tokovna zanka 4-20mA,  IP68
Montaža, priklop in preizkus ter zagon merilca pretoka. 
TIP: Promag 10W PN16 DN150 Proizvajalec Endress+Hauser ali enakovredeno</t>
  </si>
  <si>
    <t>EU kos DN 150 bajonetni</t>
  </si>
  <si>
    <t>spojka STOP DN 150 bajonetni</t>
  </si>
  <si>
    <t>ČRP Gerlinci</t>
  </si>
  <si>
    <t>Cankova_ČRP Gerlinci</t>
  </si>
  <si>
    <t>Cankova_ČRP G.Črnci (Romi)</t>
  </si>
  <si>
    <t>G.Petrovci_VH Lucova</t>
  </si>
  <si>
    <t>G.Petrovci_VH Stanjevci</t>
  </si>
  <si>
    <t xml:space="preserve">G.Petrovci_VH Pindža </t>
  </si>
  <si>
    <t>G.Petrovci_RT-2</t>
  </si>
  <si>
    <t>Šalovci_VŠM 6</t>
  </si>
  <si>
    <t xml:space="preserve">VH STANJEVCI </t>
  </si>
  <si>
    <t xml:space="preserve">VH LUCOVA </t>
  </si>
  <si>
    <t xml:space="preserve">VH PINDŽA </t>
  </si>
  <si>
    <t>DEZINFEKCIJA SKUPAJ</t>
  </si>
  <si>
    <t>EUR</t>
  </si>
  <si>
    <t>Kuzma</t>
  </si>
  <si>
    <t>GRADBENA DELA SKUPAJ</t>
  </si>
  <si>
    <t xml:space="preserve">     Vodovodno omrežje Filovci - vodohran s črpališčem VH Filovci</t>
  </si>
  <si>
    <t>B.5.19</t>
  </si>
  <si>
    <t>B.5.20</t>
  </si>
  <si>
    <t>Rogašovci_Vodovod VKK VFK + SR-2/24 + SR-2/27</t>
  </si>
  <si>
    <t>Rogašovci_VH Nuskova</t>
  </si>
  <si>
    <t>VODOHRAN SOTINA  s prečrpališčen</t>
  </si>
  <si>
    <t>VH VEČESLAVCI s prečrpališčem</t>
  </si>
  <si>
    <t xml:space="preserve">Rogašovci_VH Večeslavci </t>
  </si>
  <si>
    <t>ELEKTROINŠTALACIJE - priključek</t>
  </si>
  <si>
    <t>ELEKTROINŠTALACIJE - objekt</t>
  </si>
  <si>
    <t>ELEKTROINŠTALACIJE - objekt SKUPAJ:</t>
  </si>
  <si>
    <t>ELEKTROINŠTALACIJE - priključek SKUPAJ:</t>
  </si>
  <si>
    <t>ELEKTROINŠTALACIJE-objekt</t>
  </si>
  <si>
    <t>ELEKTROINŠTALACIJE-priključek</t>
  </si>
  <si>
    <t>ELEKTROINŠTALACIJE-objekt SKUPAJ:</t>
  </si>
  <si>
    <t>ELEKTROINŠTALACIJE-oriključekt SKUPAJ:</t>
  </si>
  <si>
    <t>Izdelava, dobava in montaža STROPA PREČRPALIŠČA iz sendvič plošč /izolacijskih panelov debeline 10 cm, primerne za vlažne prostore, komplet z nosilno konstrukcijo in obrobami, ter termoizolacijo 12 cm med špirovci.</t>
  </si>
  <si>
    <t>Dobava in montaža pohodne INOX rešetke na jašku 50/50 cm</t>
  </si>
  <si>
    <t>Dobava oz. izdelava in vgradnja INOX okvirja za predpražnik iz  jeklenih  profilov  ter dobava in vgraditev  predpražnika  velikosti 120x80cm.</t>
  </si>
  <si>
    <t xml:space="preserve">Razna režijska ure pri delu </t>
  </si>
  <si>
    <t>Naprava AB jaška not. dimenzij 3,5x3,5x2,3m z vstopno odrtino 0,8x0,8m komplet. V ceni zajeto: izkop, posteljica, tipski AB elementi-vodotesni beton,  dvodelni LTŽ pokrov 80/80 + prečka INOKS za zaklepanje z žabico, naklonski beton, poglobitev za črpalko 40/40/10cm, betonskimi podstavki, vstopna lestev INOKS, snemljivo vstopno držalo INOKS, ter zasip jaška in ureditev okolice.</t>
  </si>
  <si>
    <t>Dobava in montaža enokrilnega okna bele barve, izdelanih iz Alu profilov s prekinjenim toplotnim mostom (k=1,6 W/m2K), komplet skrilom in podbojem, svetla odprtina oknat 150/100 cm  + protivlomna rešetka zunaj.</t>
  </si>
  <si>
    <t>Dobava in montaža INOX vstopnega izoliranega pokrova na jašku za vstop v vodno celico (dim. 100/100 cm); komplet z dvignjenim okvirjem za naknadno montažo z integriranim zračnikom Ø10cm, žabico za zaklepanje, fiksirno palico v odprtem položaju in 5cm termično izolacijo</t>
  </si>
  <si>
    <t>Dobava in montaža INOX nosilnega pokrova na rezervoarju, 1,0x1,0m, komplet z dvignjenim okvirjem za naknadno montažo z integriranim zračnikom Ø10cm, žabico za zaklepanje, fiksirno palico v odprtem položaju in 5cm termično izolacijo.</t>
  </si>
  <si>
    <t xml:space="preserve">izvedba ALU predelne stene debeline 10 cm dimenzij 3,00x2,50 m z vgrajenimi dvokrilnimi kovinskimi vrati dim. 150/200 cm in prezračevalno odprtino 20x50 cm, s protimrčesno mrežico. </t>
  </si>
  <si>
    <t>L=3,5 m</t>
  </si>
  <si>
    <t>L=1,5 m</t>
  </si>
  <si>
    <t>L=3,0 m</t>
  </si>
  <si>
    <t>prijemala za roke montirana ob lestvi</t>
  </si>
  <si>
    <t>Nabava in vgradnja  ALU dvokrilnih vhodnih vrat (dim 1,50x2,00 m) s toplotno izolacijo, komplet z izdelavo prezračevalne odprtine 20x50 cm v spodnjem delu vrat, s protimrčesno mrežico</t>
  </si>
  <si>
    <t>Dobava in vgradnja nepovratne lopute fi 200 v izpustno-prezračevalni jašek tip HL720.0                     (ali enakovredno)</t>
  </si>
  <si>
    <t>Izgradnja izpusta vode iz objekta (v kompletu z izkopom jarka za odvodnjavanje pri objektu, vgradnjo PVC kanalizacijske cevi in fazonov, ter vsemi pomožnimi deli);
- kanalizacijska cev PVC fi160 - 20 m, s pripadajočimi koleni (zajeto v popisu montažnih del)
- kanalizacijska cev fi110 - 2 m, s pripadajočimi koleni (zajeto v popisu montažnih del)
- žabji poklopec -  1 kos
- PVC revizijski jašek pri objektu fi800, s pokrovom - 1 kos
- nerjaveča JE mrežica proti mrčesu in glodavcem - 1 kos
- ureditev izpusta s tlakovanjem kamen v betonu - 0.5 m3                                                                            - linijska nepovratna loputa na PVC cevi fi160 (tip HL715 ali enakovredno)</t>
  </si>
  <si>
    <t>Izdelava in vgraditev  INOX lestev in prijemal</t>
  </si>
  <si>
    <t xml:space="preserve">Nabava in vgradnja Alu okna (120/140 cm) po projektu, steklo polnjeno s plinom (U=1,1 W/m2K), na zunanji strani vgrajeno varnostno žično steko, na notranji pa mlečno + protivlomna rešetka zunaj
</t>
  </si>
  <si>
    <t xml:space="preserve">Nabava in vgradnja dvokrilnih Alu vhodnih vrat (160/200 cm) po projektu, s toplotno izolacijo, miniziranjem in pleskanjem,
komplet z izdelavo prezračevalne odprtine 30x30 cm v spodnjem delu vrat, odprtina zaščitena s kovinsko mrežo iz nerjavečega JE proti mrčesu
</t>
  </si>
  <si>
    <t>B.5.4.1</t>
  </si>
  <si>
    <t xml:space="preserve">Dobava in montaža dvokrilnih vrat sive barve, izdelanih iz Alu profilov s prekinjenim toplotnim mostom (k=1,6 W/m2K), komplet s polnim krilom in podbojem, nerjavečo kljuko, vgradnim zračnikom, ključavnico in samozapiralom, svetla odprtina vrat 290/255 cm  </t>
  </si>
  <si>
    <t>Dobava in vgradnja betonske ponikalnice fi 1,00 m, globine 2m vključno s pokrovom in z dovodno cevjo iz objekta. V ceni zajeta vsa zemeljska in gradbena dela.</t>
  </si>
  <si>
    <t>Dobava oz. izdelava in vgradnja okvirja za predpražnik iz  INOX  profilov  ter dobava in vgraditev  INOX predpražnika  velikosti 120x80cm.</t>
  </si>
  <si>
    <t xml:space="preserve">Nabava in vgradnja Alu okna (120/140 cm), steklo polnjeno s plinom (U=1,1 W/m2K), na zunanji strani vgrajeno varnostno žično steko, na notranji pa mlečno + protivlomna rešetka zunaj
</t>
  </si>
  <si>
    <t>Preplastitev vseh površin sten vodne celice in tal s tesnilno malto SikaLastic-1K, ali enakovredno, v dveh slojih skupne debeline 3 mm</t>
  </si>
  <si>
    <t>B.4.12</t>
  </si>
  <si>
    <t>B.4.13</t>
  </si>
  <si>
    <t>B.4.14</t>
  </si>
  <si>
    <t>Sanacija gnezd z vlakni ojačano sanacijsko malto Sika MonoTop 412 N, ali enakovredno</t>
  </si>
  <si>
    <t>Proti korozijska zaščita armature in kontaktni premaz se izvede s trikomponentno cementno malto, izboljšano z epoksidno smolo SikaTop Armatec-110 EpoCem, ali enakovredno</t>
  </si>
  <si>
    <t>Dobava in vgradnja betonske ponikalnice premera 1,5m globine 2m vključno s pokrovom in z dovodno cevjo PVC fi160 iz objekta, ter nepovratno loputo tip HL715.0 (ali enakovredno). V ceni zajeta vsa  potrebna dela.</t>
  </si>
  <si>
    <t>Dobava in montaža enokrilnega okna sive barve, izdelanih iz Alu profilov s prekinjenim toplotnim mostom (k=1,6 W/m2K), komplet skrilom in podbojem, svetla odprtina okna 150/100 cm  + protivlomna rešetka zunaj.</t>
  </si>
  <si>
    <t>Dobava oz. izdelava in vgradnja zračnika z ventilatorjem v zid objekta s protimrčesno mrežico</t>
  </si>
  <si>
    <t>Dobava in namestitev panelne ograje višine 2,0 m, vključno z stebri, temelji, dvokrilnimi vrati 2 x 2m s klučavnico, komplet.</t>
  </si>
  <si>
    <t>Komplet naprava asfalta širine 3,5m - dostop do vodohrana. V ceni upoštevati izkop (d= 60cm), gramozno nasutje (d=40cm), tamponsko nasutje TD32 (d=20cm), komplet s komprimiranjem, enojni asfalt 6 cm .</t>
  </si>
  <si>
    <t xml:space="preserve">Dobava in montaža dvokrilnih vrat sive barve, izdelanih iz Alu profilov s prekinjenim toplotnim mostom (k=1,6 W/m2K), komplet s polnim krilom in podbojem, nerjavečo kljuko, vgradnim zračnikom, ključavnico in samozapiralom, svetla odprtina vrat 200/200 cm  </t>
  </si>
  <si>
    <t>Izdelava in montaža zračnika fi 200 iz nerjaveče pločevine s kapo in obbetoniranjem po projektu (kapa opremljena z mrežo proti mrčesu in glodalcem in obrobno perforirano pločevino (iz nerjavečega jekla) za prezračevanje</t>
  </si>
  <si>
    <t>B.5.21</t>
  </si>
  <si>
    <t>Izdelava, dobava in montaža stranskega INOX zračnika fi 200 z zaščitno kapo in protimrčesno mrežico.</t>
  </si>
  <si>
    <t xml:space="preserve">Nabava in vgradnja ALU okna na vstopu v vodno celico, dimenzij 120x100 cm + protimrčesna mrežica. </t>
  </si>
  <si>
    <t>Dela upravljavca vodovoda</t>
  </si>
  <si>
    <t>III/1</t>
  </si>
  <si>
    <t>III/2</t>
  </si>
  <si>
    <t xml:space="preserve">Izvedba potrebnih prekinitev  na obstoječem vodovodu, odzračevanje in izpiranje obstoječega vodovoda, obveščanje uporabnikov o zaporah. </t>
  </si>
  <si>
    <t>III/3</t>
  </si>
  <si>
    <t xml:space="preserve">Izvedba spojev med  novimi in obstoječimi vodi na priključkih, ter selitve vodomerov v vodomerne jaške </t>
  </si>
  <si>
    <t>III/4</t>
  </si>
  <si>
    <t>Prenos geodetskega načrta v okolje operativnega katastra infrastrukture upravljavca</t>
  </si>
  <si>
    <t xml:space="preserve">Izdelava GEODETSKEGA NAČRTA novega stanja izvedenih del v fizični obliki (3 izvodih) in odprti digitalni obliki..                                                   </t>
  </si>
  <si>
    <t xml:space="preserve">Izdelava elaborata za vpis v uradne evidence v fizični obliki (3 izvodih) in odprti digitalni obliki.                             </t>
  </si>
  <si>
    <t xml:space="preserve">Izdelava GEODETSKEGA NAČRTA novega stanja izvedenih del v fizični obliki (3 izvodih) in odprti digitalni obliki.                                                  </t>
  </si>
  <si>
    <t xml:space="preserve">Prevezave obstoječih hišnih vodovodnih priključkov. Izvedba vseh potrebnih gradbenih del pri prevezavah  komplet z vsemi pomožnimi deli (iskanje obstoječe cevi, izkopi, zasipi odvoz materiala...). </t>
  </si>
  <si>
    <t>A.11</t>
  </si>
  <si>
    <t>A.13</t>
  </si>
  <si>
    <t>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</si>
</sst>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_-* #,##0.00\ _€_-;\-* #,##0.00\ _€_-;_-* &quot;-&quot;??\ _€_-;_-@_-"/>
    <numFmt numFmtId="165" formatCode="_-* #,##0.00\ _S_I_T_-;\-* #,##0.00\ _S_I_T_-;_-* &quot;-&quot;??\ _S_I_T_-;_-@_-"/>
    <numFmt numFmtId="166" formatCode="#,##0.00_ ;[Red]\-#,##0.00\ "/>
    <numFmt numFmtId="167" formatCode="_-* #,##0.00\ _k_n_-;\-* #,##0.00\ _k_n_-;_-* \-??\ _k_n_-;_-@_-"/>
    <numFmt numFmtId="168" formatCode="#.##0.00_ ;[Red]\-#.##0.00\ "/>
    <numFmt numFmtId="169" formatCode="_-* #.##0.00\ _€_-;\-* #.##0.00\ _€_-;_-* &quot;-&quot;??\ _€_-;_-@_-"/>
    <numFmt numFmtId="170" formatCode="#,##0;\-;"/>
    <numFmt numFmtId="171" formatCode="_-* #.##0.00\ _S_I_T_-;\-* #.##0.00\ _S_I_T_-;_-* &quot;-&quot;??\ _S_I_T_-;_-@_-"/>
    <numFmt numFmtId="172" formatCode="#,##0;\-"/>
    <numFmt numFmtId="173" formatCode="#.##0.00"/>
    <numFmt numFmtId="174" formatCode="0.000"/>
    <numFmt numFmtId="175" formatCode="0.0_)"/>
    <numFmt numFmtId="176" formatCode="0.0000000000000"/>
    <numFmt numFmtId="177" formatCode="0.0"/>
    <numFmt numFmtId="178" formatCode="#.#"/>
    <numFmt numFmtId="179" formatCode="#,##0.00\ [$€-1]"/>
    <numFmt numFmtId="180" formatCode="_-* #,##0.0\ _S_I_T_-;\-* #,##0.0\ _S_I_T_-;_-* &quot;-&quot;??\ _S_I_T_-;_-@_-"/>
    <numFmt numFmtId="181" formatCode="_-* #,##0.000\ _S_I_T_-;\-* #,##0.000\ _S_I_T_-;_-* &quot;-&quot;??\ _S_I_T_-;_-@_-"/>
    <numFmt numFmtId="182" formatCode="_-* #,##0.0000\ _S_I_T_-;\-* #,##0.0000\ _S_I_T_-;_-* &quot;-&quot;??\ _S_I_T_-;_-@_-"/>
    <numFmt numFmtId="183" formatCode="0.0000"/>
    <numFmt numFmtId="184" formatCode="\ \ _-* #,##0.00\ _S_I_T_-;\-* #,##0.00\ _S_I_T_-;_-* &quot;-&quot;??\ _S_I_T_-;_-@_-"/>
  </numFmts>
  <fonts count="111" x14ac:knownFonts="1">
    <font>
      <sz val="11"/>
      <color theme="1"/>
      <name val="Calibri"/>
      <family val="2"/>
      <scheme val="minor"/>
    </font>
    <font>
      <sz val="10"/>
      <name val="Arial CE"/>
      <charset val="238"/>
    </font>
    <font>
      <sz val="10"/>
      <name val="Arial"/>
      <family val="2"/>
    </font>
    <font>
      <sz val="10"/>
      <name val="Arial"/>
      <family val="2"/>
      <charset val="238"/>
    </font>
    <font>
      <sz val="9"/>
      <name val="Arial"/>
      <family val="2"/>
      <charset val="238"/>
    </font>
    <font>
      <b/>
      <sz val="9"/>
      <name val="Arial"/>
      <family val="2"/>
      <charset val="238"/>
    </font>
    <font>
      <b/>
      <sz val="10"/>
      <name val="Arial"/>
      <family val="2"/>
    </font>
    <font>
      <sz val="10"/>
      <name val="Arial"/>
      <family val="2"/>
      <charset val="238"/>
    </font>
    <font>
      <b/>
      <sz val="10"/>
      <name val="Arial"/>
      <family val="2"/>
      <charset val="238"/>
    </font>
    <font>
      <sz val="16"/>
      <name val="Arial"/>
      <family val="2"/>
    </font>
    <font>
      <b/>
      <sz val="9"/>
      <name val="Arial"/>
      <family val="2"/>
    </font>
    <font>
      <b/>
      <sz val="16"/>
      <name val="Arial"/>
      <family val="2"/>
      <charset val="238"/>
    </font>
    <font>
      <b/>
      <sz val="16"/>
      <name val="Arial"/>
      <family val="2"/>
    </font>
    <font>
      <sz val="11"/>
      <name val="Arial"/>
      <family val="2"/>
      <charset val="238"/>
    </font>
    <font>
      <b/>
      <sz val="11"/>
      <name val="Arial"/>
      <family val="2"/>
      <charset val="238"/>
    </font>
    <font>
      <b/>
      <sz val="12"/>
      <name val="Arial"/>
      <family val="2"/>
      <charset val="238"/>
    </font>
    <font>
      <sz val="12"/>
      <name val="Arial"/>
      <family val="2"/>
      <charset val="238"/>
    </font>
    <font>
      <sz val="9"/>
      <color indexed="8"/>
      <name val="Arial"/>
      <family val="2"/>
      <charset val="238"/>
    </font>
    <font>
      <sz val="9"/>
      <color indexed="8"/>
      <name val="Calibri"/>
      <family val="2"/>
      <charset val="238"/>
    </font>
    <font>
      <sz val="9"/>
      <name val="Calibri"/>
      <family val="2"/>
      <charset val="238"/>
    </font>
    <font>
      <sz val="11"/>
      <color indexed="8"/>
      <name val="Calibri"/>
      <family val="2"/>
      <charset val="238"/>
    </font>
    <font>
      <sz val="10"/>
      <color indexed="8"/>
      <name val="Arial"/>
      <family val="2"/>
      <charset val="238"/>
    </font>
    <font>
      <u/>
      <sz val="9"/>
      <name val="Arial"/>
      <family val="2"/>
      <charset val="238"/>
    </font>
    <font>
      <b/>
      <sz val="9"/>
      <color indexed="8"/>
      <name val="Arial"/>
      <family val="2"/>
      <charset val="238"/>
    </font>
    <font>
      <sz val="9"/>
      <color rgb="FF000000"/>
      <name val="Arial"/>
      <family val="2"/>
      <charset val="238"/>
    </font>
    <font>
      <sz val="9"/>
      <color rgb="FF000000"/>
      <name val="Calibri"/>
      <family val="2"/>
      <charset val="238"/>
    </font>
    <font>
      <sz val="11"/>
      <color rgb="FF000000"/>
      <name val="Times New Roman CE"/>
      <charset val="238"/>
    </font>
    <font>
      <sz val="10"/>
      <color rgb="FF000000"/>
      <name val="Calibri"/>
      <family val="2"/>
      <charset val="238"/>
    </font>
    <font>
      <sz val="9.9"/>
      <name val="Arial"/>
      <family val="2"/>
      <charset val="238"/>
    </font>
    <font>
      <b/>
      <sz val="9"/>
      <name val="Calibri"/>
      <family val="2"/>
      <charset val="238"/>
    </font>
    <font>
      <b/>
      <sz val="9.9"/>
      <name val="Arial"/>
      <family val="2"/>
      <charset val="238"/>
    </font>
    <font>
      <sz val="10"/>
      <name val="Times New Roman CE"/>
      <charset val="238"/>
    </font>
    <font>
      <sz val="11"/>
      <color theme="1"/>
      <name val="Calibri"/>
      <family val="2"/>
      <charset val="238"/>
      <scheme val="minor"/>
    </font>
    <font>
      <b/>
      <sz val="9"/>
      <color rgb="FFFF0000"/>
      <name val="Arial"/>
      <family val="2"/>
      <charset val="238"/>
    </font>
    <font>
      <sz val="8"/>
      <name val="Arial"/>
      <family val="2"/>
      <charset val="238"/>
    </font>
    <font>
      <b/>
      <sz val="9"/>
      <color rgb="FF000000"/>
      <name val="Arial"/>
      <family val="2"/>
      <charset val="238"/>
    </font>
    <font>
      <sz val="9.9"/>
      <color indexed="8"/>
      <name val="Arial"/>
      <family val="2"/>
      <charset val="238"/>
    </font>
    <font>
      <sz val="9.9"/>
      <color indexed="8"/>
      <name val="Calibri"/>
      <family val="2"/>
      <charset val="238"/>
    </font>
    <font>
      <b/>
      <sz val="12"/>
      <name val="Arial CE"/>
      <family val="2"/>
      <charset val="238"/>
    </font>
    <font>
      <sz val="12"/>
      <name val="Courier New"/>
      <family val="3"/>
      <charset val="238"/>
    </font>
    <font>
      <sz val="8"/>
      <name val="Calibri"/>
      <family val="2"/>
      <scheme val="minor"/>
    </font>
    <font>
      <b/>
      <sz val="14"/>
      <name val="Arial"/>
      <family val="2"/>
      <charset val="238"/>
    </font>
    <font>
      <sz val="6"/>
      <name val="Arial"/>
      <family val="2"/>
      <charset val="238"/>
    </font>
    <font>
      <b/>
      <sz val="18"/>
      <name val="Arial"/>
      <family val="2"/>
      <charset val="238"/>
    </font>
    <font>
      <b/>
      <sz val="11"/>
      <name val="Arial CE"/>
      <family val="2"/>
      <charset val="238"/>
    </font>
    <font>
      <b/>
      <sz val="9"/>
      <color indexed="9"/>
      <name val="Arial"/>
      <family val="2"/>
      <charset val="238"/>
    </font>
    <font>
      <b/>
      <i/>
      <sz val="9"/>
      <name val="Arial"/>
      <family val="2"/>
      <charset val="238"/>
    </font>
    <font>
      <b/>
      <sz val="9"/>
      <color indexed="12"/>
      <name val="Arial"/>
      <family val="2"/>
      <charset val="238"/>
    </font>
    <font>
      <sz val="9"/>
      <color indexed="12"/>
      <name val="Arial"/>
      <family val="2"/>
      <charset val="238"/>
    </font>
    <font>
      <b/>
      <sz val="9"/>
      <color theme="1"/>
      <name val="Calibri Light"/>
      <family val="2"/>
      <scheme val="major"/>
    </font>
    <font>
      <sz val="9"/>
      <name val="Calibri Light"/>
      <family val="2"/>
      <scheme val="major"/>
    </font>
    <font>
      <b/>
      <sz val="9"/>
      <name val="Calibri Light"/>
      <family val="2"/>
      <scheme val="major"/>
    </font>
    <font>
      <sz val="9"/>
      <name val="Calibri Light"/>
      <family val="2"/>
      <charset val="238"/>
      <scheme val="major"/>
    </font>
    <font>
      <sz val="9"/>
      <color indexed="8"/>
      <name val="Calibri Light"/>
      <family val="2"/>
      <charset val="238"/>
      <scheme val="major"/>
    </font>
    <font>
      <b/>
      <sz val="9"/>
      <color rgb="FF000000"/>
      <name val="Calibri Light"/>
      <family val="2"/>
      <charset val="238"/>
      <scheme val="major"/>
    </font>
    <font>
      <sz val="9"/>
      <color indexed="8"/>
      <name val="Calibri Light"/>
      <family val="2"/>
      <scheme val="major"/>
    </font>
    <font>
      <sz val="9"/>
      <color theme="1"/>
      <name val="Calibri Light"/>
      <family val="2"/>
      <charset val="238"/>
      <scheme val="major"/>
    </font>
    <font>
      <b/>
      <sz val="9"/>
      <name val="Calibri Light"/>
      <family val="2"/>
      <charset val="238"/>
      <scheme val="major"/>
    </font>
    <font>
      <sz val="14"/>
      <name val="Arial"/>
      <family val="2"/>
      <charset val="238"/>
    </font>
    <font>
      <sz val="10"/>
      <color indexed="10"/>
      <name val="Arial"/>
      <family val="2"/>
    </font>
    <font>
      <b/>
      <sz val="14.5"/>
      <name val="Times New Roman"/>
      <family val="1"/>
      <charset val="238"/>
    </font>
    <font>
      <sz val="9"/>
      <color indexed="8"/>
      <name val="Calibri Light"/>
      <family val="2"/>
      <charset val="238"/>
    </font>
    <font>
      <sz val="9"/>
      <name val="Calibri Light"/>
      <family val="2"/>
      <charset val="238"/>
    </font>
    <font>
      <sz val="10"/>
      <color indexed="8"/>
      <name val="Arial"/>
      <family val="2"/>
    </font>
    <font>
      <vertAlign val="superscript"/>
      <sz val="10"/>
      <name val="Arial"/>
      <family val="2"/>
    </font>
    <font>
      <vertAlign val="superscript"/>
      <sz val="10"/>
      <name val="Arial"/>
      <family val="2"/>
      <charset val="238"/>
    </font>
    <font>
      <sz val="9"/>
      <name val="Arial"/>
      <family val="2"/>
    </font>
    <font>
      <sz val="10"/>
      <name val="Calibri"/>
      <family val="2"/>
      <charset val="238"/>
    </font>
    <font>
      <sz val="10"/>
      <name val="Arial CE"/>
      <family val="2"/>
      <charset val="238"/>
    </font>
    <font>
      <b/>
      <i/>
      <sz val="10"/>
      <name val="Arial CE"/>
      <charset val="238"/>
    </font>
    <font>
      <sz val="10"/>
      <color indexed="8"/>
      <name val="Calibri"/>
      <family val="2"/>
      <charset val="238"/>
    </font>
    <font>
      <sz val="10"/>
      <color indexed="10"/>
      <name val="Arial"/>
      <family val="2"/>
      <charset val="238"/>
    </font>
    <font>
      <b/>
      <sz val="9"/>
      <color indexed="8"/>
      <name val="Calibri Light"/>
      <family val="2"/>
    </font>
    <font>
      <sz val="9"/>
      <name val="Cambria"/>
      <family val="2"/>
    </font>
    <font>
      <b/>
      <sz val="9"/>
      <name val="Cambria"/>
      <family val="2"/>
    </font>
    <font>
      <sz val="9"/>
      <name val="Cambria"/>
      <family val="2"/>
      <charset val="238"/>
    </font>
    <font>
      <b/>
      <sz val="9"/>
      <color indexed="8"/>
      <name val="Calibri Light"/>
      <family val="2"/>
      <charset val="238"/>
    </font>
    <font>
      <b/>
      <sz val="9"/>
      <color indexed="8"/>
      <name val="Cambria"/>
      <family val="2"/>
      <charset val="238"/>
    </font>
    <font>
      <sz val="9"/>
      <color indexed="8"/>
      <name val="Cambria"/>
      <family val="2"/>
    </font>
    <font>
      <sz val="9"/>
      <color indexed="8"/>
      <name val="Cambria"/>
      <family val="2"/>
      <charset val="238"/>
    </font>
    <font>
      <b/>
      <sz val="9"/>
      <name val="Cambria"/>
      <family val="2"/>
      <charset val="238"/>
    </font>
    <font>
      <sz val="9"/>
      <name val="Calibri Light"/>
      <family val="2"/>
    </font>
    <font>
      <strike/>
      <sz val="9"/>
      <name val="Arial"/>
      <family val="2"/>
      <charset val="238"/>
    </font>
    <font>
      <b/>
      <sz val="10"/>
      <color indexed="8"/>
      <name val="Arial"/>
      <family val="2"/>
      <charset val="238"/>
    </font>
    <font>
      <sz val="9"/>
      <color indexed="8"/>
      <name val="Calibri Light"/>
      <family val="2"/>
    </font>
    <font>
      <i/>
      <sz val="10"/>
      <name val="Arial CE"/>
      <charset val="238"/>
    </font>
    <font>
      <sz val="11"/>
      <color indexed="17"/>
      <name val="Calibri"/>
      <family val="2"/>
      <charset val="238"/>
    </font>
    <font>
      <u/>
      <sz val="10"/>
      <name val="Arial"/>
      <family val="2"/>
      <charset val="238"/>
    </font>
    <font>
      <sz val="10"/>
      <color rgb="FFFF0000"/>
      <name val="Arial"/>
      <family val="2"/>
    </font>
    <font>
      <b/>
      <sz val="10"/>
      <color rgb="FFFF0000"/>
      <name val="Arial"/>
      <family val="2"/>
    </font>
    <font>
      <sz val="16"/>
      <color rgb="FFFF0000"/>
      <name val="Arial CE"/>
      <charset val="238"/>
    </font>
    <font>
      <sz val="12"/>
      <name val="Arial"/>
      <family val="2"/>
    </font>
    <font>
      <b/>
      <sz val="12"/>
      <name val="Arial"/>
      <family val="2"/>
    </font>
    <font>
      <b/>
      <sz val="9"/>
      <color indexed="8"/>
      <name val="Arial"/>
      <family val="2"/>
    </font>
    <font>
      <u/>
      <sz val="10"/>
      <name val="Arial CE"/>
      <family val="2"/>
      <charset val="238"/>
    </font>
    <font>
      <sz val="10"/>
      <color theme="0"/>
      <name val="Arial"/>
      <family val="2"/>
    </font>
    <font>
      <sz val="10"/>
      <name val="Arial"/>
      <family val="2"/>
      <charset val="238"/>
    </font>
    <font>
      <sz val="11"/>
      <color theme="1"/>
      <name val="Calibri"/>
      <family val="2"/>
      <scheme val="minor"/>
    </font>
    <font>
      <b/>
      <sz val="11"/>
      <color theme="1"/>
      <name val="Calibri"/>
      <family val="2"/>
      <scheme val="minor"/>
    </font>
    <font>
      <sz val="10"/>
      <name val="Arial"/>
      <family val="2"/>
      <charset val="238"/>
    </font>
    <font>
      <b/>
      <sz val="14"/>
      <color rgb="FF000000"/>
      <name val="Arial"/>
      <family val="2"/>
      <charset val="238"/>
    </font>
    <font>
      <b/>
      <sz val="10"/>
      <name val="Arial CE"/>
      <charset val="238"/>
    </font>
    <font>
      <b/>
      <sz val="10"/>
      <name val="Calibri"/>
      <family val="2"/>
      <charset val="238"/>
    </font>
    <font>
      <sz val="10"/>
      <color rgb="FF000000"/>
      <name val="Arial"/>
      <family val="2"/>
      <charset val="238"/>
    </font>
    <font>
      <b/>
      <sz val="10"/>
      <color rgb="FF000000"/>
      <name val="Calibri"/>
      <family val="2"/>
    </font>
    <font>
      <b/>
      <sz val="10"/>
      <color rgb="FF000000"/>
      <name val="Calibri"/>
      <family val="2"/>
      <charset val="238"/>
    </font>
    <font>
      <b/>
      <sz val="10"/>
      <color indexed="8"/>
      <name val="Arial"/>
      <family val="2"/>
    </font>
    <font>
      <b/>
      <sz val="14"/>
      <name val="Arial"/>
      <family val="2"/>
    </font>
    <font>
      <sz val="10"/>
      <color theme="1"/>
      <name val="Arial"/>
      <family val="2"/>
      <charset val="238"/>
    </font>
    <font>
      <b/>
      <sz val="11"/>
      <name val="Arial"/>
      <family val="2"/>
    </font>
    <font>
      <sz val="11"/>
      <name val="Arial"/>
      <family val="2"/>
    </font>
  </fonts>
  <fills count="31">
    <fill>
      <patternFill patternType="none"/>
    </fill>
    <fill>
      <patternFill patternType="gray125"/>
    </fill>
    <fill>
      <patternFill patternType="solid">
        <fgColor theme="5"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CCFF"/>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6" tint="0.39997558519241921"/>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indexed="11"/>
        <bgColor indexed="64"/>
      </patternFill>
    </fill>
    <fill>
      <patternFill patternType="solid">
        <fgColor indexed="26"/>
        <bgColor indexed="64"/>
      </patternFill>
    </fill>
    <fill>
      <patternFill patternType="solid">
        <fgColor indexed="42"/>
      </patternFill>
    </fill>
    <fill>
      <patternFill patternType="solid">
        <fgColor rgb="FF00B0F0"/>
        <bgColor indexed="64"/>
      </patternFill>
    </fill>
    <fill>
      <patternFill patternType="solid">
        <fgColor theme="4" tint="0.79998168889431442"/>
        <bgColor indexed="64"/>
      </patternFill>
    </fill>
    <fill>
      <patternFill patternType="solid">
        <fgColor theme="6"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2">
    <xf numFmtId="0" fontId="0" fillId="0" borderId="0"/>
    <xf numFmtId="0" fontId="1" fillId="0" borderId="0"/>
    <xf numFmtId="165" fontId="3" fillId="0" borderId="0" applyFont="0" applyFill="0" applyBorder="0" applyAlignment="0" applyProtection="0"/>
    <xf numFmtId="165" fontId="1" fillId="0" borderId="0" applyFont="0" applyFill="0" applyBorder="0" applyAlignment="0" applyProtection="0"/>
    <xf numFmtId="0" fontId="7" fillId="0" borderId="0"/>
    <xf numFmtId="0" fontId="3" fillId="0" borderId="0"/>
    <xf numFmtId="0" fontId="20" fillId="0" borderId="0"/>
    <xf numFmtId="0" fontId="21" fillId="0" borderId="0"/>
    <xf numFmtId="0" fontId="26" fillId="0" borderId="0" applyNumberFormat="0" applyBorder="0" applyProtection="0"/>
    <xf numFmtId="0" fontId="20" fillId="0" borderId="0"/>
    <xf numFmtId="0" fontId="31" fillId="0" borderId="0"/>
    <xf numFmtId="0" fontId="32" fillId="0" borderId="0"/>
    <xf numFmtId="0" fontId="38" fillId="0" borderId="0">
      <alignment horizontal="left" vertical="top" wrapText="1" readingOrder="1"/>
    </xf>
    <xf numFmtId="167" fontId="3" fillId="0" borderId="0" applyFill="0" applyBorder="0" applyAlignment="0" applyProtection="0"/>
    <xf numFmtId="0" fontId="39" fillId="0" borderId="0"/>
    <xf numFmtId="165" fontId="1" fillId="0" borderId="0" applyFont="0" applyFill="0" applyBorder="0" applyAlignment="0" applyProtection="0"/>
    <xf numFmtId="44" fontId="7" fillId="0" borderId="0" applyFont="0" applyFill="0" applyBorder="0" applyAlignment="0" applyProtection="0"/>
    <xf numFmtId="0" fontId="3" fillId="0" borderId="0"/>
    <xf numFmtId="0" fontId="44" fillId="0" borderId="0">
      <alignment horizontal="left" vertical="top" wrapText="1" readingOrder="1"/>
    </xf>
    <xf numFmtId="0" fontId="2" fillId="0" borderId="0"/>
    <xf numFmtId="0" fontId="2" fillId="0" borderId="15">
      <alignment horizontal="left" vertical="top" wrapText="1"/>
    </xf>
    <xf numFmtId="169"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1" fillId="0" borderId="0"/>
    <xf numFmtId="165" fontId="3" fillId="0" borderId="0" applyFont="0" applyFill="0" applyBorder="0" applyAlignment="0" applyProtection="0"/>
    <xf numFmtId="165" fontId="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0" borderId="0"/>
    <xf numFmtId="165" fontId="2" fillId="0" borderId="0" applyFont="0" applyFill="0" applyBorder="0" applyAlignment="0" applyProtection="0"/>
    <xf numFmtId="0" fontId="20" fillId="0" borderId="0"/>
    <xf numFmtId="164" fontId="20"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20" fillId="0" borderId="0"/>
    <xf numFmtId="165" fontId="3" fillId="0" borderId="0" applyFont="0" applyFill="0" applyBorder="0" applyAlignment="0" applyProtection="0"/>
    <xf numFmtId="0" fontId="20" fillId="0" borderId="0"/>
    <xf numFmtId="0" fontId="20" fillId="0" borderId="0"/>
    <xf numFmtId="0" fontId="86" fillId="27" borderId="0" applyNumberFormat="0" applyBorder="0" applyAlignment="0" applyProtection="0"/>
    <xf numFmtId="0" fontId="1" fillId="0" borderId="0"/>
    <xf numFmtId="0" fontId="1" fillId="0" borderId="0"/>
    <xf numFmtId="0" fontId="1" fillId="0" borderId="0"/>
    <xf numFmtId="0" fontId="1" fillId="0" borderId="0"/>
    <xf numFmtId="0" fontId="20" fillId="0" borderId="0"/>
    <xf numFmtId="164" fontId="32" fillId="0" borderId="0" applyFont="0" applyFill="0" applyBorder="0" applyAlignment="0" applyProtection="0"/>
    <xf numFmtId="0" fontId="96" fillId="0" borderId="0"/>
    <xf numFmtId="9" fontId="97" fillId="0" borderId="0" applyFont="0" applyFill="0" applyBorder="0" applyAlignment="0" applyProtection="0"/>
    <xf numFmtId="0" fontId="99" fillId="0" borderId="0"/>
  </cellStyleXfs>
  <cellXfs count="3327">
    <xf numFmtId="0" fontId="0" fillId="0" borderId="0" xfId="0"/>
    <xf numFmtId="0" fontId="2" fillId="0" borderId="0" xfId="1" applyFont="1"/>
    <xf numFmtId="165" fontId="2" fillId="0" borderId="0" xfId="2" applyFont="1"/>
    <xf numFmtId="4" fontId="4" fillId="0" borderId="0" xfId="3" applyNumberFormat="1" applyFont="1" applyAlignment="1">
      <alignment vertical="center"/>
    </xf>
    <xf numFmtId="4" fontId="4" fillId="0" borderId="0" xfId="3" applyNumberFormat="1" applyFont="1" applyAlignment="1" applyProtection="1">
      <alignment vertical="center"/>
      <protection locked="0"/>
    </xf>
    <xf numFmtId="166" fontId="4" fillId="0" borderId="0" xfId="3" applyNumberFormat="1" applyFont="1" applyAlignment="1">
      <alignment vertical="center"/>
    </xf>
    <xf numFmtId="0" fontId="4" fillId="0" borderId="0" xfId="1" applyFont="1" applyAlignment="1">
      <alignment vertical="center"/>
    </xf>
    <xf numFmtId="0" fontId="4" fillId="0" borderId="0" xfId="1" applyFont="1" applyAlignment="1">
      <alignment vertical="top" wrapText="1"/>
    </xf>
    <xf numFmtId="0" fontId="2" fillId="0" borderId="0" xfId="1" applyFont="1" applyAlignment="1">
      <alignment horizontal="center" vertical="top"/>
    </xf>
    <xf numFmtId="0" fontId="2" fillId="0" borderId="0" xfId="1" applyFont="1" applyAlignment="1">
      <alignment vertical="center"/>
    </xf>
    <xf numFmtId="0" fontId="4" fillId="0" borderId="1" xfId="4" applyFont="1" applyBorder="1" applyAlignment="1">
      <alignment horizontal="center" vertical="center"/>
    </xf>
    <xf numFmtId="0" fontId="8" fillId="0" borderId="0" xfId="1" applyFont="1"/>
    <xf numFmtId="165" fontId="8" fillId="0" borderId="0" xfId="2" applyFont="1"/>
    <xf numFmtId="165" fontId="5" fillId="0" borderId="1" xfId="2" applyFont="1" applyBorder="1" applyAlignment="1">
      <alignment vertical="center"/>
    </xf>
    <xf numFmtId="165" fontId="5" fillId="0" borderId="1" xfId="2" applyFont="1" applyBorder="1" applyAlignment="1" applyProtection="1">
      <alignment vertical="center"/>
      <protection locked="0"/>
    </xf>
    <xf numFmtId="0" fontId="5" fillId="0" borderId="1" xfId="1" applyFont="1" applyBorder="1" applyAlignment="1">
      <alignment horizontal="center" vertical="center"/>
    </xf>
    <xf numFmtId="0" fontId="9" fillId="0" borderId="0" xfId="1" applyFont="1"/>
    <xf numFmtId="0" fontId="3" fillId="0" borderId="0" xfId="4" applyFont="1" applyAlignment="1">
      <alignment vertical="center"/>
    </xf>
    <xf numFmtId="165" fontId="3" fillId="0" borderId="0" xfId="2" applyAlignment="1">
      <alignment vertical="center"/>
    </xf>
    <xf numFmtId="165" fontId="8" fillId="3" borderId="1" xfId="2" applyFont="1" applyFill="1" applyBorder="1" applyAlignment="1">
      <alignment vertical="center"/>
    </xf>
    <xf numFmtId="165" fontId="8" fillId="2" borderId="1" xfId="2" applyFont="1" applyFill="1" applyBorder="1" applyAlignment="1">
      <alignment vertical="center"/>
    </xf>
    <xf numFmtId="0" fontId="3" fillId="0" borderId="0" xfId="4" applyFont="1"/>
    <xf numFmtId="165" fontId="3" fillId="0" borderId="0" xfId="2"/>
    <xf numFmtId="0" fontId="13" fillId="0" borderId="0" xfId="4" applyFont="1"/>
    <xf numFmtId="0" fontId="3" fillId="0" borderId="0" xfId="5"/>
    <xf numFmtId="0" fontId="7" fillId="0" borderId="0" xfId="4"/>
    <xf numFmtId="165" fontId="0" fillId="0" borderId="0" xfId="2" applyFont="1"/>
    <xf numFmtId="165" fontId="5" fillId="3" borderId="2" xfId="2" applyFont="1" applyFill="1" applyBorder="1" applyAlignment="1">
      <alignment horizontal="right" vertical="center"/>
    </xf>
    <xf numFmtId="49" fontId="8" fillId="3" borderId="4" xfId="4" quotePrefix="1" applyNumberFormat="1" applyFont="1" applyFill="1" applyBorder="1" applyAlignment="1">
      <alignment horizontal="center" vertical="center"/>
    </xf>
    <xf numFmtId="0" fontId="5" fillId="2" borderId="4" xfId="4" applyFont="1" applyFill="1" applyBorder="1" applyAlignment="1">
      <alignment vertical="center" wrapText="1"/>
    </xf>
    <xf numFmtId="49" fontId="8" fillId="2" borderId="4" xfId="4" quotePrefix="1" applyNumberFormat="1" applyFont="1" applyFill="1" applyBorder="1" applyAlignment="1">
      <alignment horizontal="center" vertical="center"/>
    </xf>
    <xf numFmtId="165" fontId="5" fillId="3" borderId="1" xfId="2" applyFont="1" applyFill="1" applyBorder="1" applyAlignment="1">
      <alignment horizontal="right" vertical="center"/>
    </xf>
    <xf numFmtId="0" fontId="14" fillId="3" borderId="4" xfId="4" applyFont="1" applyFill="1" applyBorder="1" applyAlignment="1">
      <alignment horizontal="left" vertical="center" wrapText="1"/>
    </xf>
    <xf numFmtId="49" fontId="8" fillId="3" borderId="1" xfId="4" applyNumberFormat="1" applyFont="1" applyFill="1" applyBorder="1" applyAlignment="1">
      <alignment horizontal="left" vertical="center"/>
    </xf>
    <xf numFmtId="0" fontId="1" fillId="0" borderId="0" xfId="1"/>
    <xf numFmtId="0" fontId="17" fillId="0" borderId="1" xfId="4" applyFont="1" applyBorder="1" applyAlignment="1">
      <alignment horizontal="left" vertical="center" wrapText="1"/>
    </xf>
    <xf numFmtId="49" fontId="3" fillId="0" borderId="1" xfId="1" applyNumberFormat="1" applyFont="1" applyBorder="1" applyAlignment="1">
      <alignment horizontal="left" vertical="top"/>
    </xf>
    <xf numFmtId="0" fontId="5" fillId="0" borderId="1" xfId="1" applyFont="1" applyBorder="1" applyAlignment="1">
      <alignment horizontal="left" vertical="top" wrapText="1"/>
    </xf>
    <xf numFmtId="0" fontId="17" fillId="0" borderId="1" xfId="4" applyFont="1" applyBorder="1" applyAlignment="1">
      <alignment horizontal="left" vertical="top" wrapText="1"/>
    </xf>
    <xf numFmtId="49" fontId="8" fillId="0" borderId="1" xfId="1" applyNumberFormat="1" applyFont="1" applyBorder="1" applyAlignment="1">
      <alignment horizontal="left" vertical="top"/>
    </xf>
    <xf numFmtId="49" fontId="8" fillId="0" borderId="1" xfId="1" applyNumberFormat="1" applyFont="1" applyBorder="1" applyAlignment="1">
      <alignment horizontal="left" vertical="center"/>
    </xf>
    <xf numFmtId="0" fontId="6" fillId="0" borderId="1" xfId="1" applyFont="1" applyBorder="1" applyAlignment="1">
      <alignment horizontal="left" vertical="center"/>
    </xf>
    <xf numFmtId="0" fontId="8" fillId="0" borderId="1" xfId="1" applyFont="1" applyBorder="1" applyAlignment="1">
      <alignment horizontal="left" vertical="center"/>
    </xf>
    <xf numFmtId="0" fontId="2" fillId="0" borderId="0" xfId="6" applyFont="1"/>
    <xf numFmtId="165" fontId="4" fillId="0" borderId="1" xfId="4" applyNumberFormat="1" applyFont="1" applyBorder="1" applyAlignment="1" applyProtection="1">
      <alignment vertical="center"/>
      <protection locked="0"/>
    </xf>
    <xf numFmtId="166" fontId="4" fillId="0" borderId="1" xfId="3" applyNumberFormat="1" applyFont="1" applyBorder="1" applyAlignment="1">
      <alignment horizontal="right" vertical="center" wrapText="1"/>
    </xf>
    <xf numFmtId="0" fontId="5" fillId="0" borderId="1" xfId="1" applyFont="1" applyBorder="1" applyAlignment="1">
      <alignment wrapText="1"/>
    </xf>
    <xf numFmtId="166" fontId="17" fillId="0" borderId="1" xfId="3" applyNumberFormat="1" applyFont="1" applyBorder="1" applyAlignment="1">
      <alignment vertical="center"/>
    </xf>
    <xf numFmtId="0" fontId="4" fillId="0" borderId="1" xfId="4" applyFont="1" applyBorder="1" applyAlignment="1">
      <alignment horizontal="center" vertical="center" wrapText="1"/>
    </xf>
    <xf numFmtId="0" fontId="4" fillId="0" borderId="1" xfId="4" applyFont="1" applyBorder="1" applyAlignment="1">
      <alignment horizontal="justify" vertical="top" wrapText="1"/>
    </xf>
    <xf numFmtId="0" fontId="5" fillId="0" borderId="1" xfId="1" applyFont="1" applyBorder="1" applyAlignment="1">
      <alignment horizontal="center" vertical="center" wrapText="1"/>
    </xf>
    <xf numFmtId="0" fontId="6" fillId="0" borderId="1" xfId="1" applyFont="1" applyBorder="1" applyAlignment="1">
      <alignment horizontal="center" vertical="center" wrapText="1"/>
    </xf>
    <xf numFmtId="165" fontId="5" fillId="0" borderId="1" xfId="2" applyFont="1" applyFill="1" applyBorder="1" applyAlignment="1">
      <alignment vertical="center"/>
    </xf>
    <xf numFmtId="165" fontId="4" fillId="6" borderId="1" xfId="2" applyFont="1" applyFill="1" applyBorder="1" applyAlignment="1">
      <alignment vertical="center"/>
    </xf>
    <xf numFmtId="165" fontId="4" fillId="6" borderId="1" xfId="2" applyFont="1" applyFill="1" applyBorder="1" applyAlignment="1" applyProtection="1">
      <alignment horizontal="right" vertical="center"/>
      <protection locked="0"/>
    </xf>
    <xf numFmtId="166" fontId="4" fillId="6" borderId="1" xfId="3" applyNumberFormat="1" applyFont="1" applyFill="1" applyBorder="1" applyAlignment="1">
      <alignment horizontal="right" vertical="center"/>
    </xf>
    <xf numFmtId="0" fontId="4" fillId="6" borderId="1" xfId="1" applyFont="1" applyFill="1" applyBorder="1" applyAlignment="1">
      <alignment vertical="center"/>
    </xf>
    <xf numFmtId="0" fontId="23" fillId="6" borderId="1" xfId="4" applyFont="1" applyFill="1" applyBorder="1" applyAlignment="1">
      <alignment vertical="center" wrapText="1"/>
    </xf>
    <xf numFmtId="4" fontId="8" fillId="2" borderId="4" xfId="4" applyNumberFormat="1" applyFont="1" applyFill="1" applyBorder="1" applyAlignment="1" applyProtection="1">
      <alignment vertical="center"/>
      <protection locked="0"/>
    </xf>
    <xf numFmtId="0" fontId="8" fillId="0" borderId="1" xfId="1" applyFont="1" applyBorder="1" applyAlignment="1">
      <alignment horizontal="center" vertical="top"/>
    </xf>
    <xf numFmtId="165" fontId="4" fillId="7" borderId="1" xfId="2" applyFont="1" applyFill="1" applyBorder="1" applyAlignment="1">
      <alignment vertical="center"/>
    </xf>
    <xf numFmtId="165" fontId="4" fillId="7" borderId="1" xfId="2" applyFont="1" applyFill="1" applyBorder="1" applyAlignment="1" applyProtection="1">
      <alignment horizontal="right" vertical="center"/>
      <protection locked="0"/>
    </xf>
    <xf numFmtId="166" fontId="4" fillId="7" borderId="1" xfId="3" applyNumberFormat="1" applyFont="1" applyFill="1" applyBorder="1" applyAlignment="1">
      <alignment horizontal="right" vertical="center"/>
    </xf>
    <xf numFmtId="0" fontId="4" fillId="7" borderId="1" xfId="1" applyFont="1" applyFill="1" applyBorder="1" applyAlignment="1">
      <alignment vertical="center"/>
    </xf>
    <xf numFmtId="0" fontId="27" fillId="7" borderId="1" xfId="8" applyFont="1" applyFill="1" applyBorder="1" applyAlignment="1">
      <alignment horizontal="left" vertical="top" wrapText="1"/>
    </xf>
    <xf numFmtId="0" fontId="27" fillId="7" borderId="13" xfId="8" applyFont="1" applyFill="1" applyBorder="1" applyAlignment="1">
      <alignment horizontal="left" vertical="top" wrapText="1"/>
    </xf>
    <xf numFmtId="0" fontId="27" fillId="7" borderId="0" xfId="8" applyFont="1" applyFill="1" applyAlignment="1">
      <alignment horizontal="left" vertical="top" wrapText="1"/>
    </xf>
    <xf numFmtId="0" fontId="5" fillId="7" borderId="1" xfId="1" applyFont="1" applyFill="1" applyBorder="1" applyAlignment="1">
      <alignment wrapText="1"/>
    </xf>
    <xf numFmtId="49" fontId="24" fillId="0" borderId="1" xfId="4" applyNumberFormat="1" applyFont="1" applyBorder="1" applyAlignment="1">
      <alignment horizontal="center" vertical="center" wrapText="1"/>
    </xf>
    <xf numFmtId="0" fontId="4" fillId="7" borderId="1" xfId="1" applyFont="1" applyFill="1" applyBorder="1" applyAlignment="1">
      <alignment wrapText="1"/>
    </xf>
    <xf numFmtId="0" fontId="3" fillId="0" borderId="1" xfId="1" applyFont="1" applyBorder="1" applyAlignment="1">
      <alignment horizontal="center" vertical="top"/>
    </xf>
    <xf numFmtId="166" fontId="4" fillId="0" borderId="1" xfId="4" applyNumberFormat="1" applyFont="1" applyBorder="1" applyAlignment="1">
      <alignment vertical="center"/>
    </xf>
    <xf numFmtId="0" fontId="27" fillId="7" borderId="0" xfId="8" applyFont="1" applyFill="1" applyAlignment="1">
      <alignment horizontal="justify" vertical="top" wrapText="1"/>
    </xf>
    <xf numFmtId="4" fontId="2" fillId="0" borderId="0" xfId="4" applyNumberFormat="1" applyFont="1"/>
    <xf numFmtId="0" fontId="2" fillId="0" borderId="0" xfId="4" applyFont="1"/>
    <xf numFmtId="4" fontId="2" fillId="0" borderId="0" xfId="4" applyNumberFormat="1" applyFont="1" applyAlignment="1">
      <alignment horizontal="justify" vertical="top" wrapText="1"/>
    </xf>
    <xf numFmtId="165" fontId="2" fillId="0" borderId="0" xfId="4" applyNumberFormat="1" applyFont="1"/>
    <xf numFmtId="165" fontId="4" fillId="0" borderId="6" xfId="4" applyNumberFormat="1" applyFont="1" applyBorder="1" applyAlignment="1">
      <alignment vertical="center"/>
    </xf>
    <xf numFmtId="166" fontId="4" fillId="0" borderId="6" xfId="4" applyNumberFormat="1" applyFont="1" applyBorder="1" applyAlignment="1">
      <alignment vertical="center"/>
    </xf>
    <xf numFmtId="0" fontId="4" fillId="0" borderId="6" xfId="4" applyFont="1" applyBorder="1" applyAlignment="1">
      <alignment horizontal="center" vertical="center" wrapText="1"/>
    </xf>
    <xf numFmtId="0" fontId="4" fillId="0" borderId="6" xfId="4" applyFont="1" applyBorder="1" applyAlignment="1">
      <alignment horizontal="justify" vertical="top" wrapText="1"/>
    </xf>
    <xf numFmtId="0" fontId="2" fillId="0" borderId="5" xfId="4" applyFont="1" applyBorder="1" applyAlignment="1">
      <alignment horizontal="center" vertical="top" wrapText="1"/>
    </xf>
    <xf numFmtId="0" fontId="2" fillId="0" borderId="0" xfId="4" applyFont="1" applyAlignment="1">
      <alignment horizontal="justify" vertical="top" wrapText="1"/>
    </xf>
    <xf numFmtId="0" fontId="4" fillId="0" borderId="6" xfId="4" applyFont="1" applyBorder="1" applyAlignment="1">
      <alignment horizontal="center" vertical="center"/>
    </xf>
    <xf numFmtId="165" fontId="4" fillId="0" borderId="2" xfId="4" applyNumberFormat="1" applyFont="1" applyBorder="1" applyAlignment="1" applyProtection="1">
      <alignment vertical="center"/>
      <protection locked="0"/>
    </xf>
    <xf numFmtId="166" fontId="4" fillId="0" borderId="2" xfId="4" applyNumberFormat="1" applyFont="1" applyBorder="1" applyAlignment="1">
      <alignment vertical="center"/>
    </xf>
    <xf numFmtId="0" fontId="4" fillId="0" borderId="2" xfId="4" applyFont="1" applyBorder="1" applyAlignment="1">
      <alignment horizontal="center" vertical="center"/>
    </xf>
    <xf numFmtId="0" fontId="4" fillId="0" borderId="2" xfId="4" applyFont="1" applyBorder="1" applyAlignment="1">
      <alignment horizontal="justify" vertical="top" wrapText="1"/>
    </xf>
    <xf numFmtId="0" fontId="2" fillId="0" borderId="1" xfId="4" applyFont="1" applyBorder="1" applyAlignment="1">
      <alignment horizontal="center" vertical="top" wrapText="1"/>
    </xf>
    <xf numFmtId="165" fontId="4" fillId="0" borderId="2" xfId="4" applyNumberFormat="1" applyFont="1" applyBorder="1" applyAlignment="1">
      <alignment vertical="center"/>
    </xf>
    <xf numFmtId="166" fontId="4" fillId="0" borderId="6" xfId="4" applyNumberFormat="1" applyFont="1" applyBorder="1" applyAlignment="1">
      <alignment vertical="center" wrapText="1"/>
    </xf>
    <xf numFmtId="0" fontId="4" fillId="0" borderId="6" xfId="4" applyFont="1" applyBorder="1" applyAlignment="1">
      <alignment wrapText="1"/>
    </xf>
    <xf numFmtId="0" fontId="2" fillId="0" borderId="5" xfId="4" applyFont="1" applyBorder="1" applyAlignment="1">
      <alignment horizontal="center" vertical="top"/>
    </xf>
    <xf numFmtId="0" fontId="24" fillId="0" borderId="6" xfId="4" applyFont="1" applyBorder="1" applyAlignment="1">
      <alignment vertical="top" wrapText="1"/>
    </xf>
    <xf numFmtId="0" fontId="4" fillId="0" borderId="2" xfId="4" applyFont="1" applyBorder="1" applyAlignment="1">
      <alignment horizontal="center" vertical="center" wrapText="1"/>
    </xf>
    <xf numFmtId="0" fontId="4" fillId="0" borderId="2" xfId="4" applyFont="1" applyBorder="1" applyAlignment="1">
      <alignment horizontal="left" vertical="top" wrapText="1"/>
    </xf>
    <xf numFmtId="0" fontId="2" fillId="0" borderId="1" xfId="4" applyFont="1" applyBorder="1" applyAlignment="1">
      <alignment horizontal="center" vertical="top"/>
    </xf>
    <xf numFmtId="0" fontId="4" fillId="0" borderId="1" xfId="10" applyFont="1" applyBorder="1" applyAlignment="1" applyProtection="1">
      <alignment vertical="top" wrapText="1"/>
      <protection locked="0"/>
    </xf>
    <xf numFmtId="0" fontId="17" fillId="0" borderId="1" xfId="11" applyFont="1" applyBorder="1" applyAlignment="1">
      <alignment vertical="top" wrapText="1"/>
    </xf>
    <xf numFmtId="0" fontId="4" fillId="0" borderId="1" xfId="10" applyFont="1" applyBorder="1" applyAlignment="1" applyProtection="1">
      <alignment vertical="center" wrapText="1"/>
      <protection locked="0"/>
    </xf>
    <xf numFmtId="0" fontId="4" fillId="0" borderId="4" xfId="10" applyFont="1" applyBorder="1" applyAlignment="1" applyProtection="1">
      <alignment horizontal="left" vertical="top" wrapText="1"/>
      <protection locked="0"/>
    </xf>
    <xf numFmtId="0" fontId="8" fillId="0" borderId="4" xfId="1" applyFont="1" applyBorder="1" applyAlignment="1">
      <alignment horizontal="center" vertical="center"/>
    </xf>
    <xf numFmtId="165" fontId="4" fillId="0" borderId="1" xfId="5" applyNumberFormat="1" applyFont="1" applyBorder="1" applyAlignment="1" applyProtection="1">
      <alignment vertical="center"/>
      <protection locked="0"/>
    </xf>
    <xf numFmtId="0" fontId="3" fillId="0" borderId="0" xfId="5" applyAlignment="1">
      <alignment vertical="center"/>
    </xf>
    <xf numFmtId="4" fontId="8" fillId="2" borderId="4" xfId="5" applyNumberFormat="1" applyFont="1" applyFill="1" applyBorder="1" applyAlignment="1" applyProtection="1">
      <alignment vertical="center"/>
      <protection locked="0"/>
    </xf>
    <xf numFmtId="49" fontId="8" fillId="2" borderId="1" xfId="5" quotePrefix="1" applyNumberFormat="1" applyFont="1" applyFill="1" applyBorder="1" applyAlignment="1">
      <alignment horizontal="center" vertical="center"/>
    </xf>
    <xf numFmtId="0" fontId="8" fillId="2" borderId="4" xfId="5" applyFont="1" applyFill="1" applyBorder="1" applyAlignment="1">
      <alignment horizontal="left" vertical="center"/>
    </xf>
    <xf numFmtId="0" fontId="13" fillId="0" borderId="0" xfId="5" applyFont="1"/>
    <xf numFmtId="0" fontId="15" fillId="5" borderId="3" xfId="5" applyFont="1" applyFill="1" applyBorder="1" applyAlignment="1">
      <alignment horizontal="left" vertical="center"/>
    </xf>
    <xf numFmtId="166" fontId="24" fillId="0" borderId="1" xfId="5" applyNumberFormat="1" applyFont="1" applyBorder="1" applyAlignment="1">
      <alignment vertical="center"/>
    </xf>
    <xf numFmtId="166" fontId="4" fillId="0" borderId="1" xfId="5" applyNumberFormat="1" applyFont="1" applyBorder="1" applyAlignment="1">
      <alignment vertical="center"/>
    </xf>
    <xf numFmtId="0" fontId="4" fillId="0" borderId="1" xfId="5" applyFont="1" applyBorder="1" applyAlignment="1">
      <alignment horizontal="center" vertical="center" wrapText="1"/>
    </xf>
    <xf numFmtId="0" fontId="4" fillId="0" borderId="1" xfId="5" applyFont="1" applyBorder="1" applyAlignment="1">
      <alignment horizontal="justify" vertical="top" wrapText="1"/>
    </xf>
    <xf numFmtId="166" fontId="4" fillId="0" borderId="1" xfId="5" applyNumberFormat="1" applyFont="1" applyBorder="1" applyAlignment="1">
      <alignment vertical="center" wrapText="1"/>
    </xf>
    <xf numFmtId="0" fontId="4" fillId="0" borderId="1" xfId="5" applyFont="1" applyBorder="1" applyAlignment="1">
      <alignment horizontal="center" vertical="center"/>
    </xf>
    <xf numFmtId="0" fontId="4" fillId="2" borderId="4" xfId="0" applyFont="1" applyFill="1" applyBorder="1" applyAlignment="1">
      <alignment vertical="center" wrapText="1"/>
    </xf>
    <xf numFmtId="0" fontId="4" fillId="2" borderId="3" xfId="0" applyFont="1" applyFill="1" applyBorder="1" applyAlignment="1">
      <alignment vertical="center" wrapText="1"/>
    </xf>
    <xf numFmtId="4" fontId="5" fillId="2" borderId="2" xfId="0" applyNumberFormat="1" applyFont="1" applyFill="1" applyBorder="1" applyAlignment="1" applyProtection="1">
      <alignment horizontal="right" vertical="center"/>
      <protection locked="0"/>
    </xf>
    <xf numFmtId="166" fontId="4" fillId="2" borderId="3" xfId="0" applyNumberFormat="1" applyFont="1" applyFill="1" applyBorder="1" applyAlignment="1">
      <alignment vertical="center" wrapText="1"/>
    </xf>
    <xf numFmtId="0" fontId="7" fillId="0" borderId="0" xfId="4"/>
    <xf numFmtId="0" fontId="2" fillId="0" borderId="0" xfId="1" applyFont="1" applyAlignment="1">
      <alignment horizontal="center" vertical="top"/>
    </xf>
    <xf numFmtId="0" fontId="2" fillId="0" borderId="0" xfId="1" applyFont="1"/>
    <xf numFmtId="165" fontId="2" fillId="0" borderId="0" xfId="2" applyFont="1"/>
    <xf numFmtId="165" fontId="13" fillId="0" borderId="0" xfId="2" applyFont="1" applyAlignment="1">
      <alignment horizontal="right"/>
    </xf>
    <xf numFmtId="0" fontId="13" fillId="0" borderId="0" xfId="4" applyFont="1" applyAlignment="1">
      <alignment horizontal="right"/>
    </xf>
    <xf numFmtId="0" fontId="13" fillId="0" borderId="0" xfId="4" applyFont="1"/>
    <xf numFmtId="0" fontId="3" fillId="0" borderId="0" xfId="4" applyFont="1"/>
    <xf numFmtId="0" fontId="6" fillId="0" borderId="0" xfId="1" applyFont="1" applyAlignment="1">
      <alignment horizontal="center"/>
    </xf>
    <xf numFmtId="0" fontId="6" fillId="3" borderId="1" xfId="1" applyFont="1" applyFill="1" applyBorder="1" applyAlignment="1">
      <alignment horizontal="center" vertical="center" wrapText="1"/>
    </xf>
    <xf numFmtId="0" fontId="2" fillId="0" borderId="1" xfId="1" applyFont="1" applyBorder="1" applyAlignment="1">
      <alignment horizontal="center" vertical="top"/>
    </xf>
    <xf numFmtId="0" fontId="2" fillId="0" borderId="0" xfId="6" applyFont="1"/>
    <xf numFmtId="0" fontId="2" fillId="0" borderId="1" xfId="1" applyFont="1" applyBorder="1" applyAlignment="1">
      <alignment horizontal="center" vertical="top" wrapText="1"/>
    </xf>
    <xf numFmtId="0" fontId="2" fillId="0" borderId="0" xfId="1" applyFont="1" applyAlignment="1">
      <alignment horizontal="justify" vertical="top" wrapText="1"/>
    </xf>
    <xf numFmtId="4" fontId="2" fillId="0" borderId="0" xfId="1" applyNumberFormat="1" applyFont="1" applyAlignment="1">
      <alignment horizontal="justify" vertical="top" wrapText="1"/>
    </xf>
    <xf numFmtId="4" fontId="2" fillId="0" borderId="0" xfId="1" applyNumberFormat="1" applyFont="1"/>
    <xf numFmtId="49" fontId="3" fillId="0" borderId="1" xfId="1" applyNumberFormat="1" applyFont="1" applyBorder="1" applyAlignment="1">
      <alignment horizontal="center" vertical="top"/>
    </xf>
    <xf numFmtId="0" fontId="1" fillId="0" borderId="0" xfId="1"/>
    <xf numFmtId="0" fontId="2" fillId="5" borderId="4" xfId="1" applyFont="1" applyFill="1" applyBorder="1" applyAlignment="1">
      <alignment horizontal="center" vertical="top"/>
    </xf>
    <xf numFmtId="49" fontId="8" fillId="2" borderId="1" xfId="4" applyNumberFormat="1" applyFont="1" applyFill="1" applyBorder="1" applyAlignment="1">
      <alignment horizontal="left" vertical="center"/>
    </xf>
    <xf numFmtId="0" fontId="3" fillId="0" borderId="0" xfId="5"/>
    <xf numFmtId="0" fontId="16" fillId="0" borderId="0" xfId="5" applyFont="1"/>
    <xf numFmtId="0" fontId="15" fillId="0" borderId="0" xfId="5" applyFont="1"/>
    <xf numFmtId="49" fontId="8" fillId="0" borderId="5" xfId="4" applyNumberFormat="1" applyFont="1" applyBorder="1" applyAlignment="1">
      <alignment horizontal="left" vertical="center"/>
    </xf>
    <xf numFmtId="0" fontId="3" fillId="4" borderId="11" xfId="5" applyFill="1" applyBorder="1"/>
    <xf numFmtId="0" fontId="8" fillId="4" borderId="8" xfId="5" applyFont="1" applyFill="1" applyBorder="1"/>
    <xf numFmtId="49" fontId="8" fillId="0" borderId="0" xfId="4" applyNumberFormat="1" applyFont="1" applyAlignment="1">
      <alignment horizontal="left" vertical="center"/>
    </xf>
    <xf numFmtId="49" fontId="8" fillId="5" borderId="4" xfId="4" applyNumberFormat="1" applyFont="1" applyFill="1" applyBorder="1" applyAlignment="1">
      <alignment horizontal="left" vertical="center"/>
    </xf>
    <xf numFmtId="0" fontId="2" fillId="0" borderId="0" xfId="1" applyFont="1" applyAlignment="1">
      <alignment vertical="center"/>
    </xf>
    <xf numFmtId="0" fontId="6" fillId="0" borderId="1" xfId="1" applyFont="1" applyBorder="1" applyAlignment="1">
      <alignment horizontal="center" vertical="center"/>
    </xf>
    <xf numFmtId="0" fontId="4" fillId="0" borderId="1" xfId="4" applyFont="1" applyBorder="1" applyAlignment="1">
      <alignment horizontal="left" vertical="center" wrapText="1"/>
    </xf>
    <xf numFmtId="165" fontId="2" fillId="0" borderId="0" xfId="2" applyFont="1" applyAlignment="1">
      <alignment vertical="center"/>
    </xf>
    <xf numFmtId="0" fontId="17" fillId="0" borderId="1" xfId="4" applyFont="1" applyBorder="1" applyAlignment="1">
      <alignment vertical="center" wrapText="1"/>
    </xf>
    <xf numFmtId="0" fontId="2" fillId="0" borderId="1" xfId="1" applyFont="1" applyBorder="1" applyAlignment="1">
      <alignment horizontal="center" vertical="center"/>
    </xf>
    <xf numFmtId="0" fontId="8" fillId="0" borderId="1" xfId="1" applyFont="1" applyBorder="1" applyAlignment="1">
      <alignment horizontal="center" vertical="center"/>
    </xf>
    <xf numFmtId="0" fontId="8" fillId="0" borderId="1" xfId="9" applyFont="1" applyBorder="1" applyAlignment="1">
      <alignment horizontal="center" vertical="center" wrapText="1"/>
    </xf>
    <xf numFmtId="0" fontId="4" fillId="5" borderId="3" xfId="1" applyFont="1" applyFill="1" applyBorder="1" applyAlignment="1">
      <alignment vertical="center"/>
    </xf>
    <xf numFmtId="166" fontId="4" fillId="5" borderId="3" xfId="3" applyNumberFormat="1" applyFont="1" applyFill="1" applyBorder="1" applyAlignment="1">
      <alignment vertical="center"/>
    </xf>
    <xf numFmtId="4" fontId="4" fillId="5" borderId="3" xfId="3" applyNumberFormat="1" applyFont="1" applyFill="1" applyBorder="1" applyAlignment="1" applyProtection="1">
      <alignment vertical="center"/>
      <protection locked="0"/>
    </xf>
    <xf numFmtId="0" fontId="4" fillId="5" borderId="3" xfId="4" applyFont="1" applyFill="1" applyBorder="1" applyAlignment="1">
      <alignment horizontal="left" vertical="center"/>
    </xf>
    <xf numFmtId="166" fontId="4" fillId="5" borderId="3" xfId="4" applyNumberFormat="1" applyFont="1" applyFill="1" applyBorder="1" applyAlignment="1">
      <alignment horizontal="left" vertical="center"/>
    </xf>
    <xf numFmtId="4" fontId="4" fillId="5" borderId="3" xfId="4" applyNumberFormat="1" applyFont="1" applyFill="1" applyBorder="1" applyAlignment="1" applyProtection="1">
      <alignment horizontal="left" vertical="center"/>
      <protection locked="0"/>
    </xf>
    <xf numFmtId="4" fontId="4" fillId="5" borderId="2" xfId="4" applyNumberFormat="1" applyFont="1" applyFill="1" applyBorder="1" applyAlignment="1">
      <alignment horizontal="left" vertical="center"/>
    </xf>
    <xf numFmtId="0" fontId="5" fillId="0" borderId="0" xfId="4" applyFont="1" applyAlignment="1">
      <alignment horizontal="left" vertical="center"/>
    </xf>
    <xf numFmtId="0" fontId="4" fillId="0" borderId="0" xfId="4" applyFont="1" applyAlignment="1">
      <alignment horizontal="left" vertical="center"/>
    </xf>
    <xf numFmtId="166" fontId="4" fillId="0" borderId="0" xfId="4" applyNumberFormat="1" applyFont="1" applyAlignment="1">
      <alignment horizontal="left" vertical="center"/>
    </xf>
    <xf numFmtId="4" fontId="4" fillId="0" borderId="0" xfId="4" applyNumberFormat="1" applyFont="1" applyAlignment="1" applyProtection="1">
      <alignment horizontal="left" vertical="center"/>
      <protection locked="0"/>
    </xf>
    <xf numFmtId="4" fontId="4" fillId="0" borderId="0" xfId="4" applyNumberFormat="1" applyFont="1" applyAlignment="1">
      <alignment horizontal="left" vertical="center"/>
    </xf>
    <xf numFmtId="4" fontId="4" fillId="0" borderId="12" xfId="4" applyNumberFormat="1" applyFont="1" applyBorder="1" applyAlignment="1">
      <alignment horizontal="left" vertical="center"/>
    </xf>
    <xf numFmtId="0" fontId="4" fillId="4" borderId="10" xfId="5" applyFont="1" applyFill="1" applyBorder="1"/>
    <xf numFmtId="0" fontId="4" fillId="4" borderId="9" xfId="5" applyFont="1" applyFill="1" applyBorder="1" applyAlignment="1">
      <alignment vertical="center"/>
    </xf>
    <xf numFmtId="0" fontId="4" fillId="4" borderId="10" xfId="5" applyFont="1" applyFill="1" applyBorder="1" applyAlignment="1">
      <alignment vertical="center"/>
    </xf>
    <xf numFmtId="0" fontId="4" fillId="4" borderId="7" xfId="5" applyFont="1" applyFill="1" applyBorder="1"/>
    <xf numFmtId="0" fontId="4" fillId="4" borderId="6" xfId="5" applyFont="1" applyFill="1" applyBorder="1" applyAlignment="1">
      <alignment vertical="center"/>
    </xf>
    <xf numFmtId="0" fontId="4" fillId="4" borderId="7" xfId="5" applyFont="1" applyFill="1" applyBorder="1" applyAlignment="1">
      <alignment vertical="center"/>
    </xf>
    <xf numFmtId="0" fontId="5" fillId="0" borderId="8" xfId="4" applyFont="1" applyBorder="1" applyAlignment="1">
      <alignment horizontal="left" vertical="center"/>
    </xf>
    <xf numFmtId="0" fontId="4" fillId="0" borderId="7" xfId="4" applyFont="1" applyBorder="1" applyAlignment="1">
      <alignment horizontal="left" vertical="center"/>
    </xf>
    <xf numFmtId="166" fontId="4" fillId="0" borderId="6" xfId="4" applyNumberFormat="1" applyFont="1" applyBorder="1" applyAlignment="1">
      <alignment horizontal="left" vertical="center"/>
    </xf>
    <xf numFmtId="4" fontId="4" fillId="0" borderId="5" xfId="4" applyNumberFormat="1" applyFont="1" applyBorder="1" applyAlignment="1" applyProtection="1">
      <alignment horizontal="left" vertical="center"/>
      <protection locked="0"/>
    </xf>
    <xf numFmtId="4" fontId="4" fillId="0" borderId="5" xfId="4" applyNumberFormat="1" applyFont="1" applyBorder="1" applyAlignment="1">
      <alignment horizontal="left" vertical="center"/>
    </xf>
    <xf numFmtId="0" fontId="4" fillId="2" borderId="3" xfId="4" applyFont="1" applyFill="1" applyBorder="1" applyAlignment="1">
      <alignment horizontal="left" vertical="center"/>
    </xf>
    <xf numFmtId="166" fontId="4" fillId="2" borderId="2" xfId="4" applyNumberFormat="1" applyFont="1" applyFill="1" applyBorder="1" applyAlignment="1">
      <alignment horizontal="left" vertical="center"/>
    </xf>
    <xf numFmtId="4" fontId="4" fillId="2" borderId="1" xfId="4" applyNumberFormat="1" applyFont="1" applyFill="1" applyBorder="1" applyAlignment="1" applyProtection="1">
      <alignment horizontal="left" vertical="center"/>
      <protection locked="0"/>
    </xf>
    <xf numFmtId="4" fontId="4" fillId="2" borderId="1" xfId="4" applyNumberFormat="1" applyFont="1" applyFill="1" applyBorder="1" applyAlignment="1">
      <alignment horizontal="left" vertical="center"/>
    </xf>
    <xf numFmtId="0" fontId="5" fillId="0" borderId="0" xfId="1" applyFont="1" applyAlignment="1">
      <alignment wrapText="1"/>
    </xf>
    <xf numFmtId="0" fontId="5" fillId="0" borderId="0" xfId="1" applyFont="1" applyAlignment="1">
      <alignment horizontal="center" vertical="center"/>
    </xf>
    <xf numFmtId="166" fontId="5" fillId="0" borderId="0" xfId="3" applyNumberFormat="1" applyFont="1" applyAlignment="1">
      <alignment horizontal="right" vertical="center"/>
    </xf>
    <xf numFmtId="4" fontId="5" fillId="0" borderId="0" xfId="3" applyNumberFormat="1" applyFont="1" applyAlignment="1" applyProtection="1">
      <alignment horizontal="right" vertical="center"/>
      <protection locked="0"/>
    </xf>
    <xf numFmtId="4" fontId="4" fillId="0" borderId="0" xfId="3" applyNumberFormat="1" applyFont="1" applyAlignment="1">
      <alignment vertical="center"/>
    </xf>
    <xf numFmtId="0" fontId="4" fillId="0" borderId="0" xfId="1" applyFont="1" applyAlignment="1">
      <alignment vertical="top" wrapText="1"/>
    </xf>
    <xf numFmtId="0" fontId="4" fillId="0" borderId="0" xfId="1" applyFont="1" applyAlignment="1">
      <alignment vertical="center"/>
    </xf>
    <xf numFmtId="166" fontId="4" fillId="0" borderId="0" xfId="3" applyNumberFormat="1" applyFont="1" applyAlignment="1">
      <alignment vertical="center"/>
    </xf>
    <xf numFmtId="4" fontId="4" fillId="0" borderId="0" xfId="3" applyNumberFormat="1" applyFont="1" applyAlignment="1" applyProtection="1">
      <alignment vertical="center"/>
      <protection locked="0"/>
    </xf>
    <xf numFmtId="0" fontId="5" fillId="3" borderId="1" xfId="1" applyFont="1" applyFill="1" applyBorder="1" applyAlignment="1">
      <alignment horizontal="center" vertical="center" wrapText="1"/>
    </xf>
    <xf numFmtId="0" fontId="5" fillId="3" borderId="1" xfId="1" applyFont="1" applyFill="1" applyBorder="1" applyAlignment="1">
      <alignment horizontal="justify" vertical="center" wrapText="1"/>
    </xf>
    <xf numFmtId="166" fontId="5" fillId="3" borderId="1" xfId="3" applyNumberFormat="1" applyFont="1" applyFill="1" applyBorder="1" applyAlignment="1">
      <alignment vertical="center"/>
    </xf>
    <xf numFmtId="4" fontId="5" fillId="3" borderId="1" xfId="3" applyNumberFormat="1" applyFont="1" applyFill="1" applyBorder="1" applyAlignment="1" applyProtection="1">
      <alignment horizontal="center" vertical="center" wrapText="1"/>
      <protection locked="0"/>
    </xf>
    <xf numFmtId="4" fontId="5" fillId="3" borderId="1" xfId="3" applyNumberFormat="1" applyFont="1" applyFill="1" applyBorder="1" applyAlignment="1">
      <alignment horizontal="center" vertical="center"/>
    </xf>
    <xf numFmtId="0" fontId="4" fillId="0" borderId="1" xfId="1" applyFont="1" applyBorder="1" applyAlignment="1">
      <alignment vertical="top" wrapText="1"/>
    </xf>
    <xf numFmtId="0" fontId="4" fillId="0" borderId="1" xfId="1" applyFont="1" applyBorder="1" applyAlignment="1">
      <alignment vertical="center"/>
    </xf>
    <xf numFmtId="166" fontId="4" fillId="0" borderId="1" xfId="3" applyNumberFormat="1" applyFont="1" applyBorder="1" applyAlignment="1">
      <alignment vertical="center"/>
    </xf>
    <xf numFmtId="4" fontId="4" fillId="0" borderId="1" xfId="3" applyNumberFormat="1" applyFont="1" applyBorder="1" applyAlignment="1" applyProtection="1">
      <alignment vertical="center"/>
      <protection locked="0"/>
    </xf>
    <xf numFmtId="4" fontId="4" fillId="0" borderId="1" xfId="3" applyNumberFormat="1" applyFont="1" applyBorder="1" applyAlignment="1">
      <alignment vertical="center"/>
    </xf>
    <xf numFmtId="0" fontId="4" fillId="2" borderId="1" xfId="1" applyFont="1" applyFill="1" applyBorder="1" applyAlignment="1">
      <alignment vertical="center"/>
    </xf>
    <xf numFmtId="166" fontId="4" fillId="2" borderId="1" xfId="3" applyNumberFormat="1" applyFont="1" applyFill="1" applyBorder="1" applyAlignment="1">
      <alignment vertical="center"/>
    </xf>
    <xf numFmtId="4" fontId="4" fillId="2" borderId="1" xfId="3" applyNumberFormat="1" applyFont="1" applyFill="1" applyBorder="1" applyAlignment="1" applyProtection="1">
      <alignment vertical="center"/>
      <protection locked="0"/>
    </xf>
    <xf numFmtId="4" fontId="4" fillId="2" borderId="1" xfId="3" applyNumberFormat="1" applyFont="1" applyFill="1" applyBorder="1" applyAlignment="1">
      <alignment vertical="center"/>
    </xf>
    <xf numFmtId="0" fontId="4" fillId="0" borderId="1" xfId="1" applyFont="1" applyBorder="1" applyAlignment="1">
      <alignment horizontal="justify" vertical="top" wrapText="1"/>
    </xf>
    <xf numFmtId="0" fontId="4" fillId="0" borderId="1" xfId="1" applyFont="1" applyBorder="1" applyAlignment="1">
      <alignment horizontal="center" vertical="center"/>
    </xf>
    <xf numFmtId="0" fontId="4" fillId="0" borderId="1" xfId="1" applyFont="1" applyBorder="1" applyAlignment="1">
      <alignment horizontal="left" vertical="top" wrapText="1"/>
    </xf>
    <xf numFmtId="0" fontId="4" fillId="0" borderId="1" xfId="1" applyFont="1" applyBorder="1" applyAlignment="1">
      <alignment horizontal="center" vertical="center" wrapText="1"/>
    </xf>
    <xf numFmtId="0" fontId="4" fillId="0" borderId="1" xfId="6" applyFont="1" applyBorder="1" applyAlignment="1">
      <alignment horizontal="center" vertical="center" wrapText="1"/>
    </xf>
    <xf numFmtId="0" fontId="17" fillId="0" borderId="1" xfId="4" applyFont="1" applyBorder="1" applyAlignment="1">
      <alignment vertical="top" wrapText="1"/>
    </xf>
    <xf numFmtId="0" fontId="4" fillId="0" borderId="1" xfId="5" applyFont="1" applyBorder="1" applyAlignment="1">
      <alignment wrapText="1"/>
    </xf>
    <xf numFmtId="166" fontId="4" fillId="0" borderId="1" xfId="3" applyNumberFormat="1" applyFont="1" applyBorder="1" applyAlignment="1">
      <alignment vertical="center" wrapText="1"/>
    </xf>
    <xf numFmtId="0" fontId="5" fillId="2" borderId="1" xfId="1" applyFont="1" applyFill="1" applyBorder="1" applyAlignment="1">
      <alignment vertical="center"/>
    </xf>
    <xf numFmtId="166" fontId="5" fillId="2" borderId="1" xfId="3" applyNumberFormat="1" applyFont="1" applyFill="1" applyBorder="1" applyAlignment="1">
      <alignment vertical="center"/>
    </xf>
    <xf numFmtId="4" fontId="5" fillId="2" borderId="1" xfId="3" applyNumberFormat="1" applyFont="1" applyFill="1" applyBorder="1" applyAlignment="1" applyProtection="1">
      <alignment vertical="center"/>
      <protection locked="0"/>
    </xf>
    <xf numFmtId="0" fontId="4" fillId="0" borderId="1" xfId="1" applyFont="1" applyBorder="1" applyAlignment="1">
      <alignment wrapText="1"/>
    </xf>
    <xf numFmtId="0" fontId="4" fillId="2" borderId="1" xfId="1" applyFont="1" applyFill="1" applyBorder="1" applyAlignment="1">
      <alignment horizontal="center" vertical="center"/>
    </xf>
    <xf numFmtId="49" fontId="17" fillId="0" borderId="1" xfId="7" applyNumberFormat="1" applyFont="1" applyBorder="1" applyAlignment="1">
      <alignment horizontal="center" vertical="center" wrapText="1"/>
    </xf>
    <xf numFmtId="166" fontId="17" fillId="0" borderId="1" xfId="3" applyNumberFormat="1" applyFont="1" applyBorder="1" applyAlignment="1">
      <alignment horizontal="right" vertical="center" wrapText="1"/>
    </xf>
    <xf numFmtId="0" fontId="4" fillId="0" borderId="1" xfId="6" applyFont="1" applyBorder="1" applyAlignment="1">
      <alignment horizontal="center" vertical="center"/>
    </xf>
    <xf numFmtId="0" fontId="17" fillId="0" borderId="1" xfId="7" applyFont="1" applyBorder="1" applyAlignment="1">
      <alignment horizontal="center" vertical="center"/>
    </xf>
    <xf numFmtId="49" fontId="17" fillId="0" borderId="1" xfId="7" applyNumberFormat="1" applyFont="1" applyBorder="1" applyAlignment="1">
      <alignment horizontal="left" vertical="center" wrapText="1"/>
    </xf>
    <xf numFmtId="0" fontId="5" fillId="2" borderId="1" xfId="1" applyFont="1" applyFill="1" applyBorder="1" applyAlignment="1">
      <alignment horizontal="center" vertical="center"/>
    </xf>
    <xf numFmtId="0" fontId="5" fillId="0" borderId="1" xfId="4" applyFont="1" applyBorder="1" applyAlignment="1">
      <alignment horizontal="left" vertical="top" wrapText="1"/>
    </xf>
    <xf numFmtId="0" fontId="4" fillId="0" borderId="1" xfId="7" applyFont="1" applyBorder="1" applyAlignment="1">
      <alignment horizontal="center" vertical="center"/>
    </xf>
    <xf numFmtId="0" fontId="5" fillId="0" borderId="1" xfId="6" applyFont="1" applyBorder="1" applyAlignment="1">
      <alignment horizontal="left" vertical="top" wrapText="1"/>
    </xf>
    <xf numFmtId="166" fontId="4" fillId="0" borderId="1" xfId="3" applyNumberFormat="1" applyFont="1" applyBorder="1" applyAlignment="1">
      <alignment horizontal="right" vertical="center"/>
    </xf>
    <xf numFmtId="0" fontId="5" fillId="0" borderId="1" xfId="1" applyFont="1" applyBorder="1" applyAlignment="1">
      <alignment vertical="top" wrapText="1"/>
    </xf>
    <xf numFmtId="0" fontId="23" fillId="9" borderId="1" xfId="4" applyFont="1" applyFill="1" applyBorder="1" applyAlignment="1">
      <alignment vertical="top" wrapText="1"/>
    </xf>
    <xf numFmtId="0" fontId="4" fillId="9" borderId="1" xfId="1" applyFont="1" applyFill="1" applyBorder="1" applyAlignment="1">
      <alignment vertical="center"/>
    </xf>
    <xf numFmtId="166" fontId="4" fillId="9" borderId="1" xfId="3" applyNumberFormat="1" applyFont="1" applyFill="1" applyBorder="1" applyAlignment="1">
      <alignment vertical="center"/>
    </xf>
    <xf numFmtId="4" fontId="4" fillId="9" borderId="1" xfId="3" applyNumberFormat="1" applyFont="1" applyFill="1" applyBorder="1" applyAlignment="1" applyProtection="1">
      <alignment vertical="center"/>
      <protection locked="0"/>
    </xf>
    <xf numFmtId="4" fontId="4" fillId="9" borderId="1" xfId="3" applyNumberFormat="1" applyFont="1" applyFill="1" applyBorder="1" applyAlignment="1">
      <alignment vertical="center"/>
    </xf>
    <xf numFmtId="0" fontId="17" fillId="9" borderId="1" xfId="4" applyFont="1" applyFill="1" applyBorder="1" applyAlignment="1">
      <alignment vertical="center" wrapText="1"/>
    </xf>
    <xf numFmtId="0" fontId="4" fillId="9" borderId="1" xfId="1" applyFont="1" applyFill="1" applyBorder="1" applyAlignment="1">
      <alignment horizontal="center" vertical="center"/>
    </xf>
    <xf numFmtId="0" fontId="17" fillId="9" borderId="1" xfId="4" applyFont="1" applyFill="1" applyBorder="1" applyAlignment="1">
      <alignment vertical="top" wrapText="1"/>
    </xf>
    <xf numFmtId="0" fontId="5" fillId="11" borderId="1" xfId="1" applyFont="1" applyFill="1" applyBorder="1" applyAlignment="1">
      <alignment vertical="top" wrapText="1"/>
    </xf>
    <xf numFmtId="0" fontId="4" fillId="11" borderId="1" xfId="1" applyFont="1" applyFill="1" applyBorder="1" applyAlignment="1">
      <alignment vertical="center"/>
    </xf>
    <xf numFmtId="166" fontId="4" fillId="11" borderId="1" xfId="3" applyNumberFormat="1" applyFont="1" applyFill="1" applyBorder="1" applyAlignment="1">
      <alignment horizontal="right" vertical="center"/>
    </xf>
    <xf numFmtId="4" fontId="4" fillId="11" borderId="1" xfId="3" applyNumberFormat="1" applyFont="1" applyFill="1" applyBorder="1" applyAlignment="1" applyProtection="1">
      <alignment horizontal="right" vertical="center"/>
      <protection locked="0"/>
    </xf>
    <xf numFmtId="4" fontId="4" fillId="11" borderId="1" xfId="3" applyNumberFormat="1" applyFont="1" applyFill="1" applyBorder="1" applyAlignment="1">
      <alignment vertical="center"/>
    </xf>
    <xf numFmtId="0" fontId="4" fillId="11" borderId="1" xfId="1" applyFont="1" applyFill="1" applyBorder="1" applyAlignment="1">
      <alignment vertical="top" wrapText="1"/>
    </xf>
    <xf numFmtId="0" fontId="4" fillId="11" borderId="1" xfId="1" applyFont="1" applyFill="1" applyBorder="1" applyAlignment="1">
      <alignment wrapText="1"/>
    </xf>
    <xf numFmtId="0" fontId="17" fillId="11" borderId="1" xfId="4" applyFont="1" applyFill="1" applyBorder="1" applyAlignment="1">
      <alignment vertical="center" wrapText="1"/>
    </xf>
    <xf numFmtId="0" fontId="17" fillId="11" borderId="1" xfId="4" applyFont="1" applyFill="1" applyBorder="1" applyAlignment="1">
      <alignment vertical="top" wrapText="1"/>
    </xf>
    <xf numFmtId="0" fontId="5" fillId="2" borderId="1" xfId="1" applyFont="1" applyFill="1" applyBorder="1" applyAlignment="1">
      <alignment vertical="top" wrapText="1"/>
    </xf>
    <xf numFmtId="166" fontId="4" fillId="2" borderId="1" xfId="3" applyNumberFormat="1" applyFont="1" applyFill="1" applyBorder="1" applyAlignment="1">
      <alignment horizontal="right" vertical="center"/>
    </xf>
    <xf numFmtId="4" fontId="4" fillId="2" borderId="1" xfId="3" applyNumberFormat="1" applyFont="1" applyFill="1" applyBorder="1" applyAlignment="1" applyProtection="1">
      <alignment horizontal="right" vertical="center"/>
      <protection locked="0"/>
    </xf>
    <xf numFmtId="0" fontId="4" fillId="2" borderId="1" xfId="1" applyFont="1" applyFill="1" applyBorder="1" applyAlignment="1">
      <alignment wrapText="1"/>
    </xf>
    <xf numFmtId="0" fontId="17" fillId="2" borderId="1" xfId="4" applyFont="1" applyFill="1" applyBorder="1" applyAlignment="1">
      <alignment vertical="center" wrapText="1"/>
    </xf>
    <xf numFmtId="0" fontId="17" fillId="2" borderId="1" xfId="4" applyFont="1" applyFill="1" applyBorder="1" applyAlignment="1">
      <alignment vertical="top" wrapText="1"/>
    </xf>
    <xf numFmtId="0" fontId="5" fillId="10" borderId="1" xfId="1" applyFont="1" applyFill="1" applyBorder="1" applyAlignment="1">
      <alignment vertical="top" wrapText="1"/>
    </xf>
    <xf numFmtId="0" fontId="4" fillId="10" borderId="1" xfId="1" applyFont="1" applyFill="1" applyBorder="1" applyAlignment="1">
      <alignment vertical="center"/>
    </xf>
    <xf numFmtId="166" fontId="4" fillId="10" borderId="1" xfId="3" applyNumberFormat="1" applyFont="1" applyFill="1" applyBorder="1" applyAlignment="1">
      <alignment horizontal="right" vertical="center"/>
    </xf>
    <xf numFmtId="4" fontId="4" fillId="10" borderId="1" xfId="3" applyNumberFormat="1" applyFont="1" applyFill="1" applyBorder="1" applyAlignment="1" applyProtection="1">
      <alignment horizontal="right" vertical="center"/>
      <protection locked="0"/>
    </xf>
    <xf numFmtId="4" fontId="4" fillId="10" borderId="1" xfId="3" applyNumberFormat="1" applyFont="1" applyFill="1" applyBorder="1" applyAlignment="1">
      <alignment vertical="center"/>
    </xf>
    <xf numFmtId="0" fontId="4" fillId="10" borderId="1" xfId="1" applyFont="1" applyFill="1" applyBorder="1" applyAlignment="1">
      <alignment vertical="top" wrapText="1"/>
    </xf>
    <xf numFmtId="0" fontId="4" fillId="10" borderId="1" xfId="1" applyFont="1" applyFill="1" applyBorder="1" applyAlignment="1">
      <alignment wrapText="1"/>
    </xf>
    <xf numFmtId="0" fontId="17" fillId="10" borderId="1" xfId="4" applyFont="1" applyFill="1" applyBorder="1" applyAlignment="1">
      <alignment vertical="center" wrapText="1"/>
    </xf>
    <xf numFmtId="0" fontId="17" fillId="10" borderId="1" xfId="4" applyFont="1" applyFill="1" applyBorder="1" applyAlignment="1">
      <alignment vertical="top" wrapText="1"/>
    </xf>
    <xf numFmtId="0" fontId="4" fillId="2" borderId="1" xfId="1" applyFont="1" applyFill="1" applyBorder="1" applyAlignment="1">
      <alignment vertical="top" wrapText="1"/>
    </xf>
    <xf numFmtId="0" fontId="24" fillId="2" borderId="1" xfId="4" applyFont="1" applyFill="1" applyBorder="1" applyAlignment="1">
      <alignment vertical="top" wrapText="1"/>
    </xf>
    <xf numFmtId="0" fontId="5" fillId="9" borderId="1" xfId="1" applyFont="1" applyFill="1" applyBorder="1" applyAlignment="1">
      <alignment vertical="top" wrapText="1"/>
    </xf>
    <xf numFmtId="166" fontId="4" fillId="9" borderId="1" xfId="3" applyNumberFormat="1" applyFont="1" applyFill="1" applyBorder="1" applyAlignment="1">
      <alignment horizontal="right" vertical="center"/>
    </xf>
    <xf numFmtId="4" fontId="4" fillId="9" borderId="1" xfId="3" applyNumberFormat="1" applyFont="1" applyFill="1" applyBorder="1" applyAlignment="1" applyProtection="1">
      <alignment horizontal="right" vertical="center"/>
      <protection locked="0"/>
    </xf>
    <xf numFmtId="0" fontId="4" fillId="9" borderId="1" xfId="1" applyFont="1" applyFill="1" applyBorder="1" applyAlignment="1">
      <alignment vertical="top" wrapText="1"/>
    </xf>
    <xf numFmtId="0" fontId="4" fillId="9" borderId="1" xfId="1" applyFont="1" applyFill="1" applyBorder="1" applyAlignment="1">
      <alignment wrapText="1"/>
    </xf>
    <xf numFmtId="165" fontId="4" fillId="0" borderId="1" xfId="2" applyFont="1" applyBorder="1" applyAlignment="1" applyProtection="1">
      <alignment vertical="center"/>
      <protection locked="0"/>
    </xf>
    <xf numFmtId="165" fontId="4" fillId="0" borderId="1" xfId="2" applyFont="1" applyBorder="1" applyAlignment="1">
      <alignment vertical="center"/>
    </xf>
    <xf numFmtId="165" fontId="4" fillId="9" borderId="1" xfId="2" applyFont="1" applyFill="1" applyBorder="1" applyAlignment="1" applyProtection="1">
      <alignment vertical="center"/>
      <protection locked="0"/>
    </xf>
    <xf numFmtId="165" fontId="4" fillId="9" borderId="1" xfId="2" applyFont="1" applyFill="1" applyBorder="1" applyAlignment="1">
      <alignment vertical="center"/>
    </xf>
    <xf numFmtId="165" fontId="4" fillId="11" borderId="1" xfId="2" applyFont="1" applyFill="1" applyBorder="1" applyAlignment="1" applyProtection="1">
      <alignment horizontal="right" vertical="center"/>
      <protection locked="0"/>
    </xf>
    <xf numFmtId="165" fontId="4" fillId="11" borderId="1" xfId="2" applyFont="1" applyFill="1" applyBorder="1" applyAlignment="1">
      <alignment vertical="center"/>
    </xf>
    <xf numFmtId="165" fontId="4" fillId="2" borderId="1" xfId="2" applyFont="1" applyFill="1" applyBorder="1" applyAlignment="1" applyProtection="1">
      <alignment horizontal="right" vertical="center"/>
      <protection locked="0"/>
    </xf>
    <xf numFmtId="165" fontId="4" fillId="2" borderId="1" xfId="2" applyFont="1" applyFill="1" applyBorder="1" applyAlignment="1">
      <alignment vertical="center"/>
    </xf>
    <xf numFmtId="165" fontId="4" fillId="10" borderId="1" xfId="2" applyFont="1" applyFill="1" applyBorder="1" applyAlignment="1" applyProtection="1">
      <alignment horizontal="right" vertical="center"/>
      <protection locked="0"/>
    </xf>
    <xf numFmtId="165" fontId="4" fillId="10" borderId="1" xfId="2" applyFont="1" applyFill="1" applyBorder="1" applyAlignment="1">
      <alignment vertical="center"/>
    </xf>
    <xf numFmtId="165" fontId="4" fillId="9" borderId="1" xfId="2" applyFont="1" applyFill="1" applyBorder="1" applyAlignment="1" applyProtection="1">
      <alignment horizontal="right" vertical="center"/>
      <protection locked="0"/>
    </xf>
    <xf numFmtId="0" fontId="5" fillId="8" borderId="1" xfId="1" applyFont="1" applyFill="1" applyBorder="1" applyAlignment="1">
      <alignment wrapText="1"/>
    </xf>
    <xf numFmtId="0" fontId="5" fillId="8" borderId="1" xfId="1" applyFont="1" applyFill="1" applyBorder="1" applyAlignment="1">
      <alignment horizontal="center" vertical="center"/>
    </xf>
    <xf numFmtId="166" fontId="5" fillId="8" borderId="1" xfId="3" applyNumberFormat="1" applyFont="1" applyFill="1" applyBorder="1" applyAlignment="1">
      <alignment vertical="center"/>
    </xf>
    <xf numFmtId="4" fontId="5" fillId="8" borderId="1" xfId="3" applyNumberFormat="1" applyFont="1" applyFill="1" applyBorder="1" applyAlignment="1" applyProtection="1">
      <alignment vertical="center"/>
      <protection locked="0"/>
    </xf>
    <xf numFmtId="165" fontId="5" fillId="8" borderId="1" xfId="2" applyFont="1" applyFill="1" applyBorder="1" applyAlignment="1">
      <alignment vertical="center"/>
    </xf>
    <xf numFmtId="0" fontId="4" fillId="8" borderId="1" xfId="1" applyFont="1" applyFill="1" applyBorder="1" applyAlignment="1">
      <alignment wrapText="1"/>
    </xf>
    <xf numFmtId="0" fontId="4" fillId="8" borderId="1" xfId="1" applyFont="1" applyFill="1" applyBorder="1" applyAlignment="1">
      <alignment vertical="center"/>
    </xf>
    <xf numFmtId="166" fontId="4" fillId="8" borderId="1" xfId="3" applyNumberFormat="1" applyFont="1" applyFill="1" applyBorder="1" applyAlignment="1">
      <alignment horizontal="right" vertical="center"/>
    </xf>
    <xf numFmtId="165" fontId="4" fillId="8" borderId="1" xfId="2" applyFont="1" applyFill="1" applyBorder="1" applyAlignment="1" applyProtection="1">
      <alignment horizontal="right" vertical="center"/>
      <protection locked="0"/>
    </xf>
    <xf numFmtId="165" fontId="4" fillId="8" borderId="1" xfId="2" applyFont="1" applyFill="1" applyBorder="1" applyAlignment="1">
      <alignment vertical="center"/>
    </xf>
    <xf numFmtId="165" fontId="5" fillId="2" borderId="1" xfId="2" applyFont="1" applyFill="1" applyBorder="1" applyAlignment="1">
      <alignment vertical="center"/>
    </xf>
    <xf numFmtId="0" fontId="4" fillId="0" borderId="1" xfId="6" applyFont="1" applyBorder="1" applyAlignment="1">
      <alignment wrapText="1"/>
    </xf>
    <xf numFmtId="49" fontId="8" fillId="0" borderId="1" xfId="1" applyNumberFormat="1" applyFont="1" applyBorder="1" applyAlignment="1">
      <alignment horizontal="center" vertical="top"/>
    </xf>
    <xf numFmtId="16" fontId="6" fillId="2" borderId="1" xfId="1" applyNumberFormat="1" applyFont="1" applyFill="1" applyBorder="1" applyAlignment="1">
      <alignment horizontal="center" vertical="center"/>
    </xf>
    <xf numFmtId="0" fontId="5" fillId="2" borderId="1" xfId="1" applyFont="1" applyFill="1" applyBorder="1" applyAlignment="1">
      <alignment horizontal="justify" vertical="center" wrapText="1"/>
    </xf>
    <xf numFmtId="0" fontId="9" fillId="0" borderId="0" xfId="1" applyFont="1"/>
    <xf numFmtId="16" fontId="12" fillId="2" borderId="1" xfId="1" applyNumberFormat="1" applyFont="1" applyFill="1" applyBorder="1" applyAlignment="1">
      <alignment horizontal="center" vertical="top"/>
    </xf>
    <xf numFmtId="0" fontId="12" fillId="2" borderId="1" xfId="1" applyFont="1" applyFill="1" applyBorder="1" applyAlignment="1">
      <alignment horizontal="justify" vertical="top" wrapText="1"/>
    </xf>
    <xf numFmtId="0" fontId="9" fillId="2" borderId="1" xfId="1" applyFont="1" applyFill="1" applyBorder="1" applyAlignment="1">
      <alignment horizontal="center" vertical="center"/>
    </xf>
    <xf numFmtId="166" fontId="9" fillId="2" borderId="1" xfId="3" applyNumberFormat="1" applyFont="1" applyFill="1" applyBorder="1" applyAlignment="1">
      <alignment vertical="center"/>
    </xf>
    <xf numFmtId="4" fontId="9" fillId="2" borderId="1" xfId="3" applyNumberFormat="1" applyFont="1" applyFill="1" applyBorder="1" applyAlignment="1" applyProtection="1">
      <alignment vertical="center"/>
      <protection locked="0"/>
    </xf>
    <xf numFmtId="4" fontId="9" fillId="2" borderId="1" xfId="3" applyNumberFormat="1" applyFont="1" applyFill="1" applyBorder="1" applyAlignment="1">
      <alignment vertical="center"/>
    </xf>
    <xf numFmtId="165" fontId="9" fillId="0" borderId="0" xfId="2" applyFont="1"/>
    <xf numFmtId="0" fontId="12" fillId="2" borderId="1" xfId="1" applyFont="1" applyFill="1" applyBorder="1" applyAlignment="1">
      <alignment horizontal="center" vertical="top"/>
    </xf>
    <xf numFmtId="0" fontId="12" fillId="2" borderId="1" xfId="1" applyFont="1" applyFill="1" applyBorder="1" applyAlignment="1">
      <alignment wrapText="1"/>
    </xf>
    <xf numFmtId="0" fontId="9" fillId="2" borderId="1" xfId="1" applyFont="1" applyFill="1" applyBorder="1" applyAlignment="1">
      <alignment vertical="center"/>
    </xf>
    <xf numFmtId="0" fontId="11" fillId="2" borderId="1" xfId="1" applyFont="1" applyFill="1" applyBorder="1" applyAlignment="1">
      <alignment vertical="center"/>
    </xf>
    <xf numFmtId="0" fontId="4" fillId="0" borderId="1" xfId="5" applyFont="1" applyBorder="1" applyAlignment="1">
      <alignment vertical="center" wrapText="1"/>
    </xf>
    <xf numFmtId="0" fontId="4" fillId="0" borderId="1" xfId="6" applyFont="1" applyBorder="1" applyAlignment="1">
      <alignment horizontal="justify" vertical="center" wrapText="1"/>
    </xf>
    <xf numFmtId="49" fontId="8" fillId="0" borderId="1" xfId="1" applyNumberFormat="1" applyFont="1" applyBorder="1" applyAlignment="1">
      <alignment horizontal="center" vertical="center"/>
    </xf>
    <xf numFmtId="0" fontId="5" fillId="0" borderId="1" xfId="6" applyFont="1" applyBorder="1" applyAlignment="1">
      <alignment horizontal="justify" vertical="top" wrapText="1"/>
    </xf>
    <xf numFmtId="0" fontId="4" fillId="0" borderId="1" xfId="1" applyFont="1" applyBorder="1" applyAlignment="1">
      <alignment horizontal="justify" vertical="center" wrapText="1"/>
    </xf>
    <xf numFmtId="49" fontId="2" fillId="0" borderId="1" xfId="1" applyNumberFormat="1" applyFont="1" applyBorder="1" applyAlignment="1">
      <alignment horizontal="center" vertical="top" wrapText="1"/>
    </xf>
    <xf numFmtId="49" fontId="2" fillId="0" borderId="13" xfId="1" applyNumberFormat="1" applyFont="1" applyBorder="1" applyAlignment="1">
      <alignment horizontal="center" vertical="top" wrapText="1"/>
    </xf>
    <xf numFmtId="0" fontId="4" fillId="0" borderId="1" xfId="6" applyFont="1" applyBorder="1" applyAlignment="1">
      <alignment horizontal="left" vertical="top" wrapText="1"/>
    </xf>
    <xf numFmtId="49" fontId="8" fillId="2" borderId="1" xfId="4" applyNumberFormat="1" applyFont="1" applyFill="1" applyBorder="1" applyAlignment="1">
      <alignment horizontal="center" vertical="center"/>
    </xf>
    <xf numFmtId="49" fontId="8" fillId="3" borderId="1" xfId="4" quotePrefix="1" applyNumberFormat="1" applyFont="1" applyFill="1" applyBorder="1" applyAlignment="1">
      <alignment horizontal="left" vertical="center"/>
    </xf>
    <xf numFmtId="4" fontId="5" fillId="2" borderId="2" xfId="4" applyNumberFormat="1" applyFont="1" applyFill="1" applyBorder="1" applyAlignment="1" applyProtection="1">
      <alignment horizontal="right" vertical="center"/>
      <protection locked="0"/>
    </xf>
    <xf numFmtId="0" fontId="4" fillId="2" borderId="3" xfId="4" applyFont="1" applyFill="1" applyBorder="1" applyAlignment="1">
      <alignment vertical="center" wrapText="1"/>
    </xf>
    <xf numFmtId="166" fontId="4" fillId="2" borderId="3" xfId="4" applyNumberFormat="1" applyFont="1" applyFill="1" applyBorder="1" applyAlignment="1">
      <alignment vertical="center" wrapText="1"/>
    </xf>
    <xf numFmtId="165" fontId="5" fillId="2" borderId="2" xfId="2" applyFont="1" applyFill="1" applyBorder="1" applyAlignment="1">
      <alignment horizontal="right" vertical="center"/>
    </xf>
    <xf numFmtId="49" fontId="3" fillId="2" borderId="4" xfId="4" quotePrefix="1" applyNumberFormat="1" applyFont="1" applyFill="1" applyBorder="1" applyAlignment="1">
      <alignment horizontal="center" vertical="center"/>
    </xf>
    <xf numFmtId="0" fontId="4" fillId="2" borderId="4" xfId="4" applyFont="1" applyFill="1" applyBorder="1" applyAlignment="1">
      <alignment vertical="center" wrapText="1"/>
    </xf>
    <xf numFmtId="0" fontId="4" fillId="3" borderId="3" xfId="4" applyFont="1" applyFill="1" applyBorder="1" applyAlignment="1">
      <alignment horizontal="center" vertical="center" wrapText="1"/>
    </xf>
    <xf numFmtId="166" fontId="4" fillId="3" borderId="3" xfId="4" applyNumberFormat="1" applyFont="1" applyFill="1" applyBorder="1" applyAlignment="1">
      <alignment horizontal="center" vertical="center" wrapText="1"/>
    </xf>
    <xf numFmtId="4" fontId="5" fillId="3" borderId="2" xfId="4" applyNumberFormat="1" applyFont="1" applyFill="1" applyBorder="1" applyAlignment="1" applyProtection="1">
      <alignment horizontal="center" vertical="center"/>
      <protection locked="0"/>
    </xf>
    <xf numFmtId="0" fontId="5" fillId="3" borderId="4" xfId="4" applyFont="1" applyFill="1" applyBorder="1" applyAlignment="1">
      <alignment horizontal="left" vertical="center" wrapText="1"/>
    </xf>
    <xf numFmtId="0" fontId="6" fillId="2" borderId="1" xfId="1" applyFont="1" applyFill="1" applyBorder="1" applyAlignment="1">
      <alignment horizontal="center" vertical="center"/>
    </xf>
    <xf numFmtId="49" fontId="14" fillId="5" borderId="4" xfId="4" applyNumberFormat="1" applyFont="1" applyFill="1" applyBorder="1" applyAlignment="1">
      <alignment horizontal="left" vertical="center"/>
    </xf>
    <xf numFmtId="0" fontId="8" fillId="5" borderId="3" xfId="4" applyFont="1" applyFill="1" applyBorder="1" applyAlignment="1">
      <alignment horizontal="center" vertical="center"/>
    </xf>
    <xf numFmtId="0" fontId="5" fillId="5" borderId="3" xfId="4" applyFont="1" applyFill="1" applyBorder="1" applyAlignment="1">
      <alignment horizontal="center" vertical="center"/>
    </xf>
    <xf numFmtId="0" fontId="3" fillId="0" borderId="0" xfId="4" applyFont="1" applyAlignment="1">
      <alignment vertical="center"/>
    </xf>
    <xf numFmtId="49" fontId="8" fillId="2" borderId="1" xfId="4" quotePrefix="1" applyNumberFormat="1" applyFont="1" applyFill="1" applyBorder="1" applyAlignment="1">
      <alignment vertical="center"/>
    </xf>
    <xf numFmtId="49" fontId="8" fillId="3" borderId="1" xfId="4" quotePrefix="1" applyNumberFormat="1" applyFont="1" applyFill="1" applyBorder="1" applyAlignment="1">
      <alignment vertical="center"/>
    </xf>
    <xf numFmtId="0" fontId="14" fillId="2" borderId="4" xfId="4" applyFont="1" applyFill="1" applyBorder="1" applyAlignment="1">
      <alignment horizontal="left" vertical="center"/>
    </xf>
    <xf numFmtId="0" fontId="8" fillId="2" borderId="4" xfId="4" applyFont="1" applyFill="1" applyBorder="1" applyAlignment="1">
      <alignment horizontal="center" vertical="center"/>
    </xf>
    <xf numFmtId="0" fontId="3" fillId="2" borderId="3" xfId="4" applyFont="1" applyFill="1" applyBorder="1" applyAlignment="1">
      <alignment vertical="center"/>
    </xf>
    <xf numFmtId="166" fontId="3" fillId="2" borderId="2" xfId="4" applyNumberFormat="1" applyFont="1" applyFill="1" applyBorder="1" applyAlignment="1">
      <alignment vertical="center"/>
    </xf>
    <xf numFmtId="4" fontId="8" fillId="2" borderId="1" xfId="4" applyNumberFormat="1" applyFont="1" applyFill="1" applyBorder="1" applyAlignment="1" applyProtection="1">
      <alignment horizontal="center" vertical="center"/>
      <protection locked="0"/>
    </xf>
    <xf numFmtId="4" fontId="8" fillId="2" borderId="1" xfId="4" applyNumberFormat="1" applyFont="1" applyFill="1" applyBorder="1" applyAlignment="1">
      <alignment horizontal="center" vertical="center"/>
    </xf>
    <xf numFmtId="0" fontId="8" fillId="2" borderId="1" xfId="4" applyFont="1" applyFill="1" applyBorder="1" applyAlignment="1">
      <alignment vertical="center" wrapText="1"/>
    </xf>
    <xf numFmtId="0" fontId="3" fillId="2" borderId="1" xfId="4" applyFont="1" applyFill="1" applyBorder="1" applyAlignment="1">
      <alignment vertical="center" wrapText="1"/>
    </xf>
    <xf numFmtId="166" fontId="3" fillId="2" borderId="1" xfId="4" applyNumberFormat="1" applyFont="1" applyFill="1" applyBorder="1" applyAlignment="1">
      <alignment vertical="center" wrapText="1"/>
    </xf>
    <xf numFmtId="4" fontId="8" fillId="2" borderId="1" xfId="4" applyNumberFormat="1" applyFont="1" applyFill="1" applyBorder="1" applyAlignment="1" applyProtection="1">
      <alignment vertical="center"/>
      <protection locked="0"/>
    </xf>
    <xf numFmtId="0" fontId="8" fillId="3" borderId="1" xfId="4" applyFont="1" applyFill="1" applyBorder="1" applyAlignment="1">
      <alignment vertical="center"/>
    </xf>
    <xf numFmtId="0" fontId="3" fillId="3" borderId="1" xfId="4" applyFont="1" applyFill="1" applyBorder="1" applyAlignment="1">
      <alignment vertical="center"/>
    </xf>
    <xf numFmtId="166" fontId="3" fillId="3" borderId="1" xfId="4" applyNumberFormat="1" applyFont="1" applyFill="1" applyBorder="1" applyAlignment="1">
      <alignment vertical="center"/>
    </xf>
    <xf numFmtId="4" fontId="8" fillId="3" borderId="4" xfId="4" applyNumberFormat="1" applyFont="1" applyFill="1" applyBorder="1" applyAlignment="1" applyProtection="1">
      <alignment vertical="center"/>
      <protection locked="0"/>
    </xf>
    <xf numFmtId="166" fontId="4" fillId="0" borderId="1" xfId="3" applyNumberFormat="1" applyFont="1" applyFill="1" applyBorder="1" applyAlignment="1">
      <alignment horizontal="right" vertical="center"/>
    </xf>
    <xf numFmtId="4" fontId="4" fillId="0" borderId="1" xfId="3" applyNumberFormat="1" applyFont="1" applyFill="1" applyBorder="1" applyAlignment="1" applyProtection="1">
      <alignment horizontal="right" vertical="center"/>
      <protection locked="0"/>
    </xf>
    <xf numFmtId="4" fontId="4" fillId="0" borderId="1" xfId="3" applyNumberFormat="1" applyFont="1" applyFill="1" applyBorder="1" applyAlignment="1">
      <alignment vertical="center"/>
    </xf>
    <xf numFmtId="165" fontId="4" fillId="0" borderId="1" xfId="2" applyFont="1" applyFill="1" applyBorder="1" applyAlignment="1" applyProtection="1">
      <alignment horizontal="right" vertical="center"/>
      <protection locked="0"/>
    </xf>
    <xf numFmtId="165" fontId="4" fillId="0" borderId="1" xfId="2" applyFont="1" applyFill="1" applyBorder="1" applyAlignment="1">
      <alignment vertical="center"/>
    </xf>
    <xf numFmtId="166" fontId="4" fillId="0" borderId="1" xfId="3" applyNumberFormat="1" applyFont="1" applyFill="1" applyBorder="1" applyAlignment="1">
      <alignment vertical="center"/>
    </xf>
    <xf numFmtId="0" fontId="15" fillId="5" borderId="3" xfId="4" applyFont="1" applyFill="1" applyBorder="1" applyAlignment="1">
      <alignment horizontal="left" vertical="center"/>
    </xf>
    <xf numFmtId="4" fontId="3" fillId="5" borderId="2" xfId="3" applyNumberFormat="1" applyFont="1" applyFill="1" applyBorder="1" applyAlignment="1">
      <alignment horizontal="right" vertical="center"/>
    </xf>
    <xf numFmtId="165" fontId="2" fillId="0" borderId="0" xfId="2" applyFont="1" applyFill="1"/>
    <xf numFmtId="0" fontId="5" fillId="0" borderId="1" xfId="1" applyFont="1" applyBorder="1" applyAlignment="1">
      <alignment horizontal="justify" vertical="center" wrapText="1"/>
    </xf>
    <xf numFmtId="4" fontId="4" fillId="0" borderId="1" xfId="3" applyNumberFormat="1" applyFont="1" applyFill="1" applyBorder="1" applyAlignment="1" applyProtection="1">
      <alignment vertical="center"/>
      <protection locked="0"/>
    </xf>
    <xf numFmtId="166" fontId="5" fillId="0" borderId="1" xfId="3" applyNumberFormat="1" applyFont="1" applyFill="1" applyBorder="1" applyAlignment="1">
      <alignment vertical="center"/>
    </xf>
    <xf numFmtId="4" fontId="5" fillId="0" borderId="1" xfId="3" applyNumberFormat="1" applyFont="1" applyFill="1" applyBorder="1" applyAlignment="1" applyProtection="1">
      <alignment horizontal="center" vertical="center" wrapText="1"/>
      <protection locked="0"/>
    </xf>
    <xf numFmtId="4" fontId="5" fillId="0" borderId="1" xfId="3" applyNumberFormat="1" applyFont="1" applyFill="1" applyBorder="1" applyAlignment="1">
      <alignment horizontal="center" vertical="center"/>
    </xf>
    <xf numFmtId="0" fontId="3" fillId="0" borderId="1" xfId="1" applyFont="1" applyBorder="1" applyAlignment="1">
      <alignment horizontal="center" vertical="center"/>
    </xf>
    <xf numFmtId="4" fontId="34" fillId="5" borderId="2" xfId="3" applyNumberFormat="1" applyFont="1" applyFill="1" applyBorder="1" applyAlignment="1">
      <alignment horizontal="right" vertical="center"/>
    </xf>
    <xf numFmtId="49" fontId="8" fillId="5" borderId="4" xfId="5" applyNumberFormat="1" applyFont="1" applyFill="1" applyBorder="1" applyAlignment="1">
      <alignment horizontal="left" vertical="center"/>
    </xf>
    <xf numFmtId="0" fontId="5" fillId="5" borderId="3" xfId="5" applyFont="1" applyFill="1" applyBorder="1" applyAlignment="1">
      <alignment horizontal="center" vertical="center"/>
    </xf>
    <xf numFmtId="0" fontId="4" fillId="5" borderId="3" xfId="5" applyFont="1" applyFill="1" applyBorder="1" applyAlignment="1">
      <alignment horizontal="left" vertical="center"/>
    </xf>
    <xf numFmtId="166" fontId="4" fillId="5" borderId="3" xfId="5" applyNumberFormat="1" applyFont="1" applyFill="1" applyBorder="1" applyAlignment="1">
      <alignment horizontal="left" vertical="center"/>
    </xf>
    <xf numFmtId="4" fontId="4" fillId="5" borderId="3" xfId="5" applyNumberFormat="1" applyFont="1" applyFill="1" applyBorder="1" applyAlignment="1" applyProtection="1">
      <alignment horizontal="left" vertical="center"/>
      <protection locked="0"/>
    </xf>
    <xf numFmtId="4" fontId="4" fillId="5" borderId="2" xfId="5" applyNumberFormat="1" applyFont="1" applyFill="1" applyBorder="1" applyAlignment="1">
      <alignment horizontal="left" vertical="center"/>
    </xf>
    <xf numFmtId="49" fontId="8" fillId="0" borderId="0" xfId="5" applyNumberFormat="1" applyFont="1" applyAlignment="1">
      <alignment horizontal="left" vertical="center"/>
    </xf>
    <xf numFmtId="0" fontId="5" fillId="0" borderId="0" xfId="5" applyFont="1" applyAlignment="1">
      <alignment horizontal="left" vertical="center"/>
    </xf>
    <xf numFmtId="0" fontId="4" fillId="0" borderId="0" xfId="5" applyFont="1" applyAlignment="1">
      <alignment horizontal="left" vertical="center"/>
    </xf>
    <xf numFmtId="166" fontId="4" fillId="0" borderId="0" xfId="5" applyNumberFormat="1" applyFont="1" applyAlignment="1">
      <alignment horizontal="left" vertical="center"/>
    </xf>
    <xf numFmtId="4" fontId="4" fillId="0" borderId="0" xfId="5" applyNumberFormat="1" applyFont="1" applyAlignment="1" applyProtection="1">
      <alignment horizontal="left" vertical="center"/>
      <protection locked="0"/>
    </xf>
    <xf numFmtId="4" fontId="4" fillId="0" borderId="0" xfId="5" applyNumberFormat="1" applyFont="1" applyAlignment="1">
      <alignment horizontal="left" vertical="center"/>
    </xf>
    <xf numFmtId="0" fontId="13" fillId="0" borderId="0" xfId="5" applyFont="1"/>
    <xf numFmtId="49" fontId="14" fillId="5" borderId="4" xfId="5" applyNumberFormat="1" applyFont="1" applyFill="1" applyBorder="1" applyAlignment="1">
      <alignment horizontal="left" vertical="center"/>
    </xf>
    <xf numFmtId="0" fontId="13" fillId="0" borderId="0" xfId="5" applyFont="1" applyAlignment="1">
      <alignment horizontal="right"/>
    </xf>
    <xf numFmtId="4" fontId="4" fillId="0" borderId="12" xfId="5" applyNumberFormat="1" applyFont="1" applyBorder="1" applyAlignment="1">
      <alignment horizontal="left" vertical="center"/>
    </xf>
    <xf numFmtId="49" fontId="8" fillId="0" borderId="5" xfId="5" applyNumberFormat="1" applyFont="1" applyBorder="1" applyAlignment="1">
      <alignment horizontal="left" vertical="center"/>
    </xf>
    <xf numFmtId="0" fontId="5" fillId="0" borderId="8" xfId="5" applyFont="1" applyBorder="1" applyAlignment="1">
      <alignment horizontal="left" vertical="center"/>
    </xf>
    <xf numFmtId="0" fontId="4" fillId="0" borderId="7" xfId="5" applyFont="1" applyBorder="1" applyAlignment="1">
      <alignment horizontal="left" vertical="center"/>
    </xf>
    <xf numFmtId="166" fontId="4" fillId="0" borderId="6" xfId="5" applyNumberFormat="1" applyFont="1" applyBorder="1" applyAlignment="1">
      <alignment horizontal="left" vertical="center"/>
    </xf>
    <xf numFmtId="4" fontId="4" fillId="0" borderId="5" xfId="5" applyNumberFormat="1" applyFont="1" applyBorder="1" applyAlignment="1" applyProtection="1">
      <alignment horizontal="left" vertical="center"/>
      <protection locked="0"/>
    </xf>
    <xf numFmtId="4" fontId="4" fillId="0" borderId="5" xfId="5" applyNumberFormat="1" applyFont="1" applyBorder="1" applyAlignment="1">
      <alignment horizontal="left" vertical="center"/>
    </xf>
    <xf numFmtId="49" fontId="8" fillId="2" borderId="1" xfId="5" applyNumberFormat="1" applyFont="1" applyFill="1" applyBorder="1" applyAlignment="1">
      <alignment horizontal="left" vertical="center"/>
    </xf>
    <xf numFmtId="0" fontId="14" fillId="2" borderId="4" xfId="5" applyFont="1" applyFill="1" applyBorder="1" applyAlignment="1">
      <alignment horizontal="left" vertical="center"/>
    </xf>
    <xf numFmtId="0" fontId="4" fillId="2" borderId="3" xfId="5" applyFont="1" applyFill="1" applyBorder="1" applyAlignment="1">
      <alignment horizontal="left" vertical="center"/>
    </xf>
    <xf numFmtId="166" fontId="4" fillId="2" borderId="2" xfId="5" applyNumberFormat="1" applyFont="1" applyFill="1" applyBorder="1" applyAlignment="1">
      <alignment horizontal="left" vertical="center"/>
    </xf>
    <xf numFmtId="4" fontId="4" fillId="2" borderId="1" xfId="5" applyNumberFormat="1" applyFont="1" applyFill="1" applyBorder="1" applyAlignment="1" applyProtection="1">
      <alignment horizontal="left" vertical="center"/>
      <protection locked="0"/>
    </xf>
    <xf numFmtId="4" fontId="4" fillId="2" borderId="1" xfId="5" applyNumberFormat="1" applyFont="1" applyFill="1" applyBorder="1" applyAlignment="1">
      <alignment horizontal="left" vertical="center"/>
    </xf>
    <xf numFmtId="49" fontId="8" fillId="2" borderId="1" xfId="5" applyNumberFormat="1" applyFont="1" applyFill="1" applyBorder="1" applyAlignment="1">
      <alignment horizontal="center" vertical="center"/>
    </xf>
    <xf numFmtId="0" fontId="3" fillId="2" borderId="3" xfId="5" applyFill="1" applyBorder="1" applyAlignment="1">
      <alignment vertical="center"/>
    </xf>
    <xf numFmtId="166" fontId="3" fillId="2" borderId="2" xfId="5" applyNumberFormat="1" applyFill="1" applyBorder="1" applyAlignment="1">
      <alignment vertical="center"/>
    </xf>
    <xf numFmtId="4" fontId="8" fillId="2" borderId="1" xfId="5" applyNumberFormat="1" applyFont="1" applyFill="1" applyBorder="1" applyAlignment="1" applyProtection="1">
      <alignment horizontal="center" vertical="center"/>
      <protection locked="0"/>
    </xf>
    <xf numFmtId="4" fontId="8" fillId="2" borderId="1" xfId="5" applyNumberFormat="1" applyFont="1" applyFill="1" applyBorder="1" applyAlignment="1">
      <alignment horizontal="center" vertical="center"/>
    </xf>
    <xf numFmtId="0" fontId="3" fillId="0" borderId="0" xfId="5" applyAlignment="1">
      <alignment vertical="center"/>
    </xf>
    <xf numFmtId="0" fontId="8" fillId="2" borderId="1" xfId="5" applyFont="1" applyFill="1" applyBorder="1" applyAlignment="1">
      <alignment vertical="center" wrapText="1"/>
    </xf>
    <xf numFmtId="0" fontId="3" fillId="2" borderId="1" xfId="5" applyFill="1" applyBorder="1" applyAlignment="1">
      <alignment vertical="center" wrapText="1"/>
    </xf>
    <xf numFmtId="166" fontId="3" fillId="2" borderId="1" xfId="5" applyNumberFormat="1" applyFill="1" applyBorder="1" applyAlignment="1">
      <alignment vertical="center" wrapText="1"/>
    </xf>
    <xf numFmtId="4" fontId="8" fillId="2" borderId="1" xfId="5" applyNumberFormat="1" applyFont="1" applyFill="1" applyBorder="1" applyAlignment="1" applyProtection="1">
      <alignment vertical="center"/>
      <protection locked="0"/>
    </xf>
    <xf numFmtId="49" fontId="8" fillId="3" borderId="1" xfId="5" quotePrefix="1" applyNumberFormat="1" applyFont="1" applyFill="1" applyBorder="1" applyAlignment="1">
      <alignment vertical="center"/>
    </xf>
    <xf numFmtId="0" fontId="8" fillId="3" borderId="1" xfId="5" applyFont="1" applyFill="1" applyBorder="1" applyAlignment="1">
      <alignment vertical="center"/>
    </xf>
    <xf numFmtId="0" fontId="3" fillId="3" borderId="1" xfId="5" applyFill="1" applyBorder="1" applyAlignment="1">
      <alignment vertical="center"/>
    </xf>
    <xf numFmtId="166" fontId="3" fillId="3" borderId="1" xfId="5" applyNumberFormat="1" applyFill="1" applyBorder="1" applyAlignment="1">
      <alignment vertical="center"/>
    </xf>
    <xf numFmtId="4" fontId="8" fillId="3" borderId="4" xfId="5" applyNumberFormat="1" applyFont="1" applyFill="1" applyBorder="1" applyAlignment="1" applyProtection="1">
      <alignment vertical="center"/>
      <protection locked="0"/>
    </xf>
    <xf numFmtId="0" fontId="17" fillId="0" borderId="1" xfId="5" applyFont="1" applyBorder="1" applyAlignment="1">
      <alignment vertical="top" wrapText="1"/>
    </xf>
    <xf numFmtId="0" fontId="4" fillId="0" borderId="1" xfId="6" applyFont="1" applyBorder="1" applyAlignment="1">
      <alignment vertical="center" wrapText="1"/>
    </xf>
    <xf numFmtId="0" fontId="4" fillId="0" borderId="1" xfId="6" applyFont="1" applyBorder="1" applyAlignment="1">
      <alignment horizontal="justify" vertical="top" wrapText="1"/>
    </xf>
    <xf numFmtId="49" fontId="17" fillId="0" borderId="1" xfId="7" applyNumberFormat="1" applyFont="1" applyBorder="1" applyAlignment="1">
      <alignment horizontal="left" vertical="top" wrapText="1"/>
    </xf>
    <xf numFmtId="0" fontId="2" fillId="0" borderId="1" xfId="1" applyFont="1" applyBorder="1" applyAlignment="1">
      <alignment horizontal="center" vertical="center" wrapText="1"/>
    </xf>
    <xf numFmtId="0" fontId="5" fillId="0" borderId="1" xfId="5" applyFont="1" applyBorder="1" applyAlignment="1">
      <alignment horizontal="left" vertical="top" wrapText="1"/>
    </xf>
    <xf numFmtId="0" fontId="4" fillId="0" borderId="1" xfId="5" applyFont="1" applyBorder="1" applyAlignment="1">
      <alignment horizontal="left" vertical="center" wrapText="1"/>
    </xf>
    <xf numFmtId="0" fontId="17" fillId="10" borderId="1" xfId="5" applyFont="1" applyFill="1" applyBorder="1" applyAlignment="1">
      <alignment vertical="center" wrapText="1"/>
    </xf>
    <xf numFmtId="0" fontId="17" fillId="10" borderId="1" xfId="5" applyFont="1" applyFill="1" applyBorder="1" applyAlignment="1">
      <alignment vertical="top" wrapText="1"/>
    </xf>
    <xf numFmtId="0" fontId="17" fillId="9" borderId="1" xfId="5" applyFont="1" applyFill="1" applyBorder="1" applyAlignment="1">
      <alignment vertical="center" wrapText="1"/>
    </xf>
    <xf numFmtId="0" fontId="17" fillId="9" borderId="1" xfId="5" applyFont="1" applyFill="1" applyBorder="1" applyAlignment="1">
      <alignment vertical="top" wrapText="1"/>
    </xf>
    <xf numFmtId="0" fontId="17" fillId="0" borderId="1" xfId="5" applyFont="1" applyBorder="1" applyAlignment="1">
      <alignment vertical="center" wrapText="1"/>
    </xf>
    <xf numFmtId="166" fontId="5" fillId="0" borderId="1" xfId="3" applyNumberFormat="1" applyFont="1" applyBorder="1" applyAlignment="1">
      <alignment vertical="center"/>
    </xf>
    <xf numFmtId="0" fontId="41" fillId="5" borderId="3" xfId="4" applyFont="1" applyFill="1" applyBorder="1" applyAlignment="1">
      <alignment horizontal="left"/>
    </xf>
    <xf numFmtId="4" fontId="42" fillId="5" borderId="2" xfId="3" applyNumberFormat="1" applyFont="1" applyFill="1" applyBorder="1" applyAlignment="1">
      <alignment horizontal="right" vertical="center"/>
    </xf>
    <xf numFmtId="0" fontId="16" fillId="0" borderId="0" xfId="4" applyFont="1"/>
    <xf numFmtId="49" fontId="15" fillId="5" borderId="4" xfId="4" applyNumberFormat="1" applyFont="1" applyFill="1" applyBorder="1" applyAlignment="1">
      <alignment horizontal="left" vertical="center"/>
    </xf>
    <xf numFmtId="0" fontId="16" fillId="5" borderId="3" xfId="4" applyFont="1" applyFill="1" applyBorder="1" applyAlignment="1">
      <alignment horizontal="left" vertical="center"/>
    </xf>
    <xf numFmtId="166" fontId="16" fillId="5" borderId="3" xfId="4" applyNumberFormat="1" applyFont="1" applyFill="1" applyBorder="1" applyAlignment="1">
      <alignment horizontal="left" vertical="center"/>
    </xf>
    <xf numFmtId="4" fontId="16" fillId="5" borderId="3" xfId="4" applyNumberFormat="1" applyFont="1" applyFill="1" applyBorder="1" applyAlignment="1" applyProtection="1">
      <alignment horizontal="left" vertical="center"/>
      <protection locked="0"/>
    </xf>
    <xf numFmtId="4" fontId="16" fillId="5" borderId="2" xfId="4" applyNumberFormat="1" applyFont="1" applyFill="1" applyBorder="1" applyAlignment="1">
      <alignment horizontal="left" vertical="center"/>
    </xf>
    <xf numFmtId="0" fontId="4" fillId="0" borderId="0" xfId="4" applyFont="1"/>
    <xf numFmtId="49" fontId="5" fillId="5" borderId="4" xfId="4" applyNumberFormat="1" applyFont="1" applyFill="1" applyBorder="1" applyAlignment="1">
      <alignment horizontal="left" vertical="center"/>
    </xf>
    <xf numFmtId="0" fontId="5" fillId="5" borderId="3" xfId="4" applyFont="1" applyFill="1" applyBorder="1" applyAlignment="1">
      <alignment horizontal="left" vertical="center"/>
    </xf>
    <xf numFmtId="0" fontId="13" fillId="12" borderId="0" xfId="4" applyFont="1" applyFill="1"/>
    <xf numFmtId="49" fontId="8" fillId="12" borderId="11" xfId="4" applyNumberFormat="1" applyFont="1" applyFill="1" applyBorder="1" applyAlignment="1">
      <alignment horizontal="left" vertical="center"/>
    </xf>
    <xf numFmtId="0" fontId="5" fillId="12" borderId="10" xfId="4" applyFont="1" applyFill="1" applyBorder="1" applyAlignment="1">
      <alignment horizontal="left" vertical="center"/>
    </xf>
    <xf numFmtId="0" fontId="4" fillId="12" borderId="10" xfId="4" applyFont="1" applyFill="1" applyBorder="1" applyAlignment="1">
      <alignment horizontal="left" vertical="center"/>
    </xf>
    <xf numFmtId="166" fontId="4" fillId="12" borderId="10" xfId="4" applyNumberFormat="1" applyFont="1" applyFill="1" applyBorder="1" applyAlignment="1">
      <alignment horizontal="left" vertical="center"/>
    </xf>
    <xf numFmtId="4" fontId="4" fillId="12" borderId="10" xfId="4" applyNumberFormat="1" applyFont="1" applyFill="1" applyBorder="1" applyAlignment="1" applyProtection="1">
      <alignment horizontal="left" vertical="center"/>
      <protection locked="0"/>
    </xf>
    <xf numFmtId="4" fontId="4" fillId="12" borderId="9" xfId="4" applyNumberFormat="1" applyFont="1" applyFill="1" applyBorder="1" applyAlignment="1">
      <alignment horizontal="left" vertical="center"/>
    </xf>
    <xf numFmtId="0" fontId="7" fillId="12" borderId="0" xfId="4" applyFill="1"/>
    <xf numFmtId="0" fontId="15" fillId="12" borderId="0" xfId="5" applyFont="1" applyFill="1"/>
    <xf numFmtId="0" fontId="8" fillId="12" borderId="15" xfId="5" applyFont="1" applyFill="1" applyBorder="1"/>
    <xf numFmtId="0" fontId="4" fillId="12" borderId="0" xfId="5" applyFont="1" applyFill="1"/>
    <xf numFmtId="0" fontId="4" fillId="12" borderId="0" xfId="5" applyFont="1" applyFill="1" applyAlignment="1">
      <alignment vertical="center"/>
    </xf>
    <xf numFmtId="0" fontId="4" fillId="12" borderId="12" xfId="5" applyFont="1" applyFill="1" applyBorder="1" applyAlignment="1">
      <alignment vertical="center"/>
    </xf>
    <xf numFmtId="0" fontId="3" fillId="12" borderId="0" xfId="5" applyFill="1"/>
    <xf numFmtId="49" fontId="15" fillId="2" borderId="1" xfId="4" applyNumberFormat="1" applyFont="1" applyFill="1" applyBorder="1" applyAlignment="1">
      <alignment horizontal="left" vertical="center"/>
    </xf>
    <xf numFmtId="0" fontId="15" fillId="2" borderId="4" xfId="4" applyFont="1" applyFill="1" applyBorder="1" applyAlignment="1">
      <alignment horizontal="left" vertical="center"/>
    </xf>
    <xf numFmtId="0" fontId="16" fillId="2" borderId="3" xfId="4" applyFont="1" applyFill="1" applyBorder="1" applyAlignment="1">
      <alignment horizontal="left" vertical="center"/>
    </xf>
    <xf numFmtId="166" fontId="16" fillId="2" borderId="2" xfId="4" applyNumberFormat="1" applyFont="1" applyFill="1" applyBorder="1" applyAlignment="1">
      <alignment horizontal="left" vertical="center"/>
    </xf>
    <xf numFmtId="4" fontId="16" fillId="2" borderId="1" xfId="4" applyNumberFormat="1" applyFont="1" applyFill="1" applyBorder="1" applyAlignment="1" applyProtection="1">
      <alignment horizontal="left" vertical="center"/>
      <protection locked="0"/>
    </xf>
    <xf numFmtId="4" fontId="16" fillId="2" borderId="1" xfId="4" applyNumberFormat="1" applyFont="1" applyFill="1" applyBorder="1" applyAlignment="1">
      <alignment horizontal="left" vertical="center"/>
    </xf>
    <xf numFmtId="49" fontId="8" fillId="2" borderId="1" xfId="4" quotePrefix="1" applyNumberFormat="1" applyFont="1" applyFill="1" applyBorder="1" applyAlignment="1">
      <alignment horizontal="left"/>
    </xf>
    <xf numFmtId="0" fontId="5" fillId="2" borderId="1" xfId="4" applyFont="1" applyFill="1" applyBorder="1" applyAlignment="1">
      <alignment wrapText="1"/>
    </xf>
    <xf numFmtId="0" fontId="4" fillId="2" borderId="1" xfId="4" applyFont="1" applyFill="1" applyBorder="1" applyAlignment="1">
      <alignment vertical="center" wrapText="1"/>
    </xf>
    <xf numFmtId="166" fontId="4" fillId="2" borderId="1" xfId="4" applyNumberFormat="1" applyFont="1" applyFill="1" applyBorder="1" applyAlignment="1">
      <alignment vertical="center" wrapText="1"/>
    </xf>
    <xf numFmtId="4" fontId="5" fillId="2" borderId="1" xfId="4" applyNumberFormat="1" applyFont="1" applyFill="1" applyBorder="1" applyAlignment="1" applyProtection="1">
      <alignment horizontal="right" vertical="center"/>
      <protection locked="0"/>
    </xf>
    <xf numFmtId="49" fontId="8" fillId="13" borderId="1" xfId="4" quotePrefix="1" applyNumberFormat="1" applyFont="1" applyFill="1" applyBorder="1" applyAlignment="1">
      <alignment horizontal="left"/>
    </xf>
    <xf numFmtId="0" fontId="5" fillId="13" borderId="1" xfId="4" applyFont="1" applyFill="1" applyBorder="1" applyAlignment="1">
      <alignment wrapText="1"/>
    </xf>
    <xf numFmtId="0" fontId="4" fillId="13" borderId="1" xfId="4" applyFont="1" applyFill="1" applyBorder="1" applyAlignment="1">
      <alignment vertical="center" wrapText="1"/>
    </xf>
    <xf numFmtId="166" fontId="4" fillId="13" borderId="1" xfId="4" applyNumberFormat="1" applyFont="1" applyFill="1" applyBorder="1" applyAlignment="1">
      <alignment vertical="center" wrapText="1"/>
    </xf>
    <xf numFmtId="4" fontId="5" fillId="13" borderId="4" xfId="4" applyNumberFormat="1" applyFont="1" applyFill="1" applyBorder="1" applyAlignment="1" applyProtection="1">
      <alignment horizontal="right" vertical="center"/>
      <protection locked="0"/>
    </xf>
    <xf numFmtId="166" fontId="5" fillId="0" borderId="0" xfId="3" applyNumberFormat="1" applyFont="1" applyFill="1" applyAlignment="1">
      <alignment horizontal="right" vertical="center"/>
    </xf>
    <xf numFmtId="4" fontId="5" fillId="0" borderId="0" xfId="3" applyNumberFormat="1" applyFont="1" applyFill="1" applyAlignment="1" applyProtection="1">
      <alignment horizontal="right" vertical="center"/>
      <protection locked="0"/>
    </xf>
    <xf numFmtId="4" fontId="4" fillId="0" borderId="0" xfId="3" applyNumberFormat="1" applyFont="1" applyFill="1" applyAlignment="1">
      <alignment vertical="center"/>
    </xf>
    <xf numFmtId="166" fontId="4" fillId="0" borderId="0" xfId="3" applyNumberFormat="1" applyFont="1" applyFill="1" applyAlignment="1">
      <alignment vertical="center"/>
    </xf>
    <xf numFmtId="4" fontId="4" fillId="0" borderId="0" xfId="3" applyNumberFormat="1" applyFont="1" applyFill="1" applyAlignment="1" applyProtection="1">
      <alignment vertical="center"/>
      <protection locked="0"/>
    </xf>
    <xf numFmtId="4" fontId="4" fillId="0" borderId="0" xfId="3" applyNumberFormat="1" applyFont="1" applyFill="1" applyBorder="1" applyAlignment="1">
      <alignment vertical="center"/>
    </xf>
    <xf numFmtId="165" fontId="4" fillId="0" borderId="1" xfId="2" applyFont="1" applyFill="1" applyBorder="1" applyAlignment="1" applyProtection="1">
      <alignment vertical="center"/>
      <protection locked="0"/>
    </xf>
    <xf numFmtId="166" fontId="4" fillId="0" borderId="1" xfId="3" applyNumberFormat="1" applyFont="1" applyFill="1" applyBorder="1" applyAlignment="1">
      <alignment vertical="center" wrapText="1"/>
    </xf>
    <xf numFmtId="0" fontId="6" fillId="2" borderId="1" xfId="1" applyFont="1" applyFill="1" applyBorder="1" applyAlignment="1">
      <alignment horizontal="center" vertical="top"/>
    </xf>
    <xf numFmtId="0" fontId="5" fillId="2" borderId="1" xfId="1" applyFont="1" applyFill="1" applyBorder="1" applyAlignment="1">
      <alignment vertical="top"/>
    </xf>
    <xf numFmtId="166" fontId="17" fillId="0" borderId="1" xfId="3" applyNumberFormat="1" applyFont="1" applyFill="1" applyBorder="1" applyAlignment="1">
      <alignment horizontal="right" vertical="center" wrapText="1"/>
    </xf>
    <xf numFmtId="166" fontId="17" fillId="0" borderId="1" xfId="3" applyNumberFormat="1" applyFont="1" applyFill="1" applyBorder="1" applyAlignment="1">
      <alignment vertical="center"/>
    </xf>
    <xf numFmtId="0" fontId="8" fillId="5" borderId="3" xfId="4" applyFont="1" applyFill="1" applyBorder="1" applyAlignment="1">
      <alignment horizontal="left" vertical="center"/>
    </xf>
    <xf numFmtId="165" fontId="8" fillId="2" borderId="1" xfId="2" applyFont="1" applyFill="1" applyBorder="1" applyAlignment="1" applyProtection="1">
      <alignment vertical="center"/>
    </xf>
    <xf numFmtId="165" fontId="8" fillId="3" borderId="1" xfId="2" applyFont="1" applyFill="1" applyBorder="1" applyAlignment="1" applyProtection="1">
      <alignment vertical="center"/>
    </xf>
    <xf numFmtId="0" fontId="5" fillId="11" borderId="1" xfId="1" applyFont="1" applyFill="1" applyBorder="1" applyAlignment="1">
      <alignment vertical="center"/>
    </xf>
    <xf numFmtId="166" fontId="5" fillId="11" borderId="1" xfId="3" applyNumberFormat="1" applyFont="1" applyFill="1" applyBorder="1" applyAlignment="1">
      <alignment horizontal="right" vertical="center"/>
    </xf>
    <xf numFmtId="4" fontId="5" fillId="11" borderId="1" xfId="3" applyNumberFormat="1" applyFont="1" applyFill="1" applyBorder="1" applyAlignment="1" applyProtection="1">
      <alignment horizontal="right" vertical="center"/>
      <protection locked="0"/>
    </xf>
    <xf numFmtId="165" fontId="5" fillId="11" borderId="1" xfId="2" applyFont="1" applyFill="1" applyBorder="1" applyAlignment="1">
      <alignment vertical="center"/>
    </xf>
    <xf numFmtId="166" fontId="5" fillId="2" borderId="1" xfId="3" applyNumberFormat="1" applyFont="1" applyFill="1" applyBorder="1" applyAlignment="1">
      <alignment horizontal="right" vertical="center"/>
    </xf>
    <xf numFmtId="4" fontId="5" fillId="2" borderId="1" xfId="3" applyNumberFormat="1" applyFont="1" applyFill="1" applyBorder="1" applyAlignment="1" applyProtection="1">
      <alignment horizontal="right" vertical="center"/>
      <protection locked="0"/>
    </xf>
    <xf numFmtId="0" fontId="5" fillId="10" borderId="1" xfId="1" applyFont="1" applyFill="1" applyBorder="1" applyAlignment="1">
      <alignment vertical="center"/>
    </xf>
    <xf numFmtId="166" fontId="5" fillId="10" borderId="1" xfId="3" applyNumberFormat="1" applyFont="1" applyFill="1" applyBorder="1" applyAlignment="1">
      <alignment horizontal="right" vertical="center"/>
    </xf>
    <xf numFmtId="4" fontId="5" fillId="10" borderId="1" xfId="3" applyNumberFormat="1" applyFont="1" applyFill="1" applyBorder="1" applyAlignment="1" applyProtection="1">
      <alignment horizontal="right" vertical="center"/>
      <protection locked="0"/>
    </xf>
    <xf numFmtId="165" fontId="5" fillId="10" borderId="1" xfId="2" applyFont="1" applyFill="1" applyBorder="1" applyAlignment="1">
      <alignment vertical="center"/>
    </xf>
    <xf numFmtId="0" fontId="5" fillId="9" borderId="1" xfId="1" applyFont="1" applyFill="1" applyBorder="1" applyAlignment="1">
      <alignment vertical="center"/>
    </xf>
    <xf numFmtId="166" fontId="5" fillId="9" borderId="1" xfId="3" applyNumberFormat="1" applyFont="1" applyFill="1" applyBorder="1" applyAlignment="1">
      <alignment horizontal="right" vertical="center"/>
    </xf>
    <xf numFmtId="4" fontId="5" fillId="9" borderId="1" xfId="3" applyNumberFormat="1" applyFont="1" applyFill="1" applyBorder="1" applyAlignment="1" applyProtection="1">
      <alignment horizontal="right" vertical="center"/>
      <protection locked="0"/>
    </xf>
    <xf numFmtId="165" fontId="5" fillId="9" borderId="1" xfId="2" applyFont="1" applyFill="1" applyBorder="1" applyAlignment="1">
      <alignment vertical="center"/>
    </xf>
    <xf numFmtId="166" fontId="2" fillId="0" borderId="0" xfId="1" applyNumberFormat="1" applyFont="1" applyAlignment="1">
      <alignment vertical="center"/>
    </xf>
    <xf numFmtId="168" fontId="2" fillId="0" borderId="0" xfId="1" applyNumberFormat="1" applyFont="1" applyAlignment="1">
      <alignment vertical="center"/>
    </xf>
    <xf numFmtId="0" fontId="8" fillId="5" borderId="3" xfId="5" applyFont="1" applyFill="1" applyBorder="1" applyAlignment="1">
      <alignment horizontal="center" vertical="center"/>
    </xf>
    <xf numFmtId="0" fontId="8" fillId="2" borderId="4" xfId="5" applyFont="1" applyFill="1" applyBorder="1" applyAlignment="1">
      <alignment horizontal="center" vertical="center"/>
    </xf>
    <xf numFmtId="49" fontId="8" fillId="2" borderId="1" xfId="5" quotePrefix="1" applyNumberFormat="1" applyFont="1" applyFill="1" applyBorder="1" applyAlignment="1">
      <alignment vertical="center"/>
    </xf>
    <xf numFmtId="0" fontId="23" fillId="9" borderId="1" xfId="5" applyFont="1" applyFill="1" applyBorder="1" applyAlignment="1">
      <alignment vertical="top" wrapText="1"/>
    </xf>
    <xf numFmtId="0" fontId="17" fillId="11" borderId="1" xfId="5" applyFont="1" applyFill="1" applyBorder="1" applyAlignment="1">
      <alignment vertical="center" wrapText="1"/>
    </xf>
    <xf numFmtId="0" fontId="17" fillId="11" borderId="1" xfId="5" applyFont="1" applyFill="1" applyBorder="1" applyAlignment="1">
      <alignment vertical="top" wrapText="1"/>
    </xf>
    <xf numFmtId="0" fontId="17" fillId="2" borderId="1" xfId="5" applyFont="1" applyFill="1" applyBorder="1" applyAlignment="1">
      <alignment vertical="center" wrapText="1"/>
    </xf>
    <xf numFmtId="0" fontId="17" fillId="2" borderId="1" xfId="5" applyFont="1" applyFill="1" applyBorder="1" applyAlignment="1">
      <alignment vertical="top" wrapText="1"/>
    </xf>
    <xf numFmtId="0" fontId="5" fillId="5" borderId="3" xfId="5" applyFont="1" applyFill="1" applyBorder="1" applyAlignment="1">
      <alignment horizontal="left" vertical="center"/>
    </xf>
    <xf numFmtId="0" fontId="5" fillId="2" borderId="4" xfId="5" applyFont="1" applyFill="1" applyBorder="1" applyAlignment="1">
      <alignment horizontal="left" vertical="center"/>
    </xf>
    <xf numFmtId="0" fontId="5" fillId="2" borderId="4" xfId="5" applyFont="1" applyFill="1" applyBorder="1" applyAlignment="1">
      <alignment horizontal="center" vertical="center"/>
    </xf>
    <xf numFmtId="0" fontId="4" fillId="2" borderId="3" xfId="5" applyFont="1" applyFill="1" applyBorder="1" applyAlignment="1">
      <alignment vertical="center"/>
    </xf>
    <xf numFmtId="166" fontId="4" fillId="2" borderId="2" xfId="5" applyNumberFormat="1" applyFont="1" applyFill="1" applyBorder="1" applyAlignment="1">
      <alignment vertical="center"/>
    </xf>
    <xf numFmtId="4" fontId="5" fillId="2" borderId="1" xfId="5" applyNumberFormat="1" applyFont="1" applyFill="1" applyBorder="1" applyAlignment="1" applyProtection="1">
      <alignment horizontal="center" vertical="center"/>
      <protection locked="0"/>
    </xf>
    <xf numFmtId="4" fontId="5" fillId="2" borderId="1" xfId="5" applyNumberFormat="1" applyFont="1" applyFill="1" applyBorder="1" applyAlignment="1">
      <alignment horizontal="center" vertical="center"/>
    </xf>
    <xf numFmtId="49" fontId="8" fillId="2" borderId="1" xfId="5" quotePrefix="1" applyNumberFormat="1" applyFont="1" applyFill="1" applyBorder="1" applyAlignment="1">
      <alignment horizontal="left"/>
    </xf>
    <xf numFmtId="0" fontId="5" fillId="2" borderId="1" xfId="5" applyFont="1" applyFill="1" applyBorder="1" applyAlignment="1">
      <alignment wrapText="1"/>
    </xf>
    <xf numFmtId="0" fontId="4" fillId="2" borderId="1" xfId="5" applyFont="1" applyFill="1" applyBorder="1" applyAlignment="1">
      <alignment vertical="center" wrapText="1"/>
    </xf>
    <xf numFmtId="166" fontId="4" fillId="2" borderId="1" xfId="5" applyNumberFormat="1" applyFont="1" applyFill="1" applyBorder="1" applyAlignment="1">
      <alignment vertical="center" wrapText="1"/>
    </xf>
    <xf numFmtId="4" fontId="5" fillId="2" borderId="1" xfId="5" applyNumberFormat="1" applyFont="1" applyFill="1" applyBorder="1" applyAlignment="1" applyProtection="1">
      <alignment horizontal="right" vertical="center"/>
      <protection locked="0"/>
    </xf>
    <xf numFmtId="165" fontId="5" fillId="2" borderId="1" xfId="2" applyFont="1" applyFill="1" applyBorder="1" applyAlignment="1" applyProtection="1">
      <alignment horizontal="right" vertical="center"/>
    </xf>
    <xf numFmtId="49" fontId="8" fillId="3" borderId="1" xfId="5" quotePrefix="1" applyNumberFormat="1" applyFont="1" applyFill="1" applyBorder="1" applyAlignment="1">
      <alignment horizontal="left"/>
    </xf>
    <xf numFmtId="0" fontId="5" fillId="3" borderId="1" xfId="5" applyFont="1" applyFill="1" applyBorder="1"/>
    <xf numFmtId="0" fontId="4" fillId="3" borderId="1" xfId="5" applyFont="1" applyFill="1" applyBorder="1" applyAlignment="1">
      <alignment vertical="center"/>
    </xf>
    <xf numFmtId="166" fontId="4" fillId="3" borderId="1" xfId="5" applyNumberFormat="1" applyFont="1" applyFill="1" applyBorder="1" applyAlignment="1">
      <alignment vertical="center"/>
    </xf>
    <xf numFmtId="4" fontId="5" fillId="3" borderId="4" xfId="5" applyNumberFormat="1" applyFont="1" applyFill="1" applyBorder="1" applyAlignment="1" applyProtection="1">
      <alignment horizontal="right" vertical="center"/>
      <protection locked="0"/>
    </xf>
    <xf numFmtId="165" fontId="5" fillId="3" borderId="1" xfId="2" applyFont="1" applyFill="1" applyBorder="1" applyAlignment="1" applyProtection="1">
      <alignment horizontal="right" vertical="center"/>
    </xf>
    <xf numFmtId="0" fontId="17" fillId="0" borderId="1" xfId="1" applyFont="1" applyBorder="1" applyAlignment="1">
      <alignment horizontal="justify" wrapText="1"/>
    </xf>
    <xf numFmtId="49" fontId="5" fillId="0" borderId="14" xfId="18" applyNumberFormat="1" applyFont="1" applyBorder="1">
      <alignment horizontal="left" vertical="top" wrapText="1" readingOrder="1"/>
    </xf>
    <xf numFmtId="0" fontId="5" fillId="0" borderId="12" xfId="11" applyFont="1" applyBorder="1" applyAlignment="1">
      <alignment vertical="top" wrapText="1"/>
    </xf>
    <xf numFmtId="4" fontId="4" fillId="0" borderId="14" xfId="10" applyNumberFormat="1" applyFont="1" applyBorder="1" applyAlignment="1">
      <alignment horizontal="center" vertical="center"/>
    </xf>
    <xf numFmtId="2" fontId="4" fillId="0" borderId="14" xfId="10" applyNumberFormat="1" applyFont="1" applyBorder="1" applyAlignment="1">
      <alignment horizontal="right" vertical="center"/>
    </xf>
    <xf numFmtId="4" fontId="4" fillId="0" borderId="14" xfId="10" applyNumberFormat="1" applyFont="1" applyBorder="1" applyAlignment="1" applyProtection="1">
      <alignment horizontal="right" vertical="center"/>
      <protection locked="0"/>
    </xf>
    <xf numFmtId="4" fontId="5" fillId="0" borderId="14" xfId="10" applyNumberFormat="1" applyFont="1" applyBorder="1" applyAlignment="1" applyProtection="1">
      <alignment horizontal="right"/>
      <protection locked="0"/>
    </xf>
    <xf numFmtId="49" fontId="45" fillId="15" borderId="0" xfId="19" applyNumberFormat="1" applyFont="1" applyFill="1" applyAlignment="1" applyProtection="1">
      <alignment horizontal="center" vertical="center" wrapText="1"/>
      <protection locked="0"/>
    </xf>
    <xf numFmtId="0" fontId="45" fillId="15" borderId="0" xfId="20" applyFont="1" applyFill="1" applyBorder="1" applyAlignment="1" applyProtection="1">
      <alignment horizontal="center" vertical="center" wrapText="1"/>
      <protection locked="0"/>
    </xf>
    <xf numFmtId="2" fontId="45" fillId="15" borderId="0" xfId="20" applyNumberFormat="1" applyFont="1" applyFill="1" applyBorder="1" applyAlignment="1" applyProtection="1">
      <alignment horizontal="center" vertical="center" wrapText="1"/>
      <protection locked="0"/>
    </xf>
    <xf numFmtId="4" fontId="45" fillId="15" borderId="0" xfId="20" applyNumberFormat="1" applyFont="1" applyFill="1" applyBorder="1" applyAlignment="1" applyProtection="1">
      <alignment horizontal="center" vertical="center" wrapText="1"/>
      <protection locked="0"/>
    </xf>
    <xf numFmtId="49" fontId="4" fillId="0" borderId="14" xfId="18" applyNumberFormat="1" applyFont="1" applyBorder="1">
      <alignment horizontal="left" vertical="top" wrapText="1" readingOrder="1"/>
    </xf>
    <xf numFmtId="170" fontId="5" fillId="0" borderId="0" xfId="21" applyNumberFormat="1" applyFont="1" applyAlignment="1">
      <alignment vertical="top" wrapText="1"/>
    </xf>
    <xf numFmtId="170" fontId="4" fillId="0" borderId="14" xfId="21" applyNumberFormat="1" applyFont="1" applyBorder="1" applyAlignment="1">
      <alignment horizontal="center" vertical="center"/>
    </xf>
    <xf numFmtId="2" fontId="4" fillId="0" borderId="14" xfId="21" applyNumberFormat="1" applyFont="1" applyBorder="1" applyAlignment="1">
      <alignment horizontal="right" vertical="center"/>
    </xf>
    <xf numFmtId="0" fontId="17" fillId="0" borderId="14" xfId="11" applyFont="1" applyBorder="1" applyAlignment="1" applyProtection="1">
      <alignment horizontal="right" vertical="center" wrapText="1"/>
      <protection locked="0"/>
    </xf>
    <xf numFmtId="2" fontId="4" fillId="0" borderId="14" xfId="11" applyNumberFormat="1" applyFont="1" applyBorder="1" applyAlignment="1" applyProtection="1">
      <alignment horizontal="right" wrapText="1"/>
      <protection locked="0"/>
    </xf>
    <xf numFmtId="49" fontId="46" fillId="16" borderId="14" xfId="11" applyNumberFormat="1" applyFont="1" applyFill="1" applyBorder="1" applyAlignment="1">
      <alignment horizontal="left" vertical="top" wrapText="1"/>
    </xf>
    <xf numFmtId="170" fontId="46" fillId="16" borderId="14" xfId="21" applyNumberFormat="1" applyFont="1" applyFill="1" applyBorder="1" applyAlignment="1">
      <alignment horizontal="left" vertical="top" wrapText="1"/>
    </xf>
    <xf numFmtId="170" fontId="47" fillId="16" borderId="14" xfId="21" applyNumberFormat="1" applyFont="1" applyFill="1" applyBorder="1" applyAlignment="1">
      <alignment horizontal="center" vertical="center"/>
    </xf>
    <xf numFmtId="2" fontId="47" fillId="16" borderId="14" xfId="21" applyNumberFormat="1" applyFont="1" applyFill="1" applyBorder="1" applyAlignment="1">
      <alignment horizontal="right" vertical="center"/>
    </xf>
    <xf numFmtId="0" fontId="17" fillId="16" borderId="14" xfId="11" applyFont="1" applyFill="1" applyBorder="1" applyAlignment="1" applyProtection="1">
      <alignment horizontal="right" vertical="center" wrapText="1"/>
      <protection locked="0"/>
    </xf>
    <xf numFmtId="0" fontId="17" fillId="16" borderId="14" xfId="11" applyFont="1" applyFill="1" applyBorder="1" applyAlignment="1" applyProtection="1">
      <alignment horizontal="right" wrapText="1"/>
      <protection locked="0"/>
    </xf>
    <xf numFmtId="49" fontId="17" fillId="0" borderId="14" xfId="11" applyNumberFormat="1" applyFont="1" applyBorder="1" applyAlignment="1">
      <alignment horizontal="left" vertical="top" wrapText="1"/>
    </xf>
    <xf numFmtId="170" fontId="4" fillId="0" borderId="14" xfId="21" applyNumberFormat="1" applyFont="1" applyBorder="1" applyAlignment="1">
      <alignment horizontal="left" vertical="top" wrapText="1"/>
    </xf>
    <xf numFmtId="170" fontId="48" fillId="0" borderId="14" xfId="21" applyNumberFormat="1" applyFont="1" applyBorder="1" applyAlignment="1">
      <alignment horizontal="center" vertical="center"/>
    </xf>
    <xf numFmtId="2" fontId="48" fillId="0" borderId="14" xfId="21" applyNumberFormat="1" applyFont="1" applyBorder="1" applyAlignment="1">
      <alignment horizontal="right" vertical="center"/>
    </xf>
    <xf numFmtId="0" fontId="17" fillId="0" borderId="14" xfId="11" applyFont="1" applyBorder="1" applyAlignment="1" applyProtection="1">
      <alignment horizontal="right" wrapText="1"/>
      <protection locked="0"/>
    </xf>
    <xf numFmtId="0" fontId="17" fillId="0" borderId="0" xfId="11" applyFont="1" applyAlignment="1">
      <alignment vertical="top" wrapText="1"/>
    </xf>
    <xf numFmtId="0" fontId="4" fillId="0" borderId="1" xfId="14" applyFont="1" applyBorder="1" applyAlignment="1">
      <alignment horizontal="justify" vertical="top" wrapText="1"/>
    </xf>
    <xf numFmtId="0" fontId="4" fillId="0" borderId="0" xfId="10" applyFont="1" applyAlignment="1" applyProtection="1">
      <alignment vertical="top" wrapText="1"/>
      <protection locked="0"/>
    </xf>
    <xf numFmtId="0" fontId="4" fillId="0" borderId="0" xfId="10" applyFont="1" applyAlignment="1" applyProtection="1">
      <alignment vertical="center"/>
      <protection locked="0"/>
    </xf>
    <xf numFmtId="0" fontId="17" fillId="0" borderId="0" xfId="11" applyFont="1" applyAlignment="1">
      <alignment horizontal="center" vertical="center" wrapText="1"/>
    </xf>
    <xf numFmtId="2" fontId="17" fillId="0" borderId="0" xfId="11" applyNumberFormat="1" applyFont="1" applyAlignment="1">
      <alignment horizontal="right" vertical="center" wrapText="1"/>
    </xf>
    <xf numFmtId="0" fontId="17" fillId="0" borderId="0" xfId="11" applyFont="1" applyAlignment="1" applyProtection="1">
      <alignment horizontal="right" vertical="center" wrapText="1"/>
      <protection locked="0"/>
    </xf>
    <xf numFmtId="0" fontId="17" fillId="0" borderId="0" xfId="11" applyFont="1" applyAlignment="1" applyProtection="1">
      <alignment horizontal="right" wrapText="1"/>
      <protection locked="0"/>
    </xf>
    <xf numFmtId="49" fontId="5" fillId="0" borderId="0" xfId="18" applyNumberFormat="1" applyFont="1">
      <alignment horizontal="left" vertical="top" wrapText="1" readingOrder="1"/>
    </xf>
    <xf numFmtId="4" fontId="4" fillId="0" borderId="0" xfId="10" applyNumberFormat="1" applyFont="1" applyAlignment="1">
      <alignment horizontal="center" vertical="center"/>
    </xf>
    <xf numFmtId="2" fontId="4" fillId="0" borderId="0" xfId="10" applyNumberFormat="1" applyFont="1" applyAlignment="1">
      <alignment horizontal="right" vertical="center"/>
    </xf>
    <xf numFmtId="4" fontId="4" fillId="0" borderId="0" xfId="10" applyNumberFormat="1" applyFont="1" applyAlignment="1" applyProtection="1">
      <alignment horizontal="right" vertical="center"/>
      <protection locked="0"/>
    </xf>
    <xf numFmtId="4" fontId="5" fillId="0" borderId="0" xfId="10" applyNumberFormat="1" applyFont="1" applyAlignment="1" applyProtection="1">
      <alignment horizontal="right"/>
      <protection locked="0"/>
    </xf>
    <xf numFmtId="49" fontId="4" fillId="0" borderId="0" xfId="10" applyNumberFormat="1" applyFont="1" applyAlignment="1" applyProtection="1">
      <alignment horizontal="left" vertical="top"/>
      <protection locked="0"/>
    </xf>
    <xf numFmtId="4" fontId="4" fillId="0" borderId="0" xfId="10" applyNumberFormat="1" applyFont="1" applyAlignment="1" applyProtection="1">
      <alignment horizontal="center" vertical="center"/>
      <protection locked="0"/>
    </xf>
    <xf numFmtId="4" fontId="4" fillId="0" borderId="0" xfId="10" applyNumberFormat="1" applyFont="1" applyAlignment="1" applyProtection="1">
      <alignment horizontal="right"/>
      <protection locked="0"/>
    </xf>
    <xf numFmtId="0" fontId="4" fillId="0" borderId="0" xfId="10" applyFont="1" applyProtection="1">
      <protection locked="0"/>
    </xf>
    <xf numFmtId="0" fontId="17" fillId="0" borderId="0" xfId="11" applyFont="1" applyAlignment="1">
      <alignment horizontal="left" vertical="top" wrapText="1"/>
    </xf>
    <xf numFmtId="165" fontId="2" fillId="0" borderId="0" xfId="2" applyFont="1" applyAlignment="1"/>
    <xf numFmtId="165" fontId="0" fillId="0" borderId="0" xfId="2" applyFont="1" applyAlignment="1"/>
    <xf numFmtId="165" fontId="13" fillId="0" borderId="0" xfId="2" applyFont="1" applyFill="1" applyAlignment="1">
      <alignment horizontal="right"/>
    </xf>
    <xf numFmtId="165" fontId="3" fillId="0" borderId="0" xfId="2" applyFont="1" applyAlignment="1"/>
    <xf numFmtId="165" fontId="3" fillId="0" borderId="0" xfId="2" applyFont="1" applyAlignment="1">
      <alignment vertical="center"/>
    </xf>
    <xf numFmtId="165" fontId="9" fillId="0" borderId="0" xfId="2" applyFont="1" applyAlignment="1"/>
    <xf numFmtId="165" fontId="2" fillId="0" borderId="0" xfId="2" applyFont="1" applyFill="1" applyAlignment="1"/>
    <xf numFmtId="165" fontId="2" fillId="0" borderId="0" xfId="2" applyFont="1" applyFill="1" applyAlignment="1">
      <alignment vertical="center"/>
    </xf>
    <xf numFmtId="4" fontId="5" fillId="18" borderId="2" xfId="4" applyNumberFormat="1" applyFont="1" applyFill="1" applyBorder="1" applyAlignment="1" applyProtection="1">
      <alignment horizontal="center" vertical="center"/>
      <protection locked="0"/>
    </xf>
    <xf numFmtId="49" fontId="8" fillId="18" borderId="1" xfId="4" applyNumberFormat="1" applyFont="1" applyFill="1" applyBorder="1" applyAlignment="1">
      <alignment horizontal="center" vertical="center"/>
    </xf>
    <xf numFmtId="0" fontId="5" fillId="18" borderId="4" xfId="4" applyFont="1" applyFill="1" applyBorder="1" applyAlignment="1">
      <alignment horizontal="left" vertical="center" wrapText="1"/>
    </xf>
    <xf numFmtId="4" fontId="5" fillId="18" borderId="1" xfId="4" applyNumberFormat="1" applyFont="1" applyFill="1" applyBorder="1" applyAlignment="1">
      <alignment horizontal="center" vertical="center"/>
    </xf>
    <xf numFmtId="169" fontId="2" fillId="0" borderId="0" xfId="1" applyNumberFormat="1" applyFont="1"/>
    <xf numFmtId="0" fontId="2" fillId="12" borderId="0" xfId="1" applyFont="1" applyFill="1"/>
    <xf numFmtId="0" fontId="2" fillId="12" borderId="11" xfId="1" applyFont="1" applyFill="1" applyBorder="1" applyAlignment="1">
      <alignment horizontal="center" vertical="top"/>
    </xf>
    <xf numFmtId="0" fontId="41" fillId="12" borderId="10" xfId="4" applyFont="1" applyFill="1" applyBorder="1" applyAlignment="1">
      <alignment horizontal="left"/>
    </xf>
    <xf numFmtId="0" fontId="4" fillId="12" borderId="10" xfId="1" applyFont="1" applyFill="1" applyBorder="1" applyAlignment="1">
      <alignment vertical="center"/>
    </xf>
    <xf numFmtId="166" fontId="4" fillId="12" borderId="10" xfId="3" applyNumberFormat="1" applyFont="1" applyFill="1" applyBorder="1" applyAlignment="1">
      <alignment vertical="center"/>
    </xf>
    <xf numFmtId="4" fontId="4" fillId="12" borderId="10" xfId="3" applyNumberFormat="1" applyFont="1" applyFill="1" applyBorder="1" applyAlignment="1" applyProtection="1">
      <alignment vertical="center"/>
      <protection locked="0"/>
    </xf>
    <xf numFmtId="4" fontId="42" fillId="12" borderId="9" xfId="3" applyNumberFormat="1" applyFont="1" applyFill="1" applyBorder="1" applyAlignment="1">
      <alignment horizontal="right" vertical="center"/>
    </xf>
    <xf numFmtId="165" fontId="2" fillId="12" borderId="0" xfId="2" applyFont="1" applyFill="1" applyAlignment="1"/>
    <xf numFmtId="0" fontId="58" fillId="0" borderId="0" xfId="4" applyFont="1"/>
    <xf numFmtId="165" fontId="58" fillId="0" borderId="0" xfId="2" applyFont="1" applyAlignment="1"/>
    <xf numFmtId="0" fontId="15" fillId="5" borderId="3" xfId="17" applyFont="1" applyFill="1" applyBorder="1" applyAlignment="1">
      <alignment horizontal="left" vertical="center"/>
    </xf>
    <xf numFmtId="0" fontId="13" fillId="0" borderId="0" xfId="17" applyFont="1"/>
    <xf numFmtId="49" fontId="8" fillId="0" borderId="5" xfId="17" applyNumberFormat="1" applyFont="1" applyBorder="1" applyAlignment="1">
      <alignment horizontal="left" vertical="center"/>
    </xf>
    <xf numFmtId="0" fontId="5" fillId="0" borderId="8" xfId="17" applyFont="1" applyBorder="1" applyAlignment="1">
      <alignment horizontal="left" vertical="center"/>
    </xf>
    <xf numFmtId="0" fontId="4" fillId="0" borderId="7" xfId="17" applyFont="1" applyBorder="1" applyAlignment="1">
      <alignment horizontal="left" vertical="center"/>
    </xf>
    <xf numFmtId="166" fontId="4" fillId="0" borderId="6" xfId="17" applyNumberFormat="1" applyFont="1" applyBorder="1" applyAlignment="1">
      <alignment horizontal="left" vertical="center"/>
    </xf>
    <xf numFmtId="4" fontId="4" fillId="0" borderId="5" xfId="17" applyNumberFormat="1" applyFont="1" applyBorder="1" applyAlignment="1" applyProtection="1">
      <alignment horizontal="left" vertical="center"/>
      <protection locked="0"/>
    </xf>
    <xf numFmtId="4" fontId="4" fillId="0" borderId="5" xfId="17" applyNumberFormat="1" applyFont="1" applyBorder="1" applyAlignment="1">
      <alignment horizontal="left" vertical="center"/>
    </xf>
    <xf numFmtId="0" fontId="13" fillId="0" borderId="0" xfId="17" applyFont="1" applyAlignment="1">
      <alignment horizontal="right"/>
    </xf>
    <xf numFmtId="0" fontId="3" fillId="0" borderId="0" xfId="17"/>
    <xf numFmtId="49" fontId="8" fillId="18" borderId="1" xfId="17" applyNumberFormat="1" applyFont="1" applyFill="1" applyBorder="1" applyAlignment="1">
      <alignment horizontal="center" vertical="center"/>
    </xf>
    <xf numFmtId="0" fontId="5" fillId="18" borderId="4" xfId="17" applyFont="1" applyFill="1" applyBorder="1" applyAlignment="1">
      <alignment horizontal="left" vertical="center" wrapText="1"/>
    </xf>
    <xf numFmtId="4" fontId="5" fillId="18" borderId="1" xfId="17" applyNumberFormat="1" applyFont="1" applyFill="1" applyBorder="1" applyAlignment="1">
      <alignment horizontal="center" vertical="center"/>
    </xf>
    <xf numFmtId="49" fontId="3" fillId="2" borderId="4" xfId="17" quotePrefix="1" applyNumberFormat="1" applyFill="1" applyBorder="1" applyAlignment="1">
      <alignment horizontal="center" vertical="center"/>
    </xf>
    <xf numFmtId="0" fontId="4" fillId="2" borderId="4" xfId="17" applyFont="1" applyFill="1" applyBorder="1" applyAlignment="1">
      <alignment vertical="center" wrapText="1"/>
    </xf>
    <xf numFmtId="0" fontId="4" fillId="2" borderId="3" xfId="17" applyFont="1" applyFill="1" applyBorder="1" applyAlignment="1">
      <alignment vertical="center" wrapText="1"/>
    </xf>
    <xf numFmtId="166" fontId="4" fillId="2" borderId="3" xfId="17" applyNumberFormat="1" applyFont="1" applyFill="1" applyBorder="1" applyAlignment="1">
      <alignment vertical="center" wrapText="1"/>
    </xf>
    <xf numFmtId="4" fontId="5" fillId="2" borderId="2" xfId="17" applyNumberFormat="1" applyFont="1" applyFill="1" applyBorder="1" applyAlignment="1" applyProtection="1">
      <alignment horizontal="right" vertical="center"/>
      <protection locked="0"/>
    </xf>
    <xf numFmtId="49" fontId="8" fillId="3" borderId="1" xfId="17" quotePrefix="1" applyNumberFormat="1" applyFont="1" applyFill="1" applyBorder="1" applyAlignment="1">
      <alignment horizontal="left" vertical="center"/>
    </xf>
    <xf numFmtId="0" fontId="5" fillId="3" borderId="4" xfId="17" applyFont="1" applyFill="1" applyBorder="1" applyAlignment="1">
      <alignment horizontal="left" vertical="center" wrapText="1"/>
    </xf>
    <xf numFmtId="0" fontId="4" fillId="3" borderId="3" xfId="17" applyFont="1" applyFill="1" applyBorder="1" applyAlignment="1">
      <alignment horizontal="center" vertical="center" wrapText="1"/>
    </xf>
    <xf numFmtId="166" fontId="4" fillId="3" borderId="3" xfId="17" applyNumberFormat="1" applyFont="1" applyFill="1" applyBorder="1" applyAlignment="1">
      <alignment horizontal="center" vertical="center" wrapText="1"/>
    </xf>
    <xf numFmtId="4" fontId="5" fillId="3" borderId="2" xfId="17" applyNumberFormat="1" applyFont="1" applyFill="1" applyBorder="1" applyAlignment="1" applyProtection="1">
      <alignment horizontal="center" vertical="center"/>
      <protection locked="0"/>
    </xf>
    <xf numFmtId="49" fontId="8" fillId="5" borderId="4" xfId="17" applyNumberFormat="1" applyFont="1" applyFill="1" applyBorder="1" applyAlignment="1">
      <alignment horizontal="left" vertical="center"/>
    </xf>
    <xf numFmtId="0" fontId="5" fillId="5" borderId="3" xfId="17" applyFont="1" applyFill="1" applyBorder="1" applyAlignment="1">
      <alignment horizontal="center" vertical="center"/>
    </xf>
    <xf numFmtId="0" fontId="4" fillId="5" borderId="3" xfId="17" applyFont="1" applyFill="1" applyBorder="1" applyAlignment="1">
      <alignment horizontal="left" vertical="center"/>
    </xf>
    <xf numFmtId="166" fontId="4" fillId="5" borderId="3" xfId="17" applyNumberFormat="1" applyFont="1" applyFill="1" applyBorder="1" applyAlignment="1">
      <alignment horizontal="left" vertical="center"/>
    </xf>
    <xf numFmtId="4" fontId="4" fillId="5" borderId="3" xfId="17" applyNumberFormat="1" applyFont="1" applyFill="1" applyBorder="1" applyAlignment="1" applyProtection="1">
      <alignment horizontal="left" vertical="center"/>
      <protection locked="0"/>
    </xf>
    <xf numFmtId="4" fontId="4" fillId="5" borderId="2" xfId="17" applyNumberFormat="1" applyFont="1" applyFill="1" applyBorder="1" applyAlignment="1">
      <alignment horizontal="left" vertical="center"/>
    </xf>
    <xf numFmtId="49" fontId="8" fillId="0" borderId="0" xfId="17" applyNumberFormat="1" applyFont="1" applyAlignment="1">
      <alignment horizontal="left" vertical="center"/>
    </xf>
    <xf numFmtId="0" fontId="5" fillId="0" borderId="0" xfId="17" applyFont="1" applyAlignment="1">
      <alignment horizontal="left" vertical="center"/>
    </xf>
    <xf numFmtId="0" fontId="4" fillId="0" borderId="0" xfId="17" applyFont="1" applyAlignment="1">
      <alignment horizontal="left" vertical="center"/>
    </xf>
    <xf numFmtId="166" fontId="4" fillId="0" borderId="0" xfId="17" applyNumberFormat="1" applyFont="1" applyAlignment="1">
      <alignment horizontal="left" vertical="center"/>
    </xf>
    <xf numFmtId="4" fontId="4" fillId="0" borderId="0" xfId="17" applyNumberFormat="1" applyFont="1" applyAlignment="1" applyProtection="1">
      <alignment horizontal="left" vertical="center"/>
      <protection locked="0"/>
    </xf>
    <xf numFmtId="4" fontId="4" fillId="0" borderId="0" xfId="17" applyNumberFormat="1" applyFont="1" applyAlignment="1">
      <alignment horizontal="left" vertical="center"/>
    </xf>
    <xf numFmtId="49" fontId="14" fillId="5" borderId="4" xfId="17" applyNumberFormat="1" applyFont="1" applyFill="1" applyBorder="1" applyAlignment="1">
      <alignment horizontal="left" vertical="center"/>
    </xf>
    <xf numFmtId="0" fontId="8" fillId="5" borderId="3" xfId="17" applyFont="1" applyFill="1" applyBorder="1" applyAlignment="1">
      <alignment horizontal="center" vertical="center"/>
    </xf>
    <xf numFmtId="4" fontId="4" fillId="0" borderId="12" xfId="17" applyNumberFormat="1" applyFont="1" applyBorder="1" applyAlignment="1">
      <alignment horizontal="left" vertical="center"/>
    </xf>
    <xf numFmtId="49" fontId="8" fillId="2" borderId="1" xfId="17" applyNumberFormat="1" applyFont="1" applyFill="1" applyBorder="1" applyAlignment="1">
      <alignment horizontal="left" vertical="center"/>
    </xf>
    <xf numFmtId="0" fontId="14" fillId="2" borderId="4" xfId="17" applyFont="1" applyFill="1" applyBorder="1" applyAlignment="1">
      <alignment horizontal="left" vertical="center"/>
    </xf>
    <xf numFmtId="0" fontId="4" fillId="2" borderId="3" xfId="17" applyFont="1" applyFill="1" applyBorder="1" applyAlignment="1">
      <alignment horizontal="left" vertical="center"/>
    </xf>
    <xf numFmtId="166" fontId="4" fillId="2" borderId="2" xfId="17" applyNumberFormat="1" applyFont="1" applyFill="1" applyBorder="1" applyAlignment="1">
      <alignment horizontal="left" vertical="center"/>
    </xf>
    <xf numFmtId="4" fontId="4" fillId="2" borderId="1" xfId="17" applyNumberFormat="1" applyFont="1" applyFill="1" applyBorder="1" applyAlignment="1" applyProtection="1">
      <alignment horizontal="left" vertical="center"/>
      <protection locked="0"/>
    </xf>
    <xf numFmtId="4" fontId="4" fillId="2" borderId="1" xfId="17" applyNumberFormat="1" applyFont="1" applyFill="1" applyBorder="1" applyAlignment="1">
      <alignment horizontal="left" vertical="center"/>
    </xf>
    <xf numFmtId="49" fontId="8" fillId="2" borderId="1" xfId="17" applyNumberFormat="1" applyFont="1" applyFill="1" applyBorder="1" applyAlignment="1">
      <alignment horizontal="center" vertical="center"/>
    </xf>
    <xf numFmtId="0" fontId="8" fillId="2" borderId="4" xfId="17" applyFont="1" applyFill="1" applyBorder="1" applyAlignment="1">
      <alignment horizontal="center" vertical="center"/>
    </xf>
    <xf numFmtId="0" fontId="3" fillId="2" borderId="3" xfId="17" applyFill="1" applyBorder="1" applyAlignment="1">
      <alignment vertical="center"/>
    </xf>
    <xf numFmtId="166" fontId="3" fillId="2" borderId="2" xfId="17" applyNumberFormat="1" applyFill="1" applyBorder="1" applyAlignment="1">
      <alignment vertical="center"/>
    </xf>
    <xf numFmtId="4" fontId="8" fillId="2" borderId="1" xfId="17" applyNumberFormat="1" applyFont="1" applyFill="1" applyBorder="1" applyAlignment="1" applyProtection="1">
      <alignment horizontal="center" vertical="center"/>
      <protection locked="0"/>
    </xf>
    <xf numFmtId="4" fontId="8" fillId="2" borderId="1" xfId="17" applyNumberFormat="1" applyFont="1" applyFill="1" applyBorder="1" applyAlignment="1">
      <alignment horizontal="center" vertical="center"/>
    </xf>
    <xf numFmtId="0" fontId="3" fillId="0" borderId="0" xfId="17" applyAlignment="1">
      <alignment vertical="center"/>
    </xf>
    <xf numFmtId="49" fontId="8" fillId="2" borderId="1" xfId="17" quotePrefix="1" applyNumberFormat="1" applyFont="1" applyFill="1" applyBorder="1" applyAlignment="1">
      <alignment vertical="center"/>
    </xf>
    <xf numFmtId="0" fontId="8" fillId="2" borderId="1" xfId="17" applyFont="1" applyFill="1" applyBorder="1" applyAlignment="1">
      <alignment vertical="center" wrapText="1"/>
    </xf>
    <xf numFmtId="0" fontId="3" fillId="2" borderId="1" xfId="17" applyFill="1" applyBorder="1" applyAlignment="1">
      <alignment vertical="center" wrapText="1"/>
    </xf>
    <xf numFmtId="166" fontId="3" fillId="2" borderId="1" xfId="17" applyNumberFormat="1" applyFill="1" applyBorder="1" applyAlignment="1">
      <alignment vertical="center" wrapText="1"/>
    </xf>
    <xf numFmtId="4" fontId="8" fillId="2" borderId="1" xfId="17" applyNumberFormat="1" applyFont="1" applyFill="1" applyBorder="1" applyAlignment="1" applyProtection="1">
      <alignment vertical="center"/>
      <protection locked="0"/>
    </xf>
    <xf numFmtId="49" fontId="8" fillId="3" borderId="1" xfId="17" quotePrefix="1" applyNumberFormat="1" applyFont="1" applyFill="1" applyBorder="1" applyAlignment="1">
      <alignment vertical="center"/>
    </xf>
    <xf numFmtId="0" fontId="8" fillId="3" borderId="1" xfId="17" applyFont="1" applyFill="1" applyBorder="1" applyAlignment="1">
      <alignment vertical="center"/>
    </xf>
    <xf numFmtId="0" fontId="3" fillId="3" borderId="1" xfId="17" applyFill="1" applyBorder="1" applyAlignment="1">
      <alignment vertical="center"/>
    </xf>
    <xf numFmtId="166" fontId="3" fillId="3" borderId="1" xfId="17" applyNumberFormat="1" applyFill="1" applyBorder="1" applyAlignment="1">
      <alignment vertical="center"/>
    </xf>
    <xf numFmtId="4" fontId="8" fillId="3" borderId="4" xfId="17" applyNumberFormat="1" applyFont="1" applyFill="1" applyBorder="1" applyAlignment="1" applyProtection="1">
      <alignment vertical="center"/>
      <protection locked="0"/>
    </xf>
    <xf numFmtId="0" fontId="17" fillId="0" borderId="1" xfId="17" applyFont="1" applyBorder="1" applyAlignment="1">
      <alignment vertical="top" wrapText="1"/>
    </xf>
    <xf numFmtId="0" fontId="5" fillId="0" borderId="1" xfId="17" applyFont="1" applyBorder="1" applyAlignment="1">
      <alignment horizontal="left" vertical="top" wrapText="1"/>
    </xf>
    <xf numFmtId="0" fontId="4" fillId="0" borderId="1" xfId="17" applyFont="1" applyBorder="1" applyAlignment="1">
      <alignment horizontal="left" vertical="center" wrapText="1"/>
    </xf>
    <xf numFmtId="0" fontId="2" fillId="0" borderId="13" xfId="1" applyFont="1" applyBorder="1" applyAlignment="1">
      <alignment horizontal="center" vertical="center"/>
    </xf>
    <xf numFmtId="0" fontId="2" fillId="0" borderId="1" xfId="9" applyFont="1" applyBorder="1" applyAlignment="1">
      <alignment horizontal="center" vertical="center" wrapText="1"/>
    </xf>
    <xf numFmtId="49" fontId="2" fillId="0" borderId="1" xfId="1" applyNumberFormat="1" applyFont="1" applyBorder="1" applyAlignment="1">
      <alignment horizontal="center" vertical="center"/>
    </xf>
    <xf numFmtId="49" fontId="2" fillId="0" borderId="1" xfId="1" applyNumberFormat="1" applyFont="1" applyBorder="1" applyAlignment="1">
      <alignment horizontal="center" vertical="top"/>
    </xf>
    <xf numFmtId="0" fontId="23" fillId="0" borderId="1" xfId="17" applyFont="1" applyBorder="1" applyAlignment="1">
      <alignment vertical="top" wrapText="1"/>
    </xf>
    <xf numFmtId="0" fontId="4" fillId="0" borderId="1" xfId="1" applyFont="1" applyBorder="1" applyAlignment="1">
      <alignment horizontal="left" vertical="center"/>
    </xf>
    <xf numFmtId="0" fontId="17" fillId="0" borderId="1" xfId="17" applyFont="1" applyBorder="1" applyAlignment="1">
      <alignment vertical="center" wrapText="1"/>
    </xf>
    <xf numFmtId="165" fontId="1" fillId="0" borderId="0" xfId="1" applyNumberFormat="1"/>
    <xf numFmtId="0" fontId="2" fillId="19" borderId="4" xfId="1" applyFont="1" applyFill="1" applyBorder="1" applyAlignment="1">
      <alignment horizontal="center" vertical="top"/>
    </xf>
    <xf numFmtId="0" fontId="4" fillId="19" borderId="3" xfId="1" applyFont="1" applyFill="1" applyBorder="1" applyAlignment="1">
      <alignment vertical="center"/>
    </xf>
    <xf numFmtId="166" fontId="4" fillId="19" borderId="3" xfId="3" applyNumberFormat="1" applyFont="1" applyFill="1" applyBorder="1" applyAlignment="1">
      <alignment vertical="center"/>
    </xf>
    <xf numFmtId="4" fontId="4" fillId="19" borderId="3" xfId="3" applyNumberFormat="1" applyFont="1" applyFill="1" applyBorder="1" applyAlignment="1" applyProtection="1">
      <alignment vertical="center"/>
      <protection locked="0"/>
    </xf>
    <xf numFmtId="49" fontId="8" fillId="19" borderId="4" xfId="5" applyNumberFormat="1" applyFont="1" applyFill="1" applyBorder="1" applyAlignment="1">
      <alignment horizontal="left" vertical="center"/>
    </xf>
    <xf numFmtId="0" fontId="5" fillId="19" borderId="3" xfId="5" applyFont="1" applyFill="1" applyBorder="1" applyAlignment="1">
      <alignment horizontal="left" vertical="center"/>
    </xf>
    <xf numFmtId="0" fontId="4" fillId="19" borderId="3" xfId="5" applyFont="1" applyFill="1" applyBorder="1" applyAlignment="1">
      <alignment horizontal="left" vertical="center"/>
    </xf>
    <xf numFmtId="166" fontId="4" fillId="19" borderId="3" xfId="5" applyNumberFormat="1" applyFont="1" applyFill="1" applyBorder="1" applyAlignment="1">
      <alignment horizontal="left" vertical="center"/>
    </xf>
    <xf numFmtId="0" fontId="5" fillId="19" borderId="3" xfId="17" applyFont="1" applyFill="1" applyBorder="1" applyAlignment="1">
      <alignment horizontal="left" vertical="center"/>
    </xf>
    <xf numFmtId="49" fontId="8" fillId="21" borderId="1" xfId="5" applyNumberFormat="1" applyFont="1" applyFill="1" applyBorder="1" applyAlignment="1">
      <alignment horizontal="left" vertical="center"/>
    </xf>
    <xf numFmtId="0" fontId="5" fillId="21" borderId="4" xfId="5" applyFont="1" applyFill="1" applyBorder="1" applyAlignment="1">
      <alignment horizontal="left" vertical="center"/>
    </xf>
    <xf numFmtId="0" fontId="4" fillId="21" borderId="3" xfId="5" applyFont="1" applyFill="1" applyBorder="1" applyAlignment="1">
      <alignment horizontal="left" vertical="center"/>
    </xf>
    <xf numFmtId="166" fontId="4" fillId="21" borderId="2" xfId="5" applyNumberFormat="1" applyFont="1" applyFill="1" applyBorder="1" applyAlignment="1">
      <alignment horizontal="left" vertical="center"/>
    </xf>
    <xf numFmtId="0" fontId="5" fillId="21" borderId="4" xfId="5" applyFont="1" applyFill="1" applyBorder="1" applyAlignment="1">
      <alignment horizontal="center" vertical="center"/>
    </xf>
    <xf numFmtId="0" fontId="4" fillId="21" borderId="3" xfId="5" applyFont="1" applyFill="1" applyBorder="1" applyAlignment="1">
      <alignment vertical="center"/>
    </xf>
    <xf numFmtId="166" fontId="4" fillId="21" borderId="2" xfId="5" applyNumberFormat="1" applyFont="1" applyFill="1" applyBorder="1" applyAlignment="1">
      <alignment vertical="center"/>
    </xf>
    <xf numFmtId="49" fontId="8" fillId="21" borderId="1" xfId="5" quotePrefix="1" applyNumberFormat="1" applyFont="1" applyFill="1" applyBorder="1" applyAlignment="1">
      <alignment horizontal="left"/>
    </xf>
    <xf numFmtId="0" fontId="5" fillId="21" borderId="1" xfId="5" applyFont="1" applyFill="1" applyBorder="1" applyAlignment="1">
      <alignment wrapText="1"/>
    </xf>
    <xf numFmtId="0" fontId="4" fillId="21" borderId="1" xfId="5" applyFont="1" applyFill="1" applyBorder="1" applyAlignment="1">
      <alignment vertical="center" wrapText="1"/>
    </xf>
    <xf numFmtId="166" fontId="4" fillId="21" borderId="1" xfId="5" applyNumberFormat="1" applyFont="1" applyFill="1" applyBorder="1" applyAlignment="1">
      <alignment vertical="center" wrapText="1"/>
    </xf>
    <xf numFmtId="0" fontId="6" fillId="22" borderId="1" xfId="1" applyFont="1" applyFill="1" applyBorder="1" applyAlignment="1">
      <alignment horizontal="center" vertical="center" wrapText="1"/>
    </xf>
    <xf numFmtId="0" fontId="5" fillId="22" borderId="1" xfId="1" applyFont="1" applyFill="1" applyBorder="1" applyAlignment="1">
      <alignment horizontal="center" vertical="center" wrapText="1"/>
    </xf>
    <xf numFmtId="0" fontId="5" fillId="22" borderId="1" xfId="1" applyFont="1" applyFill="1" applyBorder="1" applyAlignment="1">
      <alignment horizontal="justify" vertical="center" wrapText="1"/>
    </xf>
    <xf numFmtId="166" fontId="5" fillId="22" borderId="1" xfId="3" applyNumberFormat="1" applyFont="1" applyFill="1" applyBorder="1" applyAlignment="1">
      <alignment vertical="center"/>
    </xf>
    <xf numFmtId="4" fontId="5" fillId="22" borderId="1" xfId="3" applyNumberFormat="1" applyFont="1" applyFill="1" applyBorder="1" applyAlignment="1" applyProtection="1">
      <alignment horizontal="center" vertical="center" wrapText="1"/>
      <protection locked="0"/>
    </xf>
    <xf numFmtId="4" fontId="5" fillId="22" borderId="1" xfId="3" applyNumberFormat="1" applyFont="1" applyFill="1" applyBorder="1" applyAlignment="1">
      <alignment horizontal="center" vertical="center"/>
    </xf>
    <xf numFmtId="0" fontId="12" fillId="21" borderId="1" xfId="1" applyFont="1" applyFill="1" applyBorder="1" applyAlignment="1">
      <alignment horizontal="center" vertical="top"/>
    </xf>
    <xf numFmtId="0" fontId="11" fillId="21" borderId="1" xfId="1" applyFont="1" applyFill="1" applyBorder="1" applyAlignment="1">
      <alignment vertical="center"/>
    </xf>
    <xf numFmtId="0" fontId="9" fillId="21" borderId="1" xfId="1" applyFont="1" applyFill="1" applyBorder="1" applyAlignment="1">
      <alignment vertical="center"/>
    </xf>
    <xf numFmtId="166" fontId="9" fillId="21" borderId="1" xfId="3" applyNumberFormat="1" applyFont="1" applyFill="1" applyBorder="1" applyAlignment="1">
      <alignment vertical="center"/>
    </xf>
    <xf numFmtId="4" fontId="9" fillId="21" borderId="1" xfId="3" applyNumberFormat="1" applyFont="1" applyFill="1" applyBorder="1" applyAlignment="1" applyProtection="1">
      <alignment vertical="center"/>
      <protection locked="0"/>
    </xf>
    <xf numFmtId="4" fontId="9" fillId="21" borderId="1" xfId="3" applyNumberFormat="1" applyFont="1" applyFill="1" applyBorder="1" applyAlignment="1">
      <alignment vertical="center"/>
    </xf>
    <xf numFmtId="0" fontId="59" fillId="0" borderId="0" xfId="1" applyFont="1"/>
    <xf numFmtId="0" fontId="12" fillId="21" borderId="1" xfId="1" applyFont="1" applyFill="1" applyBorder="1" applyAlignment="1">
      <alignment wrapText="1"/>
    </xf>
    <xf numFmtId="0" fontId="9" fillId="21" borderId="1" xfId="1" applyFont="1" applyFill="1" applyBorder="1" applyAlignment="1">
      <alignment horizontal="center" vertical="center"/>
    </xf>
    <xf numFmtId="0" fontId="59" fillId="0" borderId="0" xfId="1" applyFont="1" applyAlignment="1">
      <alignment horizontal="justify" vertical="top" wrapText="1"/>
    </xf>
    <xf numFmtId="4" fontId="59" fillId="0" borderId="0" xfId="1" applyNumberFormat="1" applyFont="1" applyAlignment="1">
      <alignment horizontal="justify" vertical="top" wrapText="1"/>
    </xf>
    <xf numFmtId="4" fontId="59" fillId="0" borderId="0" xfId="1" applyNumberFormat="1" applyFont="1"/>
    <xf numFmtId="166" fontId="17" fillId="0" borderId="1" xfId="3" applyNumberFormat="1" applyFont="1" applyBorder="1" applyAlignment="1">
      <alignment horizontal="right" vertical="center"/>
    </xf>
    <xf numFmtId="0" fontId="3" fillId="0" borderId="1" xfId="1" applyFont="1" applyBorder="1" applyAlignment="1">
      <alignment horizontal="left" vertical="top"/>
    </xf>
    <xf numFmtId="165" fontId="4" fillId="0" borderId="4" xfId="2" applyFont="1" applyBorder="1" applyAlignment="1">
      <alignment vertical="center"/>
    </xf>
    <xf numFmtId="0" fontId="50" fillId="0" borderId="15" xfId="14" applyFont="1" applyBorder="1" applyAlignment="1">
      <alignment horizontal="left" vertical="center" wrapText="1"/>
    </xf>
    <xf numFmtId="16" fontId="6" fillId="21" borderId="1" xfId="1" applyNumberFormat="1" applyFont="1" applyFill="1" applyBorder="1" applyAlignment="1">
      <alignment horizontal="center" vertical="center"/>
    </xf>
    <xf numFmtId="0" fontId="5" fillId="21" borderId="1" xfId="1" applyFont="1" applyFill="1" applyBorder="1" applyAlignment="1">
      <alignment horizontal="justify" vertical="center" wrapText="1"/>
    </xf>
    <xf numFmtId="0" fontId="4" fillId="21" borderId="1" xfId="1" applyFont="1" applyFill="1" applyBorder="1" applyAlignment="1">
      <alignment horizontal="center" vertical="center"/>
    </xf>
    <xf numFmtId="166" fontId="4" fillId="21" borderId="1" xfId="3" applyNumberFormat="1" applyFont="1" applyFill="1" applyBorder="1" applyAlignment="1">
      <alignment vertical="center"/>
    </xf>
    <xf numFmtId="4" fontId="4" fillId="21" borderId="1" xfId="3" applyNumberFormat="1" applyFont="1" applyFill="1" applyBorder="1" applyAlignment="1" applyProtection="1">
      <alignment vertical="center"/>
      <protection locked="0"/>
    </xf>
    <xf numFmtId="165" fontId="5" fillId="21" borderId="1" xfId="2" applyFont="1" applyFill="1" applyBorder="1" applyAlignment="1">
      <alignment vertical="center"/>
    </xf>
    <xf numFmtId="0" fontId="59" fillId="0" borderId="0" xfId="1" applyFont="1" applyAlignment="1">
      <alignment vertical="center"/>
    </xf>
    <xf numFmtId="0" fontId="32" fillId="0" borderId="0" xfId="11"/>
    <xf numFmtId="0" fontId="60" fillId="0" borderId="0" xfId="11" applyFont="1" applyAlignment="1">
      <alignment horizontal="center" vertical="center"/>
    </xf>
    <xf numFmtId="0" fontId="60" fillId="0" borderId="0" xfId="11" applyFont="1"/>
    <xf numFmtId="4" fontId="4" fillId="0" borderId="14" xfId="10" applyNumberFormat="1" applyFont="1" applyBorder="1" applyAlignment="1">
      <alignment horizontal="center"/>
    </xf>
    <xf numFmtId="2" fontId="4" fillId="0" borderId="14" xfId="10" applyNumberFormat="1" applyFont="1" applyBorder="1" applyAlignment="1">
      <alignment horizontal="right"/>
    </xf>
    <xf numFmtId="0" fontId="4" fillId="17" borderId="0" xfId="10" applyFont="1" applyFill="1" applyProtection="1">
      <protection locked="0"/>
    </xf>
    <xf numFmtId="0" fontId="4" fillId="0" borderId="0" xfId="1" applyFont="1" applyAlignment="1">
      <alignment horizontal="left" vertical="center" wrapText="1"/>
    </xf>
    <xf numFmtId="0" fontId="4" fillId="17" borderId="0" xfId="10" applyFont="1" applyFill="1" applyAlignment="1" applyProtection="1">
      <alignment horizontal="left" vertical="center"/>
      <protection locked="0"/>
    </xf>
    <xf numFmtId="0" fontId="3" fillId="0" borderId="0" xfId="1" applyFont="1" applyAlignment="1">
      <alignment vertical="center"/>
    </xf>
    <xf numFmtId="0" fontId="17" fillId="0" borderId="0" xfId="11" applyFont="1" applyAlignment="1" applyProtection="1">
      <alignment vertical="center" wrapText="1"/>
      <protection locked="0"/>
    </xf>
    <xf numFmtId="0" fontId="62" fillId="0" borderId="0" xfId="10" applyFont="1" applyProtection="1">
      <protection locked="0"/>
    </xf>
    <xf numFmtId="172" fontId="56" fillId="0" borderId="0" xfId="27" applyNumberFormat="1" applyFont="1" applyAlignment="1">
      <alignment horizontal="left" vertical="center" wrapText="1"/>
    </xf>
    <xf numFmtId="0" fontId="15" fillId="19" borderId="3" xfId="28" applyFont="1" applyFill="1" applyBorder="1" applyAlignment="1">
      <alignment horizontal="left" vertical="center"/>
    </xf>
    <xf numFmtId="4" fontId="3" fillId="19" borderId="2" xfId="3" applyNumberFormat="1" applyFont="1" applyFill="1" applyBorder="1" applyAlignment="1">
      <alignment horizontal="right" vertical="center"/>
    </xf>
    <xf numFmtId="0" fontId="1" fillId="0" borderId="0" xfId="28"/>
    <xf numFmtId="49" fontId="8" fillId="0" borderId="5" xfId="28" applyNumberFormat="1" applyFont="1" applyBorder="1" applyAlignment="1">
      <alignment horizontal="left" vertical="center"/>
    </xf>
    <xf numFmtId="0" fontId="5" fillId="0" borderId="8" xfId="28" applyFont="1" applyBorder="1" applyAlignment="1">
      <alignment horizontal="left" vertical="center"/>
    </xf>
    <xf numFmtId="0" fontId="4" fillId="0" borderId="7" xfId="28" applyFont="1" applyBorder="1" applyAlignment="1">
      <alignment horizontal="left" vertical="center"/>
    </xf>
    <xf numFmtId="166" fontId="4" fillId="0" borderId="6" xfId="28" applyNumberFormat="1" applyFont="1" applyBorder="1" applyAlignment="1">
      <alignment horizontal="left" vertical="center"/>
    </xf>
    <xf numFmtId="4" fontId="4" fillId="0" borderId="5" xfId="28" applyNumberFormat="1" applyFont="1" applyBorder="1" applyAlignment="1" applyProtection="1">
      <alignment horizontal="left" vertical="center"/>
      <protection locked="0"/>
    </xf>
    <xf numFmtId="4" fontId="4" fillId="0" borderId="5" xfId="28" applyNumberFormat="1" applyFont="1" applyBorder="1" applyAlignment="1">
      <alignment horizontal="left" vertical="center"/>
    </xf>
    <xf numFmtId="49" fontId="8" fillId="16" borderId="1" xfId="28" applyNumberFormat="1" applyFont="1" applyFill="1" applyBorder="1" applyAlignment="1">
      <alignment horizontal="left" vertical="center"/>
    </xf>
    <xf numFmtId="0" fontId="14" fillId="16" borderId="4" xfId="28" applyFont="1" applyFill="1" applyBorder="1" applyAlignment="1">
      <alignment horizontal="left" vertical="center" wrapText="1"/>
    </xf>
    <xf numFmtId="0" fontId="4" fillId="16" borderId="3" xfId="28" applyFont="1" applyFill="1" applyBorder="1" applyAlignment="1">
      <alignment horizontal="center" vertical="center" wrapText="1"/>
    </xf>
    <xf numFmtId="166" fontId="4" fillId="16" borderId="3" xfId="28" applyNumberFormat="1" applyFont="1" applyFill="1" applyBorder="1" applyAlignment="1">
      <alignment horizontal="center" vertical="center" wrapText="1"/>
    </xf>
    <xf numFmtId="4" fontId="5" fillId="16" borderId="2" xfId="28" applyNumberFormat="1" applyFont="1" applyFill="1" applyBorder="1" applyAlignment="1" applyProtection="1">
      <alignment horizontal="center" vertical="center"/>
      <protection locked="0"/>
    </xf>
    <xf numFmtId="4" fontId="4" fillId="16" borderId="1" xfId="28" applyNumberFormat="1" applyFont="1" applyFill="1" applyBorder="1" applyAlignment="1">
      <alignment horizontal="left" vertical="center"/>
    </xf>
    <xf numFmtId="49" fontId="8" fillId="16" borderId="1" xfId="28" applyNumberFormat="1" applyFont="1" applyFill="1" applyBorder="1" applyAlignment="1">
      <alignment horizontal="center" vertical="center"/>
    </xf>
    <xf numFmtId="0" fontId="5" fillId="16" borderId="4" xfId="28" applyFont="1" applyFill="1" applyBorder="1" applyAlignment="1">
      <alignment horizontal="left" vertical="center" wrapText="1"/>
    </xf>
    <xf numFmtId="4" fontId="5" fillId="16" borderId="1" xfId="28" applyNumberFormat="1" applyFont="1" applyFill="1" applyBorder="1" applyAlignment="1">
      <alignment horizontal="center" vertical="center"/>
    </xf>
    <xf numFmtId="0" fontId="2" fillId="0" borderId="0" xfId="9" applyFont="1" applyAlignment="1">
      <alignment horizontal="center" vertical="top"/>
    </xf>
    <xf numFmtId="0" fontId="2" fillId="0" borderId="0" xfId="9" applyFont="1" applyAlignment="1">
      <alignment vertical="top" wrapText="1"/>
    </xf>
    <xf numFmtId="0" fontId="2" fillId="0" borderId="0" xfId="9" applyFont="1"/>
    <xf numFmtId="4" fontId="2" fillId="0" borderId="0" xfId="15" applyNumberFormat="1" applyFont="1" applyFill="1" applyBorder="1" applyAlignment="1"/>
    <xf numFmtId="165" fontId="2" fillId="0" borderId="0" xfId="15" applyFont="1" applyFill="1" applyBorder="1" applyAlignment="1"/>
    <xf numFmtId="4" fontId="2" fillId="0" borderId="0" xfId="9" applyNumberFormat="1" applyFont="1"/>
    <xf numFmtId="0" fontId="2" fillId="0" borderId="0" xfId="6" applyFont="1" applyAlignment="1">
      <alignment horizontal="center" vertical="top"/>
    </xf>
    <xf numFmtId="0" fontId="2" fillId="0" borderId="0" xfId="6" applyFont="1" applyAlignment="1">
      <alignment vertical="top" wrapText="1"/>
    </xf>
    <xf numFmtId="4" fontId="2" fillId="0" borderId="0" xfId="15" applyNumberFormat="1" applyFont="1" applyAlignment="1"/>
    <xf numFmtId="165" fontId="2" fillId="0" borderId="0" xfId="15" applyFont="1" applyFill="1" applyAlignment="1"/>
    <xf numFmtId="165" fontId="2" fillId="0" borderId="0" xfId="15" applyFont="1"/>
    <xf numFmtId="0" fontId="2" fillId="0" borderId="0" xfId="30" applyFont="1" applyAlignment="1">
      <alignment horizontal="center" vertical="top"/>
    </xf>
    <xf numFmtId="0" fontId="4" fillId="0" borderId="0" xfId="30" applyFont="1" applyAlignment="1">
      <alignment vertical="top" wrapText="1"/>
    </xf>
    <xf numFmtId="0" fontId="4" fillId="0" borderId="0" xfId="30" applyFont="1" applyAlignment="1">
      <alignment vertical="center"/>
    </xf>
    <xf numFmtId="166" fontId="4" fillId="0" borderId="0" xfId="15" applyNumberFormat="1" applyFont="1" applyFill="1" applyAlignment="1">
      <alignment vertical="center"/>
    </xf>
    <xf numFmtId="4" fontId="4" fillId="0" borderId="0" xfId="15" applyNumberFormat="1" applyFont="1" applyFill="1" applyAlignment="1" applyProtection="1">
      <alignment vertical="center"/>
      <protection locked="0"/>
    </xf>
    <xf numFmtId="4" fontId="4" fillId="0" borderId="0" xfId="15" applyNumberFormat="1" applyFont="1" applyFill="1" applyAlignment="1">
      <alignment vertical="center"/>
    </xf>
    <xf numFmtId="49" fontId="8" fillId="19" borderId="4" xfId="28" applyNumberFormat="1" applyFont="1" applyFill="1" applyBorder="1" applyAlignment="1">
      <alignment horizontal="left" vertical="center"/>
    </xf>
    <xf numFmtId="0" fontId="4" fillId="19" borderId="3" xfId="28" applyFont="1" applyFill="1" applyBorder="1" applyAlignment="1">
      <alignment horizontal="center" vertical="center"/>
    </xf>
    <xf numFmtId="166" fontId="4" fillId="19" borderId="3" xfId="28" applyNumberFormat="1" applyFont="1" applyFill="1" applyBorder="1" applyAlignment="1">
      <alignment horizontal="center" vertical="center"/>
    </xf>
    <xf numFmtId="4" fontId="4" fillId="19" borderId="3" xfId="28" applyNumberFormat="1" applyFont="1" applyFill="1" applyBorder="1" applyAlignment="1" applyProtection="1">
      <alignment horizontal="center" vertical="center"/>
      <protection locked="0"/>
    </xf>
    <xf numFmtId="4" fontId="4" fillId="19" borderId="2" xfId="28" applyNumberFormat="1" applyFont="1" applyFill="1" applyBorder="1" applyAlignment="1">
      <alignment horizontal="left" vertical="center"/>
    </xf>
    <xf numFmtId="49" fontId="8" fillId="0" borderId="0" xfId="28" applyNumberFormat="1" applyFont="1" applyAlignment="1">
      <alignment horizontal="left" vertical="center"/>
    </xf>
    <xf numFmtId="0" fontId="5" fillId="0" borderId="0" xfId="28" applyFont="1" applyAlignment="1">
      <alignment horizontal="center" vertical="center"/>
    </xf>
    <xf numFmtId="0" fontId="4" fillId="0" borderId="0" xfId="28" applyFont="1" applyAlignment="1">
      <alignment horizontal="center" vertical="center"/>
    </xf>
    <xf numFmtId="166" fontId="4" fillId="0" borderId="0" xfId="28" applyNumberFormat="1" applyFont="1" applyAlignment="1">
      <alignment horizontal="center" vertical="center"/>
    </xf>
    <xf numFmtId="4" fontId="4" fillId="0" borderId="0" xfId="28" applyNumberFormat="1" applyFont="1" applyAlignment="1" applyProtection="1">
      <alignment horizontal="center" vertical="center"/>
      <protection locked="0"/>
    </xf>
    <xf numFmtId="4" fontId="4" fillId="0" borderId="0" xfId="28" applyNumberFormat="1" applyFont="1" applyAlignment="1">
      <alignment horizontal="left" vertical="center"/>
    </xf>
    <xf numFmtId="0" fontId="5" fillId="0" borderId="0" xfId="28" applyFont="1" applyAlignment="1">
      <alignment horizontal="left" vertical="center"/>
    </xf>
    <xf numFmtId="0" fontId="4" fillId="0" borderId="0" xfId="28" applyFont="1" applyAlignment="1">
      <alignment horizontal="left" vertical="center"/>
    </xf>
    <xf numFmtId="166" fontId="4" fillId="0" borderId="0" xfId="28" applyNumberFormat="1" applyFont="1" applyAlignment="1">
      <alignment horizontal="left" vertical="center"/>
    </xf>
    <xf numFmtId="4" fontId="4" fillId="0" borderId="0" xfId="28" applyNumberFormat="1" applyFont="1" applyAlignment="1" applyProtection="1">
      <alignment horizontal="left" vertical="center"/>
      <protection locked="0"/>
    </xf>
    <xf numFmtId="4" fontId="4" fillId="0" borderId="12" xfId="28" applyNumberFormat="1" applyFont="1" applyBorder="1" applyAlignment="1">
      <alignment horizontal="left" vertical="center"/>
    </xf>
    <xf numFmtId="0" fontId="3" fillId="20" borderId="11" xfId="31" applyFill="1" applyBorder="1"/>
    <xf numFmtId="0" fontId="4" fillId="20" borderId="10" xfId="31" applyFont="1" applyFill="1" applyBorder="1"/>
    <xf numFmtId="0" fontId="4" fillId="20" borderId="10" xfId="31" applyFont="1" applyFill="1" applyBorder="1" applyAlignment="1">
      <alignment vertical="center"/>
    </xf>
    <xf numFmtId="0" fontId="4" fillId="20" borderId="9" xfId="31" applyFont="1" applyFill="1" applyBorder="1" applyAlignment="1">
      <alignment vertical="center"/>
    </xf>
    <xf numFmtId="0" fontId="8" fillId="20" borderId="8" xfId="31" applyFont="1" applyFill="1" applyBorder="1"/>
    <xf numFmtId="0" fontId="4" fillId="20" borderId="7" xfId="31" applyFont="1" applyFill="1" applyBorder="1"/>
    <xf numFmtId="0" fontId="4" fillId="20" borderId="6" xfId="31" applyFont="1" applyFill="1" applyBorder="1" applyAlignment="1">
      <alignment vertical="center"/>
    </xf>
    <xf numFmtId="0" fontId="4" fillId="20" borderId="7" xfId="31" applyFont="1" applyFill="1" applyBorder="1" applyAlignment="1">
      <alignment vertical="center"/>
    </xf>
    <xf numFmtId="49" fontId="8" fillId="21" borderId="1" xfId="28" applyNumberFormat="1" applyFont="1" applyFill="1" applyBorder="1" applyAlignment="1">
      <alignment horizontal="left" vertical="center"/>
    </xf>
    <xf numFmtId="0" fontId="14" fillId="21" borderId="4" xfId="28" applyFont="1" applyFill="1" applyBorder="1" applyAlignment="1">
      <alignment horizontal="left" vertical="center"/>
    </xf>
    <xf numFmtId="0" fontId="4" fillId="21" borderId="3" xfId="28" applyFont="1" applyFill="1" applyBorder="1" applyAlignment="1">
      <alignment horizontal="left" vertical="center"/>
    </xf>
    <xf numFmtId="166" fontId="4" fillId="21" borderId="2" xfId="28" applyNumberFormat="1" applyFont="1" applyFill="1" applyBorder="1" applyAlignment="1">
      <alignment horizontal="left" vertical="center"/>
    </xf>
    <xf numFmtId="4" fontId="4" fillId="21" borderId="1" xfId="28" applyNumberFormat="1" applyFont="1" applyFill="1" applyBorder="1" applyAlignment="1" applyProtection="1">
      <alignment horizontal="left" vertical="center"/>
      <protection locked="0"/>
    </xf>
    <xf numFmtId="4" fontId="4" fillId="21" borderId="1" xfId="28" applyNumberFormat="1" applyFont="1" applyFill="1" applyBorder="1" applyAlignment="1">
      <alignment horizontal="left" vertical="center"/>
    </xf>
    <xf numFmtId="49" fontId="8" fillId="21" borderId="1" xfId="28" applyNumberFormat="1" applyFont="1" applyFill="1" applyBorder="1" applyAlignment="1">
      <alignment horizontal="center" vertical="center"/>
    </xf>
    <xf numFmtId="0" fontId="8" fillId="21" borderId="4" xfId="28" applyFont="1" applyFill="1" applyBorder="1" applyAlignment="1">
      <alignment horizontal="center" vertical="center"/>
    </xf>
    <xf numFmtId="0" fontId="3" fillId="21" borderId="3" xfId="28" applyFont="1" applyFill="1" applyBorder="1" applyAlignment="1">
      <alignment vertical="center"/>
    </xf>
    <xf numFmtId="166" fontId="3" fillId="21" borderId="2" xfId="28" applyNumberFormat="1" applyFont="1" applyFill="1" applyBorder="1" applyAlignment="1">
      <alignment vertical="center"/>
    </xf>
    <xf numFmtId="4" fontId="8" fillId="21" borderId="1" xfId="28" applyNumberFormat="1" applyFont="1" applyFill="1" applyBorder="1" applyAlignment="1" applyProtection="1">
      <alignment horizontal="center" vertical="center"/>
      <protection locked="0"/>
    </xf>
    <xf numFmtId="4" fontId="8" fillId="21" borderId="1" xfId="28" applyNumberFormat="1" applyFont="1" applyFill="1" applyBorder="1" applyAlignment="1">
      <alignment horizontal="center" vertical="center"/>
    </xf>
    <xf numFmtId="49" fontId="8" fillId="21" borderId="1" xfId="28" quotePrefix="1" applyNumberFormat="1" applyFont="1" applyFill="1" applyBorder="1" applyAlignment="1">
      <alignment vertical="center"/>
    </xf>
    <xf numFmtId="0" fontId="8" fillId="21" borderId="1" xfId="28" applyFont="1" applyFill="1" applyBorder="1" applyAlignment="1">
      <alignment vertical="center" wrapText="1"/>
    </xf>
    <xf numFmtId="0" fontId="3" fillId="21" borderId="1" xfId="28" applyFont="1" applyFill="1" applyBorder="1" applyAlignment="1">
      <alignment vertical="center" wrapText="1"/>
    </xf>
    <xf numFmtId="166" fontId="3" fillId="21" borderId="1" xfId="28" applyNumberFormat="1" applyFont="1" applyFill="1" applyBorder="1" applyAlignment="1">
      <alignment vertical="center" wrapText="1"/>
    </xf>
    <xf numFmtId="4" fontId="8" fillId="21" borderId="1" xfId="28" applyNumberFormat="1" applyFont="1" applyFill="1" applyBorder="1" applyAlignment="1" applyProtection="1">
      <alignment vertical="center"/>
      <protection locked="0"/>
    </xf>
    <xf numFmtId="165" fontId="8" fillId="21" borderId="1" xfId="15" applyFont="1" applyFill="1" applyBorder="1" applyAlignment="1" applyProtection="1">
      <alignment vertical="center"/>
    </xf>
    <xf numFmtId="0" fontId="6" fillId="0" borderId="0" xfId="9" applyFont="1" applyAlignment="1">
      <alignment horizontal="center"/>
    </xf>
    <xf numFmtId="0" fontId="6" fillId="0" borderId="0" xfId="9" applyFont="1" applyAlignment="1">
      <alignment wrapText="1"/>
    </xf>
    <xf numFmtId="4" fontId="6" fillId="0" borderId="0" xfId="15" applyNumberFormat="1" applyFont="1" applyFill="1" applyBorder="1"/>
    <xf numFmtId="165" fontId="6" fillId="0" borderId="0" xfId="15" applyFont="1" applyFill="1" applyBorder="1"/>
    <xf numFmtId="0" fontId="6" fillId="0" borderId="0" xfId="9" applyFont="1" applyAlignment="1">
      <alignment horizontal="center" vertical="top"/>
    </xf>
    <xf numFmtId="4" fontId="6" fillId="0" borderId="0" xfId="15" applyNumberFormat="1" applyFont="1" applyBorder="1"/>
    <xf numFmtId="165" fontId="2" fillId="0" borderId="0" xfId="15" applyFont="1" applyBorder="1"/>
    <xf numFmtId="0" fontId="6" fillId="22" borderId="1" xfId="30" applyFont="1" applyFill="1" applyBorder="1" applyAlignment="1">
      <alignment horizontal="center" vertical="center" wrapText="1"/>
    </xf>
    <xf numFmtId="0" fontId="5" fillId="22" borderId="1" xfId="30" applyFont="1" applyFill="1" applyBorder="1" applyAlignment="1">
      <alignment horizontal="center" vertical="center" wrapText="1"/>
    </xf>
    <xf numFmtId="0" fontId="5" fillId="22" borderId="1" xfId="30" applyFont="1" applyFill="1" applyBorder="1" applyAlignment="1">
      <alignment horizontal="justify" vertical="center" wrapText="1"/>
    </xf>
    <xf numFmtId="166" fontId="5" fillId="22" borderId="1" xfId="15" applyNumberFormat="1" applyFont="1" applyFill="1" applyBorder="1" applyAlignment="1">
      <alignment vertical="center"/>
    </xf>
    <xf numFmtId="4" fontId="5" fillId="22" borderId="1" xfId="15" applyNumberFormat="1" applyFont="1" applyFill="1" applyBorder="1" applyAlignment="1" applyProtection="1">
      <alignment horizontal="center" vertical="center" wrapText="1"/>
      <protection locked="0"/>
    </xf>
    <xf numFmtId="4" fontId="5" fillId="22" borderId="1" xfId="15" applyNumberFormat="1" applyFont="1" applyFill="1" applyBorder="1" applyAlignment="1">
      <alignment horizontal="center" vertical="center"/>
    </xf>
    <xf numFmtId="0" fontId="2" fillId="0" borderId="1" xfId="30" applyFont="1" applyBorder="1" applyAlignment="1">
      <alignment horizontal="center" vertical="top"/>
    </xf>
    <xf numFmtId="0" fontId="4" fillId="0" borderId="1" xfId="30" applyFont="1" applyBorder="1" applyAlignment="1">
      <alignment vertical="top" wrapText="1"/>
    </xf>
    <xf numFmtId="0" fontId="4" fillId="0" borderId="1" xfId="30" applyFont="1" applyBorder="1" applyAlignment="1">
      <alignment vertical="center"/>
    </xf>
    <xf numFmtId="166" fontId="4" fillId="0" borderId="1" xfId="15" applyNumberFormat="1" applyFont="1" applyFill="1" applyBorder="1" applyAlignment="1">
      <alignment vertical="center"/>
    </xf>
    <xf numFmtId="4" fontId="4" fillId="0" borderId="1" xfId="15" applyNumberFormat="1" applyFont="1" applyFill="1" applyBorder="1" applyAlignment="1" applyProtection="1">
      <alignment vertical="center"/>
      <protection locked="0"/>
    </xf>
    <xf numFmtId="4" fontId="4" fillId="0" borderId="1" xfId="15" applyNumberFormat="1" applyFont="1" applyFill="1" applyBorder="1" applyAlignment="1">
      <alignment vertical="center"/>
    </xf>
    <xf numFmtId="0" fontId="12" fillId="21" borderId="1" xfId="30" applyFont="1" applyFill="1" applyBorder="1" applyAlignment="1">
      <alignment horizontal="center" vertical="top"/>
    </xf>
    <xf numFmtId="0" fontId="11" fillId="21" borderId="1" xfId="30" applyFont="1" applyFill="1" applyBorder="1" applyAlignment="1">
      <alignment vertical="center"/>
    </xf>
    <xf numFmtId="0" fontId="9" fillId="21" borderId="1" xfId="30" applyFont="1" applyFill="1" applyBorder="1" applyAlignment="1">
      <alignment vertical="center"/>
    </xf>
    <xf numFmtId="166" fontId="9" fillId="21" borderId="1" xfId="15" applyNumberFormat="1" applyFont="1" applyFill="1" applyBorder="1" applyAlignment="1">
      <alignment vertical="center"/>
    </xf>
    <xf numFmtId="4" fontId="9" fillId="21" borderId="1" xfId="15" applyNumberFormat="1" applyFont="1" applyFill="1" applyBorder="1" applyAlignment="1" applyProtection="1">
      <alignment vertical="center"/>
      <protection locked="0"/>
    </xf>
    <xf numFmtId="4" fontId="9" fillId="21" borderId="1" xfId="15" applyNumberFormat="1" applyFont="1" applyFill="1" applyBorder="1" applyAlignment="1">
      <alignment vertical="center"/>
    </xf>
    <xf numFmtId="0" fontId="12" fillId="0" borderId="1" xfId="30" applyFont="1" applyBorder="1" applyAlignment="1">
      <alignment horizontal="center" vertical="top"/>
    </xf>
    <xf numFmtId="0" fontId="11" fillId="0" borderId="1" xfId="30" applyFont="1" applyBorder="1" applyAlignment="1">
      <alignment vertical="center"/>
    </xf>
    <xf numFmtId="0" fontId="9" fillId="0" borderId="1" xfId="30" applyFont="1" applyBorder="1" applyAlignment="1">
      <alignment vertical="center"/>
    </xf>
    <xf numFmtId="166" fontId="9" fillId="0" borderId="1" xfId="15" applyNumberFormat="1" applyFont="1" applyFill="1" applyBorder="1" applyAlignment="1">
      <alignment vertical="center"/>
    </xf>
    <xf numFmtId="4" fontId="9" fillId="0" borderId="1" xfId="15" applyNumberFormat="1" applyFont="1" applyFill="1" applyBorder="1" applyAlignment="1" applyProtection="1">
      <alignment vertical="center"/>
      <protection locked="0"/>
    </xf>
    <xf numFmtId="4" fontId="9" fillId="0" borderId="1" xfId="15" applyNumberFormat="1" applyFont="1" applyFill="1" applyBorder="1" applyAlignment="1">
      <alignment vertical="center"/>
    </xf>
    <xf numFmtId="0" fontId="2" fillId="0" borderId="1" xfId="6" applyFont="1" applyBorder="1" applyAlignment="1">
      <alignment horizontal="center" vertical="top"/>
    </xf>
    <xf numFmtId="0" fontId="2" fillId="0" borderId="1" xfId="30" applyFont="1" applyBorder="1" applyAlignment="1">
      <alignment horizontal="justify" vertical="top" wrapText="1"/>
    </xf>
    <xf numFmtId="0" fontId="2" fillId="0" borderId="1" xfId="30" applyFont="1" applyBorder="1" applyAlignment="1">
      <alignment horizontal="center" vertical="center"/>
    </xf>
    <xf numFmtId="166" fontId="2" fillId="0" borderId="1" xfId="15" applyNumberFormat="1" applyFont="1" applyFill="1" applyBorder="1" applyAlignment="1">
      <alignment vertical="center"/>
    </xf>
    <xf numFmtId="165" fontId="2" fillId="0" borderId="1" xfId="15" applyFont="1" applyFill="1" applyBorder="1" applyAlignment="1" applyProtection="1">
      <alignment vertical="center"/>
      <protection locked="0"/>
    </xf>
    <xf numFmtId="165" fontId="2" fillId="0" borderId="1" xfId="15" applyFont="1" applyFill="1" applyBorder="1" applyAlignment="1">
      <alignment vertical="center"/>
    </xf>
    <xf numFmtId="0" fontId="2" fillId="0" borderId="1" xfId="6" applyFont="1" applyBorder="1" applyAlignment="1">
      <alignment horizontal="center" vertical="top" wrapText="1"/>
    </xf>
    <xf numFmtId="0" fontId="3" fillId="0" borderId="1" xfId="30" applyFont="1" applyBorder="1" applyAlignment="1">
      <alignment horizontal="left" vertical="top" wrapText="1"/>
    </xf>
    <xf numFmtId="0" fontId="2" fillId="0" borderId="1" xfId="28" applyFont="1" applyBorder="1" applyAlignment="1">
      <alignment horizontal="center" wrapText="1"/>
    </xf>
    <xf numFmtId="4" fontId="2" fillId="0" borderId="1" xfId="15" applyNumberFormat="1" applyFont="1" applyBorder="1" applyAlignment="1"/>
    <xf numFmtId="165" fontId="2" fillId="0" borderId="1" xfId="15" applyFont="1" applyBorder="1"/>
    <xf numFmtId="0" fontId="2" fillId="0" borderId="1" xfId="9" applyFont="1" applyBorder="1" applyAlignment="1">
      <alignment horizontal="center" vertical="top" wrapText="1"/>
    </xf>
    <xf numFmtId="0" fontId="2" fillId="0" borderId="1" xfId="9" applyFont="1" applyBorder="1" applyAlignment="1">
      <alignment horizontal="justify" vertical="top" wrapText="1"/>
    </xf>
    <xf numFmtId="0" fontId="2" fillId="0" borderId="1" xfId="9" applyFont="1" applyBorder="1" applyAlignment="1">
      <alignment horizontal="center" wrapText="1"/>
    </xf>
    <xf numFmtId="4" fontId="2" fillId="0" borderId="1" xfId="15" applyNumberFormat="1" applyFont="1" applyFill="1" applyBorder="1" applyAlignment="1"/>
    <xf numFmtId="165" fontId="2" fillId="0" borderId="1" xfId="15" applyFont="1" applyFill="1" applyBorder="1" applyAlignment="1"/>
    <xf numFmtId="0" fontId="2" fillId="0" borderId="1" xfId="9" applyFont="1" applyBorder="1" applyAlignment="1">
      <alignment horizontal="center" vertical="top"/>
    </xf>
    <xf numFmtId="0" fontId="2" fillId="0" borderId="1" xfId="9" applyFont="1" applyBorder="1" applyAlignment="1">
      <alignment horizontal="center"/>
    </xf>
    <xf numFmtId="173" fontId="2" fillId="0" borderId="1" xfId="15" applyNumberFormat="1" applyFont="1" applyFill="1" applyBorder="1" applyAlignment="1"/>
    <xf numFmtId="0" fontId="2" fillId="0" borderId="1" xfId="9" applyFont="1" applyBorder="1" applyAlignment="1">
      <alignment vertical="top" wrapText="1"/>
    </xf>
    <xf numFmtId="0" fontId="2" fillId="0" borderId="0" xfId="6" applyFont="1" applyAlignment="1">
      <alignment horizontal="center" vertical="top" wrapText="1"/>
    </xf>
    <xf numFmtId="0" fontId="3" fillId="0" borderId="0" xfId="28" applyFont="1" applyAlignment="1">
      <alignment horizontal="justify" vertical="top" wrapText="1"/>
    </xf>
    <xf numFmtId="0" fontId="2" fillId="0" borderId="0" xfId="28" applyFont="1" applyAlignment="1">
      <alignment horizontal="center" wrapText="1"/>
    </xf>
    <xf numFmtId="4" fontId="2" fillId="0" borderId="0" xfId="15" applyNumberFormat="1" applyFont="1" applyBorder="1" applyAlignment="1"/>
    <xf numFmtId="4" fontId="3" fillId="0" borderId="0" xfId="15" applyNumberFormat="1" applyFont="1" applyFill="1" applyBorder="1" applyAlignment="1" applyProtection="1">
      <alignment horizontal="right"/>
      <protection locked="0"/>
    </xf>
    <xf numFmtId="4" fontId="3" fillId="0" borderId="0" xfId="15" applyNumberFormat="1" applyFont="1" applyFill="1" applyBorder="1" applyAlignment="1">
      <alignment horizontal="right"/>
    </xf>
    <xf numFmtId="16" fontId="2" fillId="0" borderId="1" xfId="9" applyNumberFormat="1" applyFont="1" applyBorder="1" applyAlignment="1">
      <alignment horizontal="center" vertical="top" wrapText="1"/>
    </xf>
    <xf numFmtId="49" fontId="2" fillId="0" borderId="1" xfId="9" applyNumberFormat="1" applyFont="1" applyBorder="1" applyAlignment="1">
      <alignment horizontal="center" vertical="top"/>
    </xf>
    <xf numFmtId="0" fontId="2" fillId="0" borderId="1" xfId="9" applyFont="1" applyBorder="1"/>
    <xf numFmtId="49" fontId="2" fillId="0" borderId="0" xfId="6" applyNumberFormat="1" applyFont="1" applyAlignment="1">
      <alignment horizontal="center" vertical="top" wrapText="1"/>
    </xf>
    <xf numFmtId="0" fontId="3" fillId="0" borderId="0" xfId="31" applyAlignment="1">
      <alignment wrapText="1"/>
    </xf>
    <xf numFmtId="0" fontId="2" fillId="0" borderId="0" xfId="6" applyFont="1" applyAlignment="1">
      <alignment horizontal="center" wrapText="1"/>
    </xf>
    <xf numFmtId="49" fontId="2" fillId="0" borderId="1" xfId="6" applyNumberFormat="1" applyFont="1" applyBorder="1" applyAlignment="1">
      <alignment horizontal="center" vertical="top" wrapText="1"/>
    </xf>
    <xf numFmtId="0" fontId="3" fillId="0" borderId="1" xfId="31" applyBorder="1" applyAlignment="1">
      <alignment wrapText="1"/>
    </xf>
    <xf numFmtId="0" fontId="2" fillId="0" borderId="1" xfId="6" applyFont="1" applyBorder="1" applyAlignment="1">
      <alignment horizontal="center" wrapText="1"/>
    </xf>
    <xf numFmtId="0" fontId="63" fillId="0" borderId="1" xfId="28" applyFont="1" applyBorder="1" applyAlignment="1">
      <alignment vertical="top" wrapText="1"/>
    </xf>
    <xf numFmtId="0" fontId="2" fillId="0" borderId="1" xfId="6" applyFont="1" applyBorder="1" applyAlignment="1">
      <alignment horizontal="center" vertical="center" wrapText="1"/>
    </xf>
    <xf numFmtId="165" fontId="4" fillId="0" borderId="1" xfId="15" applyFont="1" applyFill="1" applyBorder="1" applyAlignment="1" applyProtection="1">
      <alignment vertical="center"/>
      <protection locked="0"/>
    </xf>
    <xf numFmtId="165" fontId="4" fillId="0" borderId="1" xfId="15" applyFont="1" applyFill="1" applyBorder="1" applyAlignment="1">
      <alignment vertical="center"/>
    </xf>
    <xf numFmtId="0" fontId="17" fillId="0" borderId="1" xfId="28" applyFont="1" applyBorder="1" applyAlignment="1">
      <alignment vertical="top" wrapText="1"/>
    </xf>
    <xf numFmtId="0" fontId="21" fillId="0" borderId="1" xfId="28" applyFont="1" applyBorder="1" applyAlignment="1">
      <alignment vertical="top" wrapText="1"/>
    </xf>
    <xf numFmtId="4" fontId="2" fillId="0" borderId="1" xfId="15" applyNumberFormat="1" applyFont="1" applyBorder="1" applyAlignment="1">
      <alignment wrapText="1"/>
    </xf>
    <xf numFmtId="165" fontId="2" fillId="0" borderId="1" xfId="15" applyFont="1" applyFill="1" applyBorder="1" applyAlignment="1">
      <alignment wrapText="1"/>
    </xf>
    <xf numFmtId="0" fontId="6" fillId="21" borderId="1" xfId="30" applyFont="1" applyFill="1" applyBorder="1" applyAlignment="1">
      <alignment horizontal="center" vertical="center"/>
    </xf>
    <xf numFmtId="0" fontId="6" fillId="21" borderId="1" xfId="30" applyFont="1" applyFill="1" applyBorder="1" applyAlignment="1">
      <alignment vertical="center"/>
    </xf>
    <xf numFmtId="166" fontId="6" fillId="21" borderId="1" xfId="15" applyNumberFormat="1" applyFont="1" applyFill="1" applyBorder="1" applyAlignment="1">
      <alignment vertical="center"/>
    </xf>
    <xf numFmtId="4" fontId="6" fillId="21" borderId="1" xfId="15" applyNumberFormat="1" applyFont="1" applyFill="1" applyBorder="1" applyAlignment="1" applyProtection="1">
      <alignment vertical="center"/>
      <protection locked="0"/>
    </xf>
    <xf numFmtId="165" fontId="6" fillId="21" borderId="1" xfId="15" applyFont="1" applyFill="1" applyBorder="1" applyAlignment="1">
      <alignment vertical="center"/>
    </xf>
    <xf numFmtId="0" fontId="4" fillId="0" borderId="1" xfId="30" applyFont="1" applyBorder="1" applyAlignment="1">
      <alignment wrapText="1"/>
    </xf>
    <xf numFmtId="0" fontId="4" fillId="0" borderId="1" xfId="30" applyFont="1" applyBorder="1" applyAlignment="1">
      <alignment horizontal="center" vertical="center"/>
    </xf>
    <xf numFmtId="0" fontId="12" fillId="21" borderId="1" xfId="30" applyFont="1" applyFill="1" applyBorder="1" applyAlignment="1">
      <alignment wrapText="1"/>
    </xf>
    <xf numFmtId="0" fontId="9" fillId="21" borderId="1" xfId="30" applyFont="1" applyFill="1" applyBorder="1" applyAlignment="1">
      <alignment horizontal="center" vertical="center"/>
    </xf>
    <xf numFmtId="173" fontId="2" fillId="0" borderId="0" xfId="9" applyNumberFormat="1" applyFont="1"/>
    <xf numFmtId="0" fontId="2" fillId="0" borderId="1" xfId="9" applyFont="1" applyBorder="1" applyAlignment="1">
      <alignment horizontal="justify" wrapText="1"/>
    </xf>
    <xf numFmtId="49" fontId="63" fillId="0" borderId="1" xfId="7" applyNumberFormat="1" applyFont="1" applyBorder="1" applyAlignment="1">
      <alignment horizontal="center" vertical="top" wrapText="1"/>
    </xf>
    <xf numFmtId="0" fontId="63" fillId="0" borderId="1" xfId="9" applyFont="1" applyBorder="1" applyAlignment="1">
      <alignment horizontal="justify" wrapText="1"/>
    </xf>
    <xf numFmtId="49" fontId="63" fillId="0" borderId="1" xfId="7" applyNumberFormat="1" applyFont="1" applyBorder="1" applyAlignment="1">
      <alignment horizontal="center" wrapText="1"/>
    </xf>
    <xf numFmtId="4" fontId="63" fillId="0" borderId="1" xfId="15" applyNumberFormat="1" applyFont="1" applyFill="1" applyBorder="1" applyAlignment="1">
      <alignment horizontal="right" wrapText="1"/>
    </xf>
    <xf numFmtId="0" fontId="2" fillId="0" borderId="1" xfId="6" applyFont="1" applyBorder="1" applyAlignment="1">
      <alignment horizontal="justify" vertical="top" wrapText="1"/>
    </xf>
    <xf numFmtId="2" fontId="2" fillId="0" borderId="0" xfId="9" applyNumberFormat="1" applyFont="1"/>
    <xf numFmtId="174" fontId="2" fillId="0" borderId="0" xfId="9" applyNumberFormat="1" applyFont="1"/>
    <xf numFmtId="0" fontId="21" fillId="0" borderId="1" xfId="28" applyFont="1" applyBorder="1" applyAlignment="1">
      <alignment horizontal="justify" vertical="top"/>
    </xf>
    <xf numFmtId="0" fontId="3" fillId="0" borderId="1" xfId="28" applyFont="1" applyBorder="1" applyAlignment="1">
      <alignment horizontal="center" wrapText="1"/>
    </xf>
    <xf numFmtId="49" fontId="2" fillId="0" borderId="1" xfId="9" applyNumberFormat="1" applyFont="1" applyBorder="1" applyAlignment="1">
      <alignment horizontal="center" vertical="top" wrapText="1"/>
    </xf>
    <xf numFmtId="0" fontId="4" fillId="0" borderId="0" xfId="7" applyFont="1" applyAlignment="1">
      <alignment horizontal="center" vertical="top"/>
    </xf>
    <xf numFmtId="0" fontId="63" fillId="0" borderId="0" xfId="28" applyFont="1" applyAlignment="1">
      <alignment horizontal="center" vertical="top" wrapText="1"/>
    </xf>
    <xf numFmtId="0" fontId="63" fillId="0" borderId="0" xfId="28" applyFont="1" applyAlignment="1">
      <alignment horizontal="justify" vertical="top" wrapText="1"/>
    </xf>
    <xf numFmtId="0" fontId="63" fillId="0" borderId="0" xfId="28" applyFont="1" applyAlignment="1">
      <alignment horizontal="center" wrapText="1"/>
    </xf>
    <xf numFmtId="4" fontId="4" fillId="0" borderId="0" xfId="7" applyNumberFormat="1" applyFont="1"/>
    <xf numFmtId="0" fontId="4" fillId="0" borderId="1" xfId="30" applyFont="1" applyBorder="1" applyAlignment="1">
      <alignment horizontal="left" vertical="top" wrapText="1"/>
    </xf>
    <xf numFmtId="16" fontId="66" fillId="0" borderId="0" xfId="28" applyNumberFormat="1" applyFont="1" applyAlignment="1">
      <alignment vertical="top"/>
    </xf>
    <xf numFmtId="0" fontId="66" fillId="0" borderId="0" xfId="28" applyFont="1" applyAlignment="1">
      <alignment horizontal="center" vertical="top" wrapText="1"/>
    </xf>
    <xf numFmtId="0" fontId="66" fillId="0" borderId="0" xfId="28" applyFont="1" applyAlignment="1">
      <alignment horizontal="justify" vertical="top" wrapText="1"/>
    </xf>
    <xf numFmtId="0" fontId="66" fillId="0" borderId="0" xfId="28" applyFont="1" applyAlignment="1">
      <alignment horizontal="center" wrapText="1"/>
    </xf>
    <xf numFmtId="165" fontId="66" fillId="0" borderId="0" xfId="15" applyFont="1" applyFill="1" applyBorder="1" applyAlignment="1"/>
    <xf numFmtId="0" fontId="2" fillId="0" borderId="1" xfId="9" applyFont="1" applyBorder="1" applyAlignment="1">
      <alignment wrapText="1"/>
    </xf>
    <xf numFmtId="165" fontId="2" fillId="0" borderId="1" xfId="15" applyFont="1" applyBorder="1" applyAlignment="1"/>
    <xf numFmtId="49" fontId="2" fillId="0" borderId="0" xfId="9" applyNumberFormat="1" applyFont="1" applyAlignment="1">
      <alignment horizontal="center" vertical="top" wrapText="1"/>
    </xf>
    <xf numFmtId="0" fontId="2" fillId="0" borderId="0" xfId="9" applyFont="1" applyAlignment="1">
      <alignment horizontal="justify" vertical="top" wrapText="1"/>
    </xf>
    <xf numFmtId="0" fontId="2" fillId="0" borderId="0" xfId="9" applyFont="1" applyAlignment="1">
      <alignment horizontal="center"/>
    </xf>
    <xf numFmtId="4" fontId="2" fillId="0" borderId="0" xfId="15" applyNumberFormat="1" applyFont="1" applyFill="1" applyAlignment="1"/>
    <xf numFmtId="165" fontId="2" fillId="0" borderId="0" xfId="15" applyFont="1" applyFill="1"/>
    <xf numFmtId="0" fontId="3" fillId="0" borderId="1" xfId="6" applyFont="1" applyBorder="1" applyAlignment="1">
      <alignment vertical="center" wrapText="1"/>
    </xf>
    <xf numFmtId="0" fontId="3" fillId="0" borderId="1" xfId="6" applyFont="1" applyBorder="1" applyAlignment="1">
      <alignment horizontal="center" vertical="center"/>
    </xf>
    <xf numFmtId="166" fontId="3" fillId="0" borderId="1" xfId="15" applyNumberFormat="1" applyFont="1" applyFill="1" applyBorder="1" applyAlignment="1">
      <alignment vertical="center"/>
    </xf>
    <xf numFmtId="165" fontId="3" fillId="0" borderId="1" xfId="15" applyFont="1" applyFill="1" applyBorder="1" applyAlignment="1" applyProtection="1">
      <alignment vertical="center"/>
      <protection locked="0"/>
    </xf>
    <xf numFmtId="165" fontId="3" fillId="0" borderId="1" xfId="15" applyFont="1" applyFill="1" applyBorder="1" applyAlignment="1">
      <alignment vertical="center"/>
    </xf>
    <xf numFmtId="0" fontId="3" fillId="0" borderId="1" xfId="6" applyFont="1" applyBorder="1" applyAlignment="1">
      <alignment wrapText="1"/>
    </xf>
    <xf numFmtId="49" fontId="63" fillId="0" borderId="1" xfId="7" applyNumberFormat="1" applyFont="1" applyBorder="1" applyAlignment="1">
      <alignment horizontal="left" vertical="top" wrapText="1"/>
    </xf>
    <xf numFmtId="0" fontId="63" fillId="0" borderId="1" xfId="7" applyFont="1" applyBorder="1" applyAlignment="1">
      <alignment horizontal="center"/>
    </xf>
    <xf numFmtId="4" fontId="63" fillId="0" borderId="1" xfId="15" applyNumberFormat="1" applyFont="1" applyFill="1" applyBorder="1" applyAlignment="1"/>
    <xf numFmtId="165" fontId="63" fillId="0" borderId="1" xfId="15" applyFont="1" applyFill="1" applyBorder="1" applyAlignment="1"/>
    <xf numFmtId="16" fontId="63" fillId="0" borderId="1" xfId="7" applyNumberFormat="1" applyFont="1" applyBorder="1" applyAlignment="1">
      <alignment horizontal="center" vertical="top"/>
    </xf>
    <xf numFmtId="49" fontId="63" fillId="0" borderId="1" xfId="7" applyNumberFormat="1" applyFont="1" applyBorder="1" applyAlignment="1">
      <alignment horizontal="left" vertical="center" wrapText="1"/>
    </xf>
    <xf numFmtId="4" fontId="2" fillId="0" borderId="0" xfId="6" applyNumberFormat="1" applyFont="1"/>
    <xf numFmtId="49" fontId="21" fillId="0" borderId="1" xfId="7" applyNumberFormat="1" applyBorder="1" applyAlignment="1">
      <alignment horizontal="left" vertical="center" wrapText="1"/>
    </xf>
    <xf numFmtId="0" fontId="21" fillId="0" borderId="1" xfId="7" applyBorder="1" applyAlignment="1">
      <alignment horizontal="center" vertical="center"/>
    </xf>
    <xf numFmtId="166" fontId="21" fillId="0" borderId="1" xfId="15" applyNumberFormat="1" applyFont="1" applyFill="1" applyBorder="1" applyAlignment="1">
      <alignment vertical="center"/>
    </xf>
    <xf numFmtId="0" fontId="63" fillId="0" borderId="1" xfId="28" applyFont="1" applyBorder="1" applyAlignment="1">
      <alignment horizontal="justify"/>
    </xf>
    <xf numFmtId="165" fontId="68" fillId="0" borderId="1" xfId="15" applyFont="1" applyBorder="1" applyAlignment="1">
      <alignment horizontal="center"/>
    </xf>
    <xf numFmtId="165" fontId="2" fillId="0" borderId="1" xfId="15" applyFont="1" applyBorder="1" applyAlignment="1">
      <alignment horizontal="center"/>
    </xf>
    <xf numFmtId="16" fontId="12" fillId="21" borderId="1" xfId="30" applyNumberFormat="1" applyFont="1" applyFill="1" applyBorder="1" applyAlignment="1">
      <alignment horizontal="center" vertical="top"/>
    </xf>
    <xf numFmtId="0" fontId="12" fillId="21" borderId="1" xfId="30" applyFont="1" applyFill="1" applyBorder="1" applyAlignment="1">
      <alignment horizontal="justify" vertical="top" wrapText="1"/>
    </xf>
    <xf numFmtId="0" fontId="63" fillId="0" borderId="1" xfId="6" applyFont="1" applyBorder="1" applyAlignment="1">
      <alignment vertical="top" wrapText="1"/>
    </xf>
    <xf numFmtId="4" fontId="63" fillId="0" borderId="1" xfId="15" applyNumberFormat="1" applyFont="1" applyFill="1" applyBorder="1" applyAlignment="1">
      <alignment vertical="top" wrapText="1"/>
    </xf>
    <xf numFmtId="165" fontId="63" fillId="0" borderId="1" xfId="15" applyFont="1" applyFill="1" applyBorder="1" applyAlignment="1" applyProtection="1">
      <alignment vertical="top" wrapText="1"/>
      <protection locked="0"/>
    </xf>
    <xf numFmtId="165" fontId="63" fillId="0" borderId="1" xfId="15" applyFont="1" applyFill="1" applyBorder="1" applyAlignment="1">
      <alignment horizontal="right" vertical="top" wrapText="1"/>
    </xf>
    <xf numFmtId="0" fontId="3" fillId="0" borderId="1" xfId="28" applyFont="1" applyBorder="1" applyAlignment="1">
      <alignment horizontal="left" vertical="center" wrapText="1"/>
    </xf>
    <xf numFmtId="0" fontId="2" fillId="0" borderId="1" xfId="7" applyFont="1" applyBorder="1" applyAlignment="1">
      <alignment horizontal="center" vertical="center"/>
    </xf>
    <xf numFmtId="166" fontId="2" fillId="0" borderId="1" xfId="15" applyNumberFormat="1" applyFont="1" applyFill="1" applyBorder="1" applyAlignment="1">
      <alignment horizontal="center" vertical="center"/>
    </xf>
    <xf numFmtId="165" fontId="63" fillId="0" borderId="1" xfId="15" applyFont="1" applyFill="1" applyBorder="1" applyAlignment="1" applyProtection="1">
      <alignment horizontal="center" vertical="top" wrapText="1"/>
      <protection locked="0"/>
    </xf>
    <xf numFmtId="166" fontId="2" fillId="0" borderId="0" xfId="9" applyNumberFormat="1" applyFont="1"/>
    <xf numFmtId="0" fontId="63" fillId="0" borderId="1" xfId="28" applyFont="1" applyBorder="1" applyAlignment="1">
      <alignment vertical="center" wrapText="1"/>
    </xf>
    <xf numFmtId="0" fontId="2" fillId="0" borderId="1" xfId="6" applyFont="1" applyBorder="1" applyAlignment="1">
      <alignment wrapText="1"/>
    </xf>
    <xf numFmtId="0" fontId="2" fillId="0" borderId="1" xfId="6" applyFont="1" applyBorder="1" applyAlignment="1">
      <alignment horizontal="left" wrapText="1"/>
    </xf>
    <xf numFmtId="0" fontId="4" fillId="0" borderId="1" xfId="28" applyFont="1" applyBorder="1" applyAlignment="1">
      <alignment horizontal="left" vertical="center" wrapText="1"/>
    </xf>
    <xf numFmtId="0" fontId="6" fillId="0" borderId="1" xfId="9" applyFont="1" applyBorder="1" applyAlignment="1">
      <alignment horizontal="center" vertical="center" wrapText="1"/>
    </xf>
    <xf numFmtId="0" fontId="6" fillId="0" borderId="1" xfId="6" applyFont="1" applyBorder="1" applyAlignment="1">
      <alignment horizontal="left" vertical="top" wrapText="1"/>
    </xf>
    <xf numFmtId="166" fontId="2" fillId="0" borderId="1" xfId="15" applyNumberFormat="1" applyFont="1" applyFill="1" applyBorder="1" applyAlignment="1">
      <alignment horizontal="right" vertical="center"/>
    </xf>
    <xf numFmtId="49" fontId="6" fillId="0" borderId="1" xfId="30" applyNumberFormat="1" applyFont="1" applyBorder="1" applyAlignment="1">
      <alignment horizontal="center" vertical="center"/>
    </xf>
    <xf numFmtId="165" fontId="2" fillId="0" borderId="1" xfId="15" applyFont="1" applyBorder="1" applyAlignment="1" applyProtection="1">
      <protection locked="0"/>
    </xf>
    <xf numFmtId="49" fontId="3" fillId="0" borderId="1" xfId="28" applyNumberFormat="1" applyFont="1" applyBorder="1" applyAlignment="1">
      <alignment horizontal="center" vertical="top"/>
    </xf>
    <xf numFmtId="0" fontId="1" fillId="0" borderId="1" xfId="28" applyBorder="1"/>
    <xf numFmtId="4" fontId="3" fillId="0" borderId="1" xfId="15" applyNumberFormat="1" applyFont="1" applyFill="1" applyBorder="1" applyAlignment="1">
      <alignment horizontal="right"/>
    </xf>
    <xf numFmtId="4" fontId="3" fillId="0" borderId="0" xfId="15" applyNumberFormat="1" applyFont="1" applyFill="1" applyAlignment="1">
      <alignment horizontal="right"/>
    </xf>
    <xf numFmtId="0" fontId="3" fillId="0" borderId="1" xfId="30" applyFont="1" applyBorder="1" applyAlignment="1">
      <alignment wrapText="1"/>
    </xf>
    <xf numFmtId="0" fontId="69" fillId="0" borderId="1" xfId="28" applyFont="1" applyBorder="1" applyAlignment="1">
      <alignment wrapText="1"/>
    </xf>
    <xf numFmtId="0" fontId="69" fillId="0" borderId="1" xfId="28" applyFont="1" applyBorder="1"/>
    <xf numFmtId="4" fontId="69" fillId="0" borderId="1" xfId="15" applyNumberFormat="1" applyFont="1" applyFill="1" applyBorder="1" applyAlignment="1">
      <alignment horizontal="right"/>
    </xf>
    <xf numFmtId="4" fontId="8" fillId="0" borderId="1" xfId="15" applyNumberFormat="1" applyFont="1" applyFill="1" applyBorder="1" applyAlignment="1">
      <alignment horizontal="right"/>
    </xf>
    <xf numFmtId="0" fontId="3" fillId="0" borderId="1" xfId="30" applyFont="1" applyBorder="1" applyAlignment="1">
      <alignment vertical="top" wrapText="1"/>
    </xf>
    <xf numFmtId="0" fontId="3" fillId="0" borderId="1" xfId="30" applyFont="1" applyBorder="1" applyAlignment="1">
      <alignment vertical="center"/>
    </xf>
    <xf numFmtId="166" fontId="3" fillId="0" borderId="1" xfId="15" applyNumberFormat="1" applyFont="1" applyFill="1" applyBorder="1" applyAlignment="1">
      <alignment horizontal="right" vertical="center"/>
    </xf>
    <xf numFmtId="0" fontId="21" fillId="0" borderId="1" xfId="28" applyFont="1" applyBorder="1" applyAlignment="1">
      <alignment vertical="center" wrapText="1"/>
    </xf>
    <xf numFmtId="0" fontId="1" fillId="0" borderId="1" xfId="28" applyBorder="1" applyAlignment="1">
      <alignment wrapText="1"/>
    </xf>
    <xf numFmtId="0" fontId="2" fillId="0" borderId="0" xfId="28" applyFont="1" applyAlignment="1">
      <alignment wrapText="1"/>
    </xf>
    <xf numFmtId="169" fontId="2" fillId="0" borderId="0" xfId="28" applyNumberFormat="1" applyFont="1" applyAlignment="1">
      <alignment wrapText="1"/>
    </xf>
    <xf numFmtId="0" fontId="3" fillId="0" borderId="1" xfId="30" applyFont="1" applyBorder="1" applyAlignment="1">
      <alignment horizontal="center" vertical="center"/>
    </xf>
    <xf numFmtId="0" fontId="8" fillId="0" borderId="1" xfId="30" applyFont="1" applyBorder="1" applyAlignment="1">
      <alignment vertical="top" wrapText="1"/>
    </xf>
    <xf numFmtId="4" fontId="3" fillId="0" borderId="1" xfId="15" applyNumberFormat="1" applyFont="1" applyFill="1" applyBorder="1" applyAlignment="1" applyProtection="1">
      <alignment horizontal="right" vertical="center"/>
      <protection locked="0"/>
    </xf>
    <xf numFmtId="4" fontId="3" fillId="0" borderId="1" xfId="15" applyNumberFormat="1" applyFont="1" applyFill="1" applyBorder="1" applyAlignment="1">
      <alignment vertical="center"/>
    </xf>
    <xf numFmtId="49" fontId="8" fillId="0" borderId="1" xfId="30" applyNumberFormat="1" applyFont="1" applyBorder="1" applyAlignment="1">
      <alignment horizontal="center" vertical="top"/>
    </xf>
    <xf numFmtId="165" fontId="3" fillId="0" borderId="1" xfId="15" applyFont="1" applyFill="1" applyBorder="1" applyAlignment="1" applyProtection="1">
      <alignment horizontal="right" vertical="center"/>
      <protection locked="0"/>
    </xf>
    <xf numFmtId="0" fontId="8" fillId="0" borderId="1" xfId="30" applyFont="1" applyBorder="1" applyAlignment="1">
      <alignment wrapText="1"/>
    </xf>
    <xf numFmtId="0" fontId="8" fillId="0" borderId="1" xfId="30" applyFont="1" applyBorder="1" applyAlignment="1">
      <alignment horizontal="center" vertical="center"/>
    </xf>
    <xf numFmtId="166" fontId="8" fillId="0" borderId="1" xfId="15" applyNumberFormat="1" applyFont="1" applyFill="1" applyBorder="1" applyAlignment="1">
      <alignment vertical="center"/>
    </xf>
    <xf numFmtId="4" fontId="8" fillId="0" borderId="1" xfId="15" applyNumberFormat="1" applyFont="1" applyFill="1" applyBorder="1" applyAlignment="1" applyProtection="1">
      <alignment vertical="center"/>
      <protection locked="0"/>
    </xf>
    <xf numFmtId="165" fontId="8" fillId="0" borderId="1" xfId="15" applyFont="1" applyFill="1" applyBorder="1" applyAlignment="1">
      <alignment vertical="center"/>
    </xf>
    <xf numFmtId="49" fontId="3" fillId="0" borderId="1" xfId="30" applyNumberFormat="1" applyFont="1" applyBorder="1" applyAlignment="1">
      <alignment horizontal="center" vertical="top"/>
    </xf>
    <xf numFmtId="0" fontId="6" fillId="0" borderId="10" xfId="9" applyFont="1" applyBorder="1" applyAlignment="1">
      <alignment horizontal="center" vertical="top"/>
    </xf>
    <xf numFmtId="0" fontId="6" fillId="0" borderId="10" xfId="9" applyFont="1" applyBorder="1" applyAlignment="1">
      <alignment vertical="top" wrapText="1"/>
    </xf>
    <xf numFmtId="0" fontId="6" fillId="0" borderId="10" xfId="9" applyFont="1" applyBorder="1" applyAlignment="1">
      <alignment horizontal="center"/>
    </xf>
    <xf numFmtId="4" fontId="6" fillId="0" borderId="10" xfId="15" applyNumberFormat="1" applyFont="1" applyBorder="1" applyAlignment="1"/>
    <xf numFmtId="165" fontId="6" fillId="0" borderId="10" xfId="15" applyFont="1" applyFill="1" applyBorder="1" applyAlignment="1"/>
    <xf numFmtId="165" fontId="6" fillId="0" borderId="10" xfId="15" applyFont="1" applyBorder="1"/>
    <xf numFmtId="16" fontId="6" fillId="21" borderId="1" xfId="30" applyNumberFormat="1" applyFont="1" applyFill="1" applyBorder="1" applyAlignment="1">
      <alignment horizontal="center" vertical="center"/>
    </xf>
    <xf numFmtId="0" fontId="6" fillId="21" borderId="1" xfId="30" applyFont="1" applyFill="1" applyBorder="1" applyAlignment="1">
      <alignment horizontal="justify" vertical="center" wrapText="1"/>
    </xf>
    <xf numFmtId="0" fontId="2" fillId="21" borderId="1" xfId="30" applyFont="1" applyFill="1" applyBorder="1" applyAlignment="1">
      <alignment horizontal="center" vertical="center"/>
    </xf>
    <xf numFmtId="166" fontId="2" fillId="21" borderId="1" xfId="15" applyNumberFormat="1" applyFont="1" applyFill="1" applyBorder="1" applyAlignment="1">
      <alignment vertical="center"/>
    </xf>
    <xf numFmtId="4" fontId="2" fillId="21" borderId="1" xfId="15" applyNumberFormat="1" applyFont="1" applyFill="1" applyBorder="1" applyAlignment="1" applyProtection="1">
      <alignment vertical="center"/>
      <protection locked="0"/>
    </xf>
    <xf numFmtId="0" fontId="2" fillId="0" borderId="0" xfId="9" applyFont="1" applyAlignment="1">
      <alignment wrapText="1"/>
    </xf>
    <xf numFmtId="4" fontId="2" fillId="0" borderId="0" xfId="15" applyNumberFormat="1" applyFont="1"/>
    <xf numFmtId="4" fontId="2" fillId="0" borderId="0" xfId="28" applyNumberFormat="1" applyFont="1"/>
    <xf numFmtId="0" fontId="2" fillId="0" borderId="0" xfId="28" applyFont="1"/>
    <xf numFmtId="4" fontId="2" fillId="0" borderId="0" xfId="29" applyNumberFormat="1" applyFont="1" applyFill="1" applyBorder="1" applyAlignment="1"/>
    <xf numFmtId="165" fontId="2" fillId="0" borderId="0" xfId="29" applyFont="1" applyFill="1" applyBorder="1" applyAlignment="1"/>
    <xf numFmtId="4" fontId="2" fillId="0" borderId="0" xfId="29" applyNumberFormat="1" applyFont="1" applyAlignment="1"/>
    <xf numFmtId="165" fontId="2" fillId="0" borderId="0" xfId="29" applyFont="1" applyFill="1" applyAlignment="1"/>
    <xf numFmtId="165" fontId="2" fillId="0" borderId="0" xfId="29" applyFont="1"/>
    <xf numFmtId="165" fontId="8" fillId="21" borderId="1" xfId="29" applyFont="1" applyFill="1" applyBorder="1" applyAlignment="1" applyProtection="1">
      <alignment vertical="center"/>
    </xf>
    <xf numFmtId="4" fontId="6" fillId="0" borderId="0" xfId="29" applyNumberFormat="1" applyFont="1" applyFill="1" applyBorder="1"/>
    <xf numFmtId="165" fontId="6" fillId="0" borderId="0" xfId="29" applyFont="1" applyFill="1" applyBorder="1"/>
    <xf numFmtId="165" fontId="2" fillId="0" borderId="0" xfId="29" applyFont="1" applyBorder="1"/>
    <xf numFmtId="0" fontId="12" fillId="0" borderId="1" xfId="1" applyFont="1" applyBorder="1" applyAlignment="1">
      <alignment horizontal="center" vertical="top"/>
    </xf>
    <xf numFmtId="0" fontId="11" fillId="0" borderId="1" xfId="1" applyFont="1" applyBorder="1" applyAlignment="1">
      <alignment vertical="center"/>
    </xf>
    <xf numFmtId="0" fontId="9" fillId="0" borderId="1" xfId="1" applyFont="1" applyBorder="1" applyAlignment="1">
      <alignment vertical="center"/>
    </xf>
    <xf numFmtId="166" fontId="9" fillId="0" borderId="1" xfId="3" applyNumberFormat="1" applyFont="1" applyFill="1" applyBorder="1" applyAlignment="1">
      <alignment vertical="center"/>
    </xf>
    <xf numFmtId="4" fontId="9" fillId="0" borderId="1" xfId="3" applyNumberFormat="1" applyFont="1" applyFill="1" applyBorder="1" applyAlignment="1" applyProtection="1">
      <alignment vertical="center"/>
      <protection locked="0"/>
    </xf>
    <xf numFmtId="4" fontId="9" fillId="0" borderId="1" xfId="3" applyNumberFormat="1" applyFont="1" applyFill="1" applyBorder="1" applyAlignment="1">
      <alignment vertical="center"/>
    </xf>
    <xf numFmtId="0" fontId="2" fillId="0" borderId="1" xfId="1" applyFont="1" applyBorder="1" applyAlignment="1">
      <alignment horizontal="justify" vertical="top" wrapText="1"/>
    </xf>
    <xf numFmtId="166" fontId="2" fillId="0" borderId="1" xfId="3" applyNumberFormat="1" applyFont="1" applyFill="1" applyBorder="1" applyAlignment="1">
      <alignment vertical="center"/>
    </xf>
    <xf numFmtId="165" fontId="2" fillId="0" borderId="1" xfId="29" applyFont="1" applyFill="1" applyBorder="1" applyAlignment="1" applyProtection="1">
      <alignment vertical="center"/>
      <protection locked="0"/>
    </xf>
    <xf numFmtId="165" fontId="2" fillId="0" borderId="1" xfId="29" applyFont="1" applyFill="1" applyBorder="1" applyAlignment="1">
      <alignment vertical="center"/>
    </xf>
    <xf numFmtId="0" fontId="3" fillId="0" borderId="1" xfId="1" applyFont="1" applyBorder="1" applyAlignment="1">
      <alignment horizontal="left" vertical="top" wrapText="1"/>
    </xf>
    <xf numFmtId="4" fontId="2" fillId="0" borderId="1" xfId="29" applyNumberFormat="1" applyFont="1" applyBorder="1" applyAlignment="1"/>
    <xf numFmtId="165" fontId="2" fillId="0" borderId="1" xfId="29" applyFont="1" applyBorder="1"/>
    <xf numFmtId="165" fontId="2" fillId="0" borderId="1" xfId="29" applyFont="1" applyFill="1" applyBorder="1" applyAlignment="1"/>
    <xf numFmtId="4" fontId="2" fillId="0" borderId="0" xfId="29" applyNumberFormat="1" applyFont="1" applyBorder="1" applyAlignment="1"/>
    <xf numFmtId="4" fontId="3" fillId="0" borderId="0" xfId="29" applyNumberFormat="1" applyFont="1" applyFill="1" applyBorder="1" applyAlignment="1" applyProtection="1">
      <alignment horizontal="right"/>
      <protection locked="0"/>
    </xf>
    <xf numFmtId="4" fontId="3" fillId="0" borderId="0" xfId="29" applyNumberFormat="1" applyFont="1" applyFill="1" applyBorder="1" applyAlignment="1">
      <alignment horizontal="right"/>
    </xf>
    <xf numFmtId="0" fontId="3" fillId="0" borderId="0" xfId="5" applyAlignment="1">
      <alignment wrapText="1"/>
    </xf>
    <xf numFmtId="0" fontId="3" fillId="0" borderId="1" xfId="5" applyBorder="1" applyAlignment="1">
      <alignment wrapText="1"/>
    </xf>
    <xf numFmtId="165" fontId="4" fillId="0" borderId="1" xfId="29" applyFont="1" applyFill="1" applyBorder="1" applyAlignment="1" applyProtection="1">
      <alignment vertical="center"/>
      <protection locked="0"/>
    </xf>
    <xf numFmtId="165" fontId="4" fillId="0" borderId="1" xfId="29" applyFont="1" applyFill="1" applyBorder="1" applyAlignment="1">
      <alignment vertical="center"/>
    </xf>
    <xf numFmtId="4" fontId="2" fillId="0" borderId="1" xfId="29" applyNumberFormat="1" applyFont="1" applyBorder="1" applyAlignment="1">
      <alignment wrapText="1"/>
    </xf>
    <xf numFmtId="165" fontId="2" fillId="0" borderId="1" xfId="29" applyFont="1" applyFill="1" applyBorder="1" applyAlignment="1">
      <alignment wrapText="1"/>
    </xf>
    <xf numFmtId="0" fontId="6" fillId="21" borderId="1" xfId="1" applyFont="1" applyFill="1" applyBorder="1" applyAlignment="1">
      <alignment horizontal="center" vertical="center"/>
    </xf>
    <xf numFmtId="0" fontId="6" fillId="21" borderId="1" xfId="1" applyFont="1" applyFill="1" applyBorder="1" applyAlignment="1">
      <alignment vertical="center"/>
    </xf>
    <xf numFmtId="166" fontId="6" fillId="21" borderId="1" xfId="3" applyNumberFormat="1" applyFont="1" applyFill="1" applyBorder="1" applyAlignment="1">
      <alignment vertical="center"/>
    </xf>
    <xf numFmtId="4" fontId="6" fillId="21" borderId="1" xfId="3" applyNumberFormat="1" applyFont="1" applyFill="1" applyBorder="1" applyAlignment="1" applyProtection="1">
      <alignment vertical="center"/>
      <protection locked="0"/>
    </xf>
    <xf numFmtId="165" fontId="6" fillId="21" borderId="1" xfId="29" applyFont="1" applyFill="1" applyBorder="1" applyAlignment="1">
      <alignment vertical="center"/>
    </xf>
    <xf numFmtId="165" fontId="66" fillId="0" borderId="0" xfId="29" applyFont="1" applyFill="1" applyBorder="1" applyAlignment="1"/>
    <xf numFmtId="4" fontId="2" fillId="0" borderId="0" xfId="29" applyNumberFormat="1" applyFont="1" applyFill="1" applyAlignment="1"/>
    <xf numFmtId="165" fontId="2" fillId="0" borderId="0" xfId="29" applyFont="1" applyFill="1"/>
    <xf numFmtId="166" fontId="3" fillId="0" borderId="1" xfId="3" applyNumberFormat="1" applyFont="1" applyFill="1" applyBorder="1" applyAlignment="1">
      <alignment vertical="center"/>
    </xf>
    <xf numFmtId="165" fontId="3" fillId="0" borderId="1" xfId="29" applyFont="1" applyFill="1" applyBorder="1" applyAlignment="1" applyProtection="1">
      <alignment vertical="center"/>
      <protection locked="0"/>
    </xf>
    <xf numFmtId="165" fontId="3" fillId="0" borderId="1" xfId="29" applyFont="1" applyFill="1" applyBorder="1" applyAlignment="1">
      <alignment vertical="center"/>
    </xf>
    <xf numFmtId="4" fontId="63" fillId="0" borderId="1" xfId="29" applyNumberFormat="1" applyFont="1" applyFill="1" applyBorder="1" applyAlignment="1"/>
    <xf numFmtId="166" fontId="21" fillId="0" borderId="1" xfId="3" applyNumberFormat="1" applyFont="1" applyFill="1" applyBorder="1" applyAlignment="1">
      <alignment vertical="center"/>
    </xf>
    <xf numFmtId="165" fontId="68" fillId="0" borderId="1" xfId="29" applyFont="1" applyBorder="1" applyAlignment="1">
      <alignment horizontal="center"/>
    </xf>
    <xf numFmtId="16" fontId="12" fillId="21" borderId="1" xfId="1" applyNumberFormat="1" applyFont="1" applyFill="1" applyBorder="1" applyAlignment="1">
      <alignment horizontal="center" vertical="top"/>
    </xf>
    <xf numFmtId="0" fontId="12" fillId="21" borderId="1" xfId="1" applyFont="1" applyFill="1" applyBorder="1" applyAlignment="1">
      <alignment horizontal="justify" vertical="top" wrapText="1"/>
    </xf>
    <xf numFmtId="0" fontId="2" fillId="0" borderId="13" xfId="6" applyFont="1" applyBorder="1" applyAlignment="1">
      <alignment horizontal="center" vertical="top"/>
    </xf>
    <xf numFmtId="49" fontId="6" fillId="0" borderId="1" xfId="1" applyNumberFormat="1" applyFont="1" applyBorder="1" applyAlignment="1">
      <alignment horizontal="center" vertical="center"/>
    </xf>
    <xf numFmtId="4" fontId="3" fillId="0" borderId="0" xfId="29" applyNumberFormat="1" applyFont="1" applyFill="1" applyAlignment="1">
      <alignment horizontal="right"/>
    </xf>
    <xf numFmtId="0" fontId="3" fillId="0" borderId="1" xfId="1" applyFont="1" applyBorder="1" applyAlignment="1">
      <alignment vertical="top" wrapText="1"/>
    </xf>
    <xf numFmtId="0" fontId="3" fillId="0" borderId="1" xfId="1" applyFont="1" applyBorder="1" applyAlignment="1">
      <alignment vertical="center"/>
    </xf>
    <xf numFmtId="166" fontId="3" fillId="0" borderId="1" xfId="3" applyNumberFormat="1" applyFont="1" applyFill="1" applyBorder="1" applyAlignment="1">
      <alignment horizontal="right" vertical="center"/>
    </xf>
    <xf numFmtId="0" fontId="3" fillId="0" borderId="1" xfId="1" applyFont="1" applyBorder="1" applyAlignment="1">
      <alignment wrapText="1"/>
    </xf>
    <xf numFmtId="4" fontId="71" fillId="0" borderId="0" xfId="29" applyNumberFormat="1" applyFont="1" applyFill="1" applyAlignment="1">
      <alignment horizontal="right"/>
    </xf>
    <xf numFmtId="0" fontId="8" fillId="0" borderId="1" xfId="1" applyFont="1" applyBorder="1" applyAlignment="1">
      <alignment vertical="center"/>
    </xf>
    <xf numFmtId="166" fontId="8" fillId="0" borderId="1" xfId="3" applyNumberFormat="1" applyFont="1" applyFill="1" applyBorder="1" applyAlignment="1">
      <alignment horizontal="right" vertical="center"/>
    </xf>
    <xf numFmtId="165" fontId="8" fillId="0" borderId="1" xfId="29" applyFont="1" applyFill="1" applyBorder="1" applyAlignment="1">
      <alignment vertical="center"/>
    </xf>
    <xf numFmtId="0" fontId="6" fillId="21" borderId="1" xfId="1" applyFont="1" applyFill="1" applyBorder="1" applyAlignment="1">
      <alignment horizontal="justify" vertical="center" wrapText="1"/>
    </xf>
    <xf numFmtId="0" fontId="2" fillId="21" borderId="1" xfId="1" applyFont="1" applyFill="1" applyBorder="1" applyAlignment="1">
      <alignment horizontal="center" vertical="center"/>
    </xf>
    <xf numFmtId="166" fontId="2" fillId="21" borderId="1" xfId="3" applyNumberFormat="1" applyFont="1" applyFill="1" applyBorder="1" applyAlignment="1">
      <alignment vertical="center"/>
    </xf>
    <xf numFmtId="4" fontId="2" fillId="21" borderId="1" xfId="3" applyNumberFormat="1" applyFont="1" applyFill="1" applyBorder="1" applyAlignment="1" applyProtection="1">
      <alignment vertical="center"/>
      <protection locked="0"/>
    </xf>
    <xf numFmtId="4" fontId="2" fillId="0" borderId="0" xfId="29" applyNumberFormat="1" applyFont="1"/>
    <xf numFmtId="0" fontId="2" fillId="0" borderId="1" xfId="5" applyFont="1" applyBorder="1" applyAlignment="1">
      <alignment vertical="top" wrapText="1"/>
    </xf>
    <xf numFmtId="0" fontId="8" fillId="0" borderId="1" xfId="6" applyFont="1" applyBorder="1" applyAlignment="1">
      <alignment horizontal="justify" vertical="top" wrapText="1"/>
    </xf>
    <xf numFmtId="0" fontId="8" fillId="0" borderId="1" xfId="1" applyFont="1" applyBorder="1" applyAlignment="1">
      <alignment vertical="top" wrapText="1"/>
    </xf>
    <xf numFmtId="4" fontId="3" fillId="0" borderId="1" xfId="3" applyNumberFormat="1" applyFont="1" applyFill="1" applyBorder="1" applyAlignment="1" applyProtection="1">
      <alignment horizontal="right" vertical="center"/>
      <protection locked="0"/>
    </xf>
    <xf numFmtId="4" fontId="3" fillId="0" borderId="1" xfId="3" applyNumberFormat="1" applyFont="1" applyFill="1" applyBorder="1" applyAlignment="1">
      <alignment vertical="center"/>
    </xf>
    <xf numFmtId="165" fontId="3" fillId="0" borderId="1" xfId="29" applyFont="1" applyFill="1" applyBorder="1" applyAlignment="1" applyProtection="1">
      <alignment horizontal="right" vertical="center"/>
      <protection locked="0"/>
    </xf>
    <xf numFmtId="0" fontId="8" fillId="0" borderId="1" xfId="1" applyFont="1" applyBorder="1" applyAlignment="1">
      <alignment wrapText="1"/>
    </xf>
    <xf numFmtId="4" fontId="8" fillId="0" borderId="1" xfId="3" applyNumberFormat="1" applyFont="1" applyFill="1" applyBorder="1" applyAlignment="1" applyProtection="1">
      <alignment vertical="center"/>
      <protection locked="0"/>
    </xf>
    <xf numFmtId="4" fontId="6" fillId="0" borderId="10" xfId="29" applyNumberFormat="1" applyFont="1" applyBorder="1" applyAlignment="1"/>
    <xf numFmtId="165" fontId="6" fillId="0" borderId="10" xfId="29" applyFont="1" applyFill="1" applyBorder="1" applyAlignment="1"/>
    <xf numFmtId="165" fontId="6" fillId="0" borderId="10" xfId="29" applyFont="1" applyBorder="1"/>
    <xf numFmtId="49" fontId="8" fillId="21" borderId="1" xfId="28" applyNumberFormat="1" applyFont="1" applyFill="1" applyBorder="1" applyAlignment="1">
      <alignment vertical="center"/>
    </xf>
    <xf numFmtId="4" fontId="8" fillId="21" borderId="4" xfId="28" applyNumberFormat="1" applyFont="1" applyFill="1" applyBorder="1" applyAlignment="1" applyProtection="1">
      <alignment vertical="center"/>
      <protection locked="0"/>
    </xf>
    <xf numFmtId="0" fontId="5" fillId="0" borderId="12" xfId="33" applyFont="1" applyBorder="1" applyAlignment="1">
      <alignment vertical="top" wrapText="1"/>
    </xf>
    <xf numFmtId="170" fontId="46" fillId="16" borderId="14" xfId="34" applyNumberFormat="1" applyFont="1" applyFill="1" applyBorder="1" applyAlignment="1">
      <alignment horizontal="left" vertical="top" wrapText="1"/>
    </xf>
    <xf numFmtId="170" fontId="4" fillId="0" borderId="14" xfId="34" applyNumberFormat="1" applyFont="1" applyBorder="1" applyAlignment="1">
      <alignment horizontal="left" vertical="top" wrapText="1"/>
    </xf>
    <xf numFmtId="170" fontId="5" fillId="0" borderId="0" xfId="34" applyNumberFormat="1" applyFont="1" applyAlignment="1">
      <alignment vertical="top" wrapText="1"/>
    </xf>
    <xf numFmtId="4" fontId="2" fillId="0" borderId="0" xfId="37" applyNumberFormat="1" applyFont="1" applyFill="1" applyBorder="1" applyAlignment="1"/>
    <xf numFmtId="165" fontId="2" fillId="0" borderId="0" xfId="37" applyFont="1" applyFill="1" applyAlignment="1"/>
    <xf numFmtId="165" fontId="8" fillId="21" borderId="1" xfId="37" applyFont="1" applyFill="1" applyBorder="1" applyAlignment="1" applyProtection="1">
      <alignment vertical="center"/>
    </xf>
    <xf numFmtId="165" fontId="2" fillId="0" borderId="1" xfId="37" applyFont="1" applyFill="1" applyBorder="1" applyAlignment="1" applyProtection="1">
      <alignment vertical="center"/>
      <protection locked="0"/>
    </xf>
    <xf numFmtId="165" fontId="2" fillId="0" borderId="1" xfId="37" applyFont="1" applyFill="1" applyBorder="1" applyAlignment="1">
      <alignment vertical="center"/>
    </xf>
    <xf numFmtId="4" fontId="2" fillId="0" borderId="0" xfId="37" applyNumberFormat="1" applyFont="1" applyBorder="1" applyAlignment="1"/>
    <xf numFmtId="4" fontId="3" fillId="0" borderId="0" xfId="37" applyNumberFormat="1" applyFont="1" applyFill="1" applyBorder="1" applyAlignment="1" applyProtection="1">
      <alignment horizontal="right"/>
      <protection locked="0"/>
    </xf>
    <xf numFmtId="4" fontId="3" fillId="0" borderId="0" xfId="37" applyNumberFormat="1" applyFont="1" applyFill="1" applyBorder="1" applyAlignment="1">
      <alignment horizontal="right"/>
    </xf>
    <xf numFmtId="165" fontId="6" fillId="21" borderId="1" xfId="37" applyFont="1" applyFill="1" applyBorder="1" applyAlignment="1">
      <alignment vertical="center"/>
    </xf>
    <xf numFmtId="165" fontId="66" fillId="0" borderId="0" xfId="37" applyFont="1" applyFill="1" applyBorder="1" applyAlignment="1"/>
    <xf numFmtId="4" fontId="2" fillId="0" borderId="0" xfId="37" applyNumberFormat="1" applyFont="1" applyFill="1" applyAlignment="1"/>
    <xf numFmtId="165" fontId="2" fillId="0" borderId="0" xfId="37" applyFont="1" applyFill="1"/>
    <xf numFmtId="165" fontId="3" fillId="0" borderId="1" xfId="37" applyFont="1" applyFill="1" applyBorder="1" applyAlignment="1" applyProtection="1">
      <alignment vertical="center"/>
      <protection locked="0"/>
    </xf>
    <xf numFmtId="165" fontId="3" fillId="0" borderId="1" xfId="37" applyFont="1" applyFill="1" applyBorder="1" applyAlignment="1">
      <alignment vertical="center"/>
    </xf>
    <xf numFmtId="165" fontId="68" fillId="0" borderId="1" xfId="37" applyFont="1" applyBorder="1" applyAlignment="1">
      <alignment horizontal="center"/>
    </xf>
    <xf numFmtId="4" fontId="3" fillId="0" borderId="0" xfId="37" applyNumberFormat="1" applyFont="1" applyFill="1" applyAlignment="1">
      <alignment horizontal="right"/>
    </xf>
    <xf numFmtId="166" fontId="4" fillId="0" borderId="1" xfId="15" applyNumberFormat="1" applyFont="1" applyFill="1" applyBorder="1" applyAlignment="1">
      <alignment horizontal="right" vertical="center"/>
    </xf>
    <xf numFmtId="0" fontId="8" fillId="0" borderId="1" xfId="30" applyFont="1" applyBorder="1" applyAlignment="1">
      <alignment vertical="center"/>
    </xf>
    <xf numFmtId="166" fontId="8" fillId="0" borderId="1" xfId="15" applyNumberFormat="1" applyFont="1" applyFill="1" applyBorder="1" applyAlignment="1">
      <alignment horizontal="right" vertical="center"/>
    </xf>
    <xf numFmtId="165" fontId="8" fillId="0" borderId="1" xfId="37" applyFont="1" applyFill="1" applyBorder="1" applyAlignment="1" applyProtection="1">
      <alignment horizontal="right" vertical="center"/>
      <protection locked="0"/>
    </xf>
    <xf numFmtId="4" fontId="71" fillId="0" borderId="0" xfId="37" applyNumberFormat="1" applyFont="1" applyFill="1" applyAlignment="1">
      <alignment horizontal="right"/>
    </xf>
    <xf numFmtId="165" fontId="8" fillId="0" borderId="1" xfId="37" applyFont="1" applyFill="1" applyBorder="1" applyAlignment="1">
      <alignment vertical="center"/>
    </xf>
    <xf numFmtId="165" fontId="3" fillId="0" borderId="1" xfId="37" applyFont="1" applyFill="1" applyBorder="1" applyAlignment="1" applyProtection="1">
      <alignment horizontal="right" vertical="center"/>
      <protection locked="0"/>
    </xf>
    <xf numFmtId="0" fontId="3" fillId="0" borderId="1" xfId="7" applyFont="1" applyBorder="1" applyAlignment="1">
      <alignment horizontal="center" vertical="center"/>
    </xf>
    <xf numFmtId="168" fontId="2" fillId="0" borderId="0" xfId="9" applyNumberFormat="1" applyFont="1"/>
    <xf numFmtId="166" fontId="3" fillId="0" borderId="1" xfId="15" applyNumberFormat="1" applyFont="1" applyFill="1" applyBorder="1" applyAlignment="1">
      <alignment horizontal="center" vertical="center"/>
    </xf>
    <xf numFmtId="0" fontId="3" fillId="0" borderId="1" xfId="6" applyFont="1" applyBorder="1" applyAlignment="1">
      <alignment horizontal="left" wrapText="1"/>
    </xf>
    <xf numFmtId="4" fontId="71" fillId="0" borderId="0" xfId="15" applyNumberFormat="1" applyFont="1" applyFill="1" applyAlignment="1">
      <alignment horizontal="right"/>
    </xf>
    <xf numFmtId="0" fontId="17" fillId="0" borderId="0" xfId="28" applyFont="1" applyAlignment="1">
      <alignment vertical="center" wrapText="1"/>
    </xf>
    <xf numFmtId="166" fontId="4" fillId="0" borderId="0" xfId="15" applyNumberFormat="1" applyFont="1" applyFill="1" applyBorder="1" applyAlignment="1">
      <alignment horizontal="right" vertical="center"/>
    </xf>
    <xf numFmtId="165" fontId="8" fillId="0" borderId="1" xfId="15" applyFont="1" applyFill="1" applyBorder="1" applyAlignment="1" applyProtection="1">
      <alignment horizontal="right" vertical="center"/>
      <protection locked="0"/>
    </xf>
    <xf numFmtId="165" fontId="8" fillId="0" borderId="1" xfId="15" applyFont="1" applyFill="1" applyBorder="1" applyAlignment="1">
      <alignment horizontal="right" vertical="center"/>
    </xf>
    <xf numFmtId="0" fontId="83" fillId="0" borderId="1" xfId="28" applyFont="1" applyBorder="1" applyAlignment="1">
      <alignment vertical="top" wrapText="1"/>
    </xf>
    <xf numFmtId="0" fontId="2" fillId="0" borderId="0" xfId="30" applyFont="1"/>
    <xf numFmtId="165" fontId="2" fillId="0" borderId="0" xfId="15" applyFont="1" applyAlignment="1"/>
    <xf numFmtId="0" fontId="3" fillId="0" borderId="0" xfId="31"/>
    <xf numFmtId="165" fontId="3" fillId="0" borderId="0" xfId="15" applyFont="1" applyAlignment="1"/>
    <xf numFmtId="0" fontId="13" fillId="0" borderId="0" xfId="31" applyFont="1"/>
    <xf numFmtId="165" fontId="13" fillId="0" borderId="0" xfId="15" applyFont="1" applyFill="1" applyAlignment="1">
      <alignment horizontal="right"/>
    </xf>
    <xf numFmtId="0" fontId="13" fillId="0" borderId="0" xfId="31" applyFont="1" applyAlignment="1">
      <alignment horizontal="right"/>
    </xf>
    <xf numFmtId="0" fontId="16" fillId="0" borderId="0" xfId="31" applyFont="1"/>
    <xf numFmtId="0" fontId="15" fillId="0" borderId="0" xfId="31" applyFont="1"/>
    <xf numFmtId="49" fontId="8" fillId="0" borderId="5" xfId="31" applyNumberFormat="1" applyFont="1" applyBorder="1" applyAlignment="1">
      <alignment horizontal="left" vertical="center"/>
    </xf>
    <xf numFmtId="0" fontId="5" fillId="0" borderId="8" xfId="31" applyFont="1" applyBorder="1" applyAlignment="1">
      <alignment horizontal="left" vertical="center"/>
    </xf>
    <xf numFmtId="0" fontId="4" fillId="0" borderId="7" xfId="31" applyFont="1" applyBorder="1" applyAlignment="1">
      <alignment horizontal="left" vertical="center"/>
    </xf>
    <xf numFmtId="166" fontId="4" fillId="0" borderId="6" xfId="31" applyNumberFormat="1" applyFont="1" applyBorder="1" applyAlignment="1">
      <alignment horizontal="left" vertical="center"/>
    </xf>
    <xf numFmtId="4" fontId="4" fillId="0" borderId="5" xfId="31" applyNumberFormat="1" applyFont="1" applyBorder="1" applyAlignment="1" applyProtection="1">
      <alignment horizontal="left" vertical="center"/>
      <protection locked="0"/>
    </xf>
    <xf numFmtId="4" fontId="4" fillId="0" borderId="5" xfId="31" applyNumberFormat="1" applyFont="1" applyBorder="1" applyAlignment="1">
      <alignment horizontal="left" vertical="center"/>
    </xf>
    <xf numFmtId="49" fontId="8" fillId="21" borderId="1" xfId="31" applyNumberFormat="1" applyFont="1" applyFill="1" applyBorder="1" applyAlignment="1">
      <alignment horizontal="left" vertical="center"/>
    </xf>
    <xf numFmtId="0" fontId="5" fillId="21" borderId="4" xfId="31" applyFont="1" applyFill="1" applyBorder="1" applyAlignment="1">
      <alignment horizontal="left" vertical="center"/>
    </xf>
    <xf numFmtId="0" fontId="4" fillId="21" borderId="3" xfId="31" applyFont="1" applyFill="1" applyBorder="1" applyAlignment="1">
      <alignment horizontal="left" vertical="center"/>
    </xf>
    <xf numFmtId="166" fontId="4" fillId="21" borderId="2" xfId="31" applyNumberFormat="1" applyFont="1" applyFill="1" applyBorder="1" applyAlignment="1">
      <alignment horizontal="left" vertical="center"/>
    </xf>
    <xf numFmtId="4" fontId="4" fillId="21" borderId="1" xfId="31" applyNumberFormat="1" applyFont="1" applyFill="1" applyBorder="1" applyAlignment="1" applyProtection="1">
      <alignment horizontal="left" vertical="center"/>
      <protection locked="0"/>
    </xf>
    <xf numFmtId="4" fontId="4" fillId="21" borderId="1" xfId="31" applyNumberFormat="1" applyFont="1" applyFill="1" applyBorder="1" applyAlignment="1">
      <alignment horizontal="left" vertical="center"/>
    </xf>
    <xf numFmtId="0" fontId="5" fillId="21" borderId="4" xfId="31" applyFont="1" applyFill="1" applyBorder="1" applyAlignment="1">
      <alignment horizontal="center" vertical="center"/>
    </xf>
    <xf numFmtId="0" fontId="4" fillId="21" borderId="3" xfId="31" applyFont="1" applyFill="1" applyBorder="1" applyAlignment="1">
      <alignment vertical="center"/>
    </xf>
    <xf numFmtId="166" fontId="4" fillId="21" borderId="2" xfId="31" applyNumberFormat="1" applyFont="1" applyFill="1" applyBorder="1" applyAlignment="1">
      <alignment vertical="center"/>
    </xf>
    <xf numFmtId="4" fontId="5" fillId="21" borderId="1" xfId="31" applyNumberFormat="1" applyFont="1" applyFill="1" applyBorder="1" applyAlignment="1" applyProtection="1">
      <alignment horizontal="center" vertical="center"/>
      <protection locked="0"/>
    </xf>
    <xf numFmtId="4" fontId="5" fillId="21" borderId="1" xfId="31" applyNumberFormat="1" applyFont="1" applyFill="1" applyBorder="1" applyAlignment="1">
      <alignment horizontal="center" vertical="center"/>
    </xf>
    <xf numFmtId="49" fontId="8" fillId="21" borderId="1" xfId="31" quotePrefix="1" applyNumberFormat="1" applyFont="1" applyFill="1" applyBorder="1" applyAlignment="1">
      <alignment horizontal="left"/>
    </xf>
    <xf numFmtId="0" fontId="5" fillId="21" borderId="1" xfId="31" applyFont="1" applyFill="1" applyBorder="1" applyAlignment="1">
      <alignment wrapText="1"/>
    </xf>
    <xf numFmtId="0" fontId="4" fillId="21" borderId="1" xfId="31" applyFont="1" applyFill="1" applyBorder="1" applyAlignment="1">
      <alignment vertical="center" wrapText="1"/>
    </xf>
    <xf numFmtId="166" fontId="4" fillId="21" borderId="1" xfId="31" applyNumberFormat="1" applyFont="1" applyFill="1" applyBorder="1" applyAlignment="1">
      <alignment vertical="center" wrapText="1"/>
    </xf>
    <xf numFmtId="4" fontId="5" fillId="21" borderId="1" xfId="31" applyNumberFormat="1" applyFont="1" applyFill="1" applyBorder="1" applyAlignment="1" applyProtection="1">
      <alignment horizontal="right" vertical="center"/>
      <protection locked="0"/>
    </xf>
    <xf numFmtId="165" fontId="5" fillId="21" borderId="1" xfId="15" applyFont="1" applyFill="1" applyBorder="1" applyAlignment="1" applyProtection="1">
      <alignment horizontal="right" vertical="center"/>
    </xf>
    <xf numFmtId="49" fontId="8" fillId="21" borderId="1" xfId="31" applyNumberFormat="1" applyFont="1" applyFill="1" applyBorder="1" applyAlignment="1">
      <alignment horizontal="left"/>
    </xf>
    <xf numFmtId="4" fontId="5" fillId="21" borderId="4" xfId="31" applyNumberFormat="1" applyFont="1" applyFill="1" applyBorder="1" applyAlignment="1" applyProtection="1">
      <alignment horizontal="right" vertical="center"/>
      <protection locked="0"/>
    </xf>
    <xf numFmtId="0" fontId="6" fillId="0" borderId="0" xfId="30" applyFont="1" applyAlignment="1">
      <alignment horizontal="center"/>
    </xf>
    <xf numFmtId="0" fontId="5" fillId="0" borderId="0" xfId="30" applyFont="1" applyAlignment="1">
      <alignment wrapText="1"/>
    </xf>
    <xf numFmtId="0" fontId="5" fillId="0" borderId="0" xfId="30" applyFont="1" applyAlignment="1">
      <alignment horizontal="center" vertical="center"/>
    </xf>
    <xf numFmtId="166" fontId="5" fillId="0" borderId="0" xfId="15" applyNumberFormat="1" applyFont="1" applyFill="1" applyAlignment="1">
      <alignment horizontal="right" vertical="center"/>
    </xf>
    <xf numFmtId="4" fontId="5" fillId="0" borderId="0" xfId="15" applyNumberFormat="1" applyFont="1" applyFill="1" applyAlignment="1" applyProtection="1">
      <alignment horizontal="right" vertical="center"/>
      <protection locked="0"/>
    </xf>
    <xf numFmtId="4" fontId="4" fillId="0" borderId="0" xfId="15" applyNumberFormat="1" applyFont="1" applyFill="1" applyBorder="1" applyAlignment="1">
      <alignment vertical="center"/>
    </xf>
    <xf numFmtId="165" fontId="9" fillId="0" borderId="0" xfId="15" applyFont="1" applyAlignment="1"/>
    <xf numFmtId="0" fontId="9" fillId="0" borderId="0" xfId="30" applyFont="1"/>
    <xf numFmtId="0" fontId="4" fillId="0" borderId="1" xfId="30" applyFont="1" applyBorder="1" applyAlignment="1">
      <alignment horizontal="justify" vertical="top" wrapText="1"/>
    </xf>
    <xf numFmtId="0" fontId="4" fillId="0" borderId="1" xfId="30" applyFont="1" applyBorder="1" applyAlignment="1">
      <alignment horizontal="center" vertical="center" wrapText="1"/>
    </xf>
    <xf numFmtId="0" fontId="59" fillId="0" borderId="0" xfId="30" applyFont="1"/>
    <xf numFmtId="0" fontId="17" fillId="0" borderId="1" xfId="31" applyFont="1" applyBorder="1" applyAlignment="1">
      <alignment vertical="top" wrapText="1"/>
    </xf>
    <xf numFmtId="0" fontId="4" fillId="0" borderId="1" xfId="31" applyFont="1" applyBorder="1" applyAlignment="1">
      <alignment wrapText="1"/>
    </xf>
    <xf numFmtId="166" fontId="4" fillId="0" borderId="1" xfId="15" applyNumberFormat="1" applyFont="1" applyFill="1" applyBorder="1" applyAlignment="1">
      <alignment vertical="center" wrapText="1"/>
    </xf>
    <xf numFmtId="0" fontId="6" fillId="21" borderId="1" xfId="30" applyFont="1" applyFill="1" applyBorder="1" applyAlignment="1">
      <alignment horizontal="center" vertical="top"/>
    </xf>
    <xf numFmtId="0" fontId="5" fillId="21" borderId="1" xfId="30" applyFont="1" applyFill="1" applyBorder="1" applyAlignment="1">
      <alignment vertical="top"/>
    </xf>
    <xf numFmtId="0" fontId="5" fillId="21" borderId="1" xfId="30" applyFont="1" applyFill="1" applyBorder="1" applyAlignment="1">
      <alignment vertical="center"/>
    </xf>
    <xf numFmtId="166" fontId="5" fillId="21" borderId="1" xfId="15" applyNumberFormat="1" applyFont="1" applyFill="1" applyBorder="1" applyAlignment="1">
      <alignment vertical="center"/>
    </xf>
    <xf numFmtId="4" fontId="5" fillId="21" borderId="1" xfId="15" applyNumberFormat="1" applyFont="1" applyFill="1" applyBorder="1" applyAlignment="1" applyProtection="1">
      <alignment vertical="center"/>
      <protection locked="0"/>
    </xf>
    <xf numFmtId="0" fontId="6" fillId="0" borderId="1" xfId="30" applyFont="1" applyBorder="1" applyAlignment="1">
      <alignment horizontal="center" vertical="center" wrapText="1"/>
    </xf>
    <xf numFmtId="0" fontId="5" fillId="0" borderId="1" xfId="30" applyFont="1" applyBorder="1" applyAlignment="1">
      <alignment horizontal="center" vertical="center" wrapText="1"/>
    </xf>
    <xf numFmtId="0" fontId="5" fillId="0" borderId="1" xfId="30" applyFont="1" applyBorder="1" applyAlignment="1">
      <alignment horizontal="justify" vertical="center" wrapText="1"/>
    </xf>
    <xf numFmtId="166" fontId="5" fillId="0" borderId="1" xfId="15" applyNumberFormat="1" applyFont="1" applyFill="1" applyBorder="1" applyAlignment="1">
      <alignment vertical="center"/>
    </xf>
    <xf numFmtId="4" fontId="5" fillId="0" borderId="1" xfId="15" applyNumberFormat="1" applyFont="1" applyFill="1" applyBorder="1" applyAlignment="1" applyProtection="1">
      <alignment horizontal="center" vertical="center" wrapText="1"/>
      <protection locked="0"/>
    </xf>
    <xf numFmtId="4" fontId="5" fillId="0" borderId="1" xfId="15" applyNumberFormat="1" applyFont="1" applyFill="1" applyBorder="1" applyAlignment="1">
      <alignment horizontal="center" vertical="center"/>
    </xf>
    <xf numFmtId="0" fontId="2" fillId="0" borderId="1" xfId="30" applyFont="1" applyBorder="1" applyAlignment="1">
      <alignment horizontal="center" vertical="top" wrapText="1"/>
    </xf>
    <xf numFmtId="0" fontId="2" fillId="0" borderId="0" xfId="30" applyFont="1" applyAlignment="1">
      <alignment horizontal="justify" vertical="top" wrapText="1"/>
    </xf>
    <xf numFmtId="4" fontId="2" fillId="0" borderId="0" xfId="30" applyNumberFormat="1" applyFont="1" applyAlignment="1">
      <alignment horizontal="justify" vertical="top" wrapText="1"/>
    </xf>
    <xf numFmtId="4" fontId="2" fillId="0" borderId="0" xfId="30" applyNumberFormat="1" applyFont="1"/>
    <xf numFmtId="0" fontId="5" fillId="21" borderId="1" xfId="30" applyFont="1" applyFill="1" applyBorder="1" applyAlignment="1">
      <alignment horizontal="center" vertical="center"/>
    </xf>
    <xf numFmtId="0" fontId="59" fillId="0" borderId="0" xfId="30" applyFont="1" applyAlignment="1">
      <alignment horizontal="justify" vertical="top" wrapText="1"/>
    </xf>
    <xf numFmtId="0" fontId="17" fillId="0" borderId="1" xfId="30" applyFont="1" applyBorder="1" applyAlignment="1">
      <alignment horizontal="justify" wrapText="1"/>
    </xf>
    <xf numFmtId="166" fontId="17" fillId="0" borderId="1" xfId="15" applyNumberFormat="1" applyFont="1" applyFill="1" applyBorder="1" applyAlignment="1">
      <alignment horizontal="right" vertical="center" wrapText="1"/>
    </xf>
    <xf numFmtId="4" fontId="59" fillId="0" borderId="0" xfId="30" applyNumberFormat="1" applyFont="1" applyAlignment="1">
      <alignment horizontal="justify" vertical="top" wrapText="1"/>
    </xf>
    <xf numFmtId="4" fontId="59" fillId="0" borderId="0" xfId="30" applyNumberFormat="1" applyFont="1"/>
    <xf numFmtId="0" fontId="5" fillId="0" borderId="1" xfId="31" applyFont="1" applyBorder="1" applyAlignment="1">
      <alignment horizontal="left" vertical="top" wrapText="1"/>
    </xf>
    <xf numFmtId="0" fontId="6" fillId="0" borderId="1" xfId="30" applyFont="1" applyBorder="1" applyAlignment="1">
      <alignment horizontal="center" vertical="center"/>
    </xf>
    <xf numFmtId="0" fontId="4" fillId="0" borderId="1" xfId="31" applyFont="1" applyBorder="1" applyAlignment="1">
      <alignment horizontal="left" vertical="center" wrapText="1"/>
    </xf>
    <xf numFmtId="165" fontId="2" fillId="0" borderId="0" xfId="15" applyFont="1" applyAlignment="1">
      <alignment vertical="center"/>
    </xf>
    <xf numFmtId="0" fontId="2" fillId="0" borderId="0" xfId="30" applyFont="1" applyAlignment="1">
      <alignment vertical="center"/>
    </xf>
    <xf numFmtId="0" fontId="5" fillId="0" borderId="1" xfId="30" applyFont="1" applyBorder="1" applyAlignment="1">
      <alignment vertical="top" wrapText="1"/>
    </xf>
    <xf numFmtId="0" fontId="23" fillId="26" borderId="1" xfId="31" applyFont="1" applyFill="1" applyBorder="1" applyAlignment="1">
      <alignment vertical="top" wrapText="1"/>
    </xf>
    <xf numFmtId="0" fontId="4" fillId="26" borderId="1" xfId="30" applyFont="1" applyFill="1" applyBorder="1" applyAlignment="1">
      <alignment vertical="center"/>
    </xf>
    <xf numFmtId="166" fontId="4" fillId="26" borderId="1" xfId="15" applyNumberFormat="1" applyFont="1" applyFill="1" applyBorder="1" applyAlignment="1">
      <alignment vertical="center"/>
    </xf>
    <xf numFmtId="4" fontId="4" fillId="26" borderId="1" xfId="15" applyNumberFormat="1" applyFont="1" applyFill="1" applyBorder="1" applyAlignment="1" applyProtection="1">
      <alignment vertical="center"/>
      <protection locked="0"/>
    </xf>
    <xf numFmtId="4" fontId="4" fillId="26" borderId="1" xfId="15" applyNumberFormat="1" applyFont="1" applyFill="1" applyBorder="1" applyAlignment="1">
      <alignment vertical="center"/>
    </xf>
    <xf numFmtId="0" fontId="17" fillId="26" borderId="1" xfId="31" applyFont="1" applyFill="1" applyBorder="1" applyAlignment="1">
      <alignment vertical="center" wrapText="1"/>
    </xf>
    <xf numFmtId="0" fontId="4" fillId="26" borderId="1" xfId="30" applyFont="1" applyFill="1" applyBorder="1" applyAlignment="1">
      <alignment horizontal="center" vertical="center"/>
    </xf>
    <xf numFmtId="165" fontId="4" fillId="26" borderId="1" xfId="15" applyFont="1" applyFill="1" applyBorder="1" applyAlignment="1" applyProtection="1">
      <alignment vertical="center"/>
      <protection locked="0"/>
    </xf>
    <xf numFmtId="165" fontId="4" fillId="26" borderId="1" xfId="15" applyFont="1" applyFill="1" applyBorder="1" applyAlignment="1">
      <alignment vertical="center"/>
    </xf>
    <xf numFmtId="0" fontId="17" fillId="26" borderId="1" xfId="31" applyFont="1" applyFill="1" applyBorder="1" applyAlignment="1">
      <alignment vertical="top" wrapText="1"/>
    </xf>
    <xf numFmtId="0" fontId="5" fillId="21" borderId="1" xfId="30" applyFont="1" applyFill="1" applyBorder="1" applyAlignment="1">
      <alignment horizontal="justify" vertical="center" wrapText="1"/>
    </xf>
    <xf numFmtId="0" fontId="4" fillId="21" borderId="1" xfId="30" applyFont="1" applyFill="1" applyBorder="1" applyAlignment="1">
      <alignment horizontal="center" vertical="center"/>
    </xf>
    <xf numFmtId="166" fontId="4" fillId="21" borderId="1" xfId="15" applyNumberFormat="1" applyFont="1" applyFill="1" applyBorder="1" applyAlignment="1">
      <alignment vertical="center"/>
    </xf>
    <xf numFmtId="4" fontId="4" fillId="21" borderId="1" xfId="15" applyNumberFormat="1" applyFont="1" applyFill="1" applyBorder="1" applyAlignment="1" applyProtection="1">
      <alignment vertical="center"/>
      <protection locked="0"/>
    </xf>
    <xf numFmtId="165" fontId="5" fillId="21" borderId="1" xfId="15" applyFont="1" applyFill="1" applyBorder="1" applyAlignment="1">
      <alignment vertical="center"/>
    </xf>
    <xf numFmtId="0" fontId="59" fillId="0" borderId="0" xfId="30" applyFont="1" applyAlignment="1">
      <alignment vertical="center"/>
    </xf>
    <xf numFmtId="0" fontId="5" fillId="0" borderId="12" xfId="38" applyFont="1" applyBorder="1" applyAlignment="1">
      <alignment vertical="top" wrapText="1"/>
    </xf>
    <xf numFmtId="170" fontId="47" fillId="16" borderId="14" xfId="34" applyNumberFormat="1" applyFont="1" applyFill="1" applyBorder="1" applyAlignment="1">
      <alignment horizontal="center" vertical="center"/>
    </xf>
    <xf numFmtId="2" fontId="47" fillId="16" borderId="14" xfId="34" applyNumberFormat="1" applyFont="1" applyFill="1" applyBorder="1" applyAlignment="1">
      <alignment horizontal="right" vertical="center"/>
    </xf>
    <xf numFmtId="170" fontId="48" fillId="0" borderId="14" xfId="34" applyNumberFormat="1" applyFont="1" applyBorder="1" applyAlignment="1">
      <alignment horizontal="center" vertical="center"/>
    </xf>
    <xf numFmtId="2" fontId="48" fillId="0" borderId="14" xfId="34" applyNumberFormat="1" applyFont="1" applyBorder="1" applyAlignment="1">
      <alignment horizontal="right" vertical="center"/>
    </xf>
    <xf numFmtId="170" fontId="4" fillId="0" borderId="14" xfId="34" applyNumberFormat="1" applyFont="1" applyBorder="1" applyAlignment="1">
      <alignment horizontal="center" vertical="center"/>
    </xf>
    <xf numFmtId="2" fontId="4" fillId="0" borderId="14" xfId="34" applyNumberFormat="1" applyFont="1" applyBorder="1" applyAlignment="1">
      <alignment horizontal="right" vertical="center"/>
    </xf>
    <xf numFmtId="165" fontId="4" fillId="0" borderId="0" xfId="15" applyFont="1" applyFill="1" applyBorder="1" applyAlignment="1">
      <alignment vertical="center"/>
    </xf>
    <xf numFmtId="0" fontId="2" fillId="0" borderId="0" xfId="30" applyFont="1" applyAlignment="1">
      <alignment wrapText="1"/>
    </xf>
    <xf numFmtId="165" fontId="9" fillId="0" borderId="0" xfId="15" applyFont="1" applyFill="1" applyAlignment="1"/>
    <xf numFmtId="4" fontId="2" fillId="0" borderId="1" xfId="30" applyNumberFormat="1" applyFont="1" applyBorder="1" applyAlignment="1">
      <alignment horizontal="justify" vertical="top" wrapText="1"/>
    </xf>
    <xf numFmtId="0" fontId="3" fillId="0" borderId="1" xfId="28" applyFont="1" applyBorder="1" applyAlignment="1">
      <alignment horizontal="left" vertical="top" wrapText="1"/>
    </xf>
    <xf numFmtId="165" fontId="4" fillId="0" borderId="1" xfId="15" applyFont="1" applyFill="1" applyBorder="1" applyAlignment="1">
      <alignment horizontal="center" vertical="center"/>
    </xf>
    <xf numFmtId="175" fontId="3" fillId="0" borderId="12" xfId="28" applyNumberFormat="1" applyFont="1" applyBorder="1"/>
    <xf numFmtId="0" fontId="3" fillId="0" borderId="0" xfId="28" applyFont="1" applyAlignment="1">
      <alignment horizontal="left" vertical="top" wrapText="1"/>
    </xf>
    <xf numFmtId="0" fontId="3" fillId="0" borderId="0" xfId="28" applyFont="1"/>
    <xf numFmtId="175" fontId="3" fillId="0" borderId="0" xfId="28" applyNumberFormat="1" applyFont="1"/>
    <xf numFmtId="0" fontId="3" fillId="0" borderId="0" xfId="28" applyFont="1" applyAlignment="1">
      <alignment horizontal="left"/>
    </xf>
    <xf numFmtId="175" fontId="71" fillId="0" borderId="0" xfId="28" applyNumberFormat="1" applyFont="1"/>
    <xf numFmtId="0" fontId="71" fillId="0" borderId="0" xfId="28" applyFont="1" applyAlignment="1">
      <alignment horizontal="left"/>
    </xf>
    <xf numFmtId="165" fontId="2" fillId="0" borderId="0" xfId="15" applyFont="1" applyFill="1" applyAlignment="1">
      <alignment vertical="center"/>
    </xf>
    <xf numFmtId="0" fontId="17" fillId="0" borderId="1" xfId="31" applyFont="1" applyBorder="1" applyAlignment="1">
      <alignment vertical="center" wrapText="1"/>
    </xf>
    <xf numFmtId="0" fontId="5" fillId="0" borderId="12" xfId="40" applyFont="1" applyBorder="1" applyAlignment="1">
      <alignment vertical="top" wrapText="1"/>
    </xf>
    <xf numFmtId="4" fontId="5" fillId="0" borderId="14" xfId="10" applyNumberFormat="1" applyFont="1" applyBorder="1" applyAlignment="1" applyProtection="1">
      <alignment horizontal="right" vertical="center"/>
      <protection locked="0"/>
    </xf>
    <xf numFmtId="0" fontId="17" fillId="0" borderId="14" xfId="40" applyFont="1" applyBorder="1" applyAlignment="1" applyProtection="1">
      <alignment horizontal="right" vertical="center" wrapText="1"/>
      <protection locked="0"/>
    </xf>
    <xf numFmtId="2" fontId="4" fillId="0" borderId="14" xfId="40" applyNumberFormat="1" applyFont="1" applyBorder="1" applyAlignment="1" applyProtection="1">
      <alignment horizontal="right" vertical="center" wrapText="1"/>
      <protection locked="0"/>
    </xf>
    <xf numFmtId="49" fontId="46" fillId="16" borderId="14" xfId="40" applyNumberFormat="1" applyFont="1" applyFill="1" applyBorder="1" applyAlignment="1">
      <alignment horizontal="left" vertical="top" wrapText="1"/>
    </xf>
    <xf numFmtId="0" fontId="17" fillId="16" borderId="14" xfId="40" applyFont="1" applyFill="1" applyBorder="1" applyAlignment="1" applyProtection="1">
      <alignment horizontal="right" vertical="center" wrapText="1"/>
      <protection locked="0"/>
    </xf>
    <xf numFmtId="49" fontId="17" fillId="0" borderId="14" xfId="40" applyNumberFormat="1" applyFont="1" applyBorder="1" applyAlignment="1">
      <alignment horizontal="left" vertical="top" wrapText="1"/>
    </xf>
    <xf numFmtId="49" fontId="17" fillId="0" borderId="14" xfId="40" applyNumberFormat="1" applyFont="1" applyBorder="1" applyAlignment="1">
      <alignment horizontal="left" vertical="center" wrapText="1"/>
    </xf>
    <xf numFmtId="0" fontId="17" fillId="0" borderId="0" xfId="40" applyFont="1" applyAlignment="1">
      <alignment vertical="top" wrapText="1"/>
    </xf>
    <xf numFmtId="49" fontId="17" fillId="0" borderId="0" xfId="40" applyNumberFormat="1" applyFont="1" applyAlignment="1">
      <alignment horizontal="left" vertical="top" wrapText="1"/>
    </xf>
    <xf numFmtId="0" fontId="17" fillId="0" borderId="0" xfId="40" applyFont="1" applyAlignment="1">
      <alignment horizontal="center" vertical="center" wrapText="1"/>
    </xf>
    <xf numFmtId="2" fontId="17" fillId="0" borderId="0" xfId="40" applyNumberFormat="1" applyFont="1" applyAlignment="1">
      <alignment horizontal="right" vertical="center" wrapText="1"/>
    </xf>
    <xf numFmtId="4" fontId="5" fillId="0" borderId="0" xfId="10" applyNumberFormat="1" applyFont="1" applyAlignment="1" applyProtection="1">
      <alignment horizontal="right" vertical="center"/>
      <protection locked="0"/>
    </xf>
    <xf numFmtId="0" fontId="6" fillId="0" borderId="0" xfId="6" applyFont="1" applyAlignment="1">
      <alignment horizontal="center"/>
    </xf>
    <xf numFmtId="0" fontId="6" fillId="0" borderId="0" xfId="6" applyFont="1" applyAlignment="1">
      <alignment wrapText="1"/>
    </xf>
    <xf numFmtId="0" fontId="4" fillId="19" borderId="3" xfId="28" applyFont="1" applyFill="1" applyBorder="1" applyAlignment="1">
      <alignment horizontal="left" vertical="center"/>
    </xf>
    <xf numFmtId="166" fontId="4" fillId="19" borderId="3" xfId="28" applyNumberFormat="1" applyFont="1" applyFill="1" applyBorder="1" applyAlignment="1">
      <alignment horizontal="left" vertical="center"/>
    </xf>
    <xf numFmtId="4" fontId="4" fillId="19" borderId="3" xfId="28" applyNumberFormat="1" applyFont="1" applyFill="1" applyBorder="1" applyAlignment="1" applyProtection="1">
      <alignment horizontal="left" vertical="center"/>
      <protection locked="0"/>
    </xf>
    <xf numFmtId="49" fontId="14" fillId="19" borderId="4" xfId="28" applyNumberFormat="1" applyFont="1" applyFill="1" applyBorder="1" applyAlignment="1">
      <alignment horizontal="left" vertical="center"/>
    </xf>
    <xf numFmtId="171" fontId="2" fillId="0" borderId="0" xfId="6" applyNumberFormat="1" applyFont="1"/>
    <xf numFmtId="0" fontId="2" fillId="0" borderId="1" xfId="6" applyFont="1" applyBorder="1" applyAlignment="1">
      <alignment horizontal="center"/>
    </xf>
    <xf numFmtId="165" fontId="2" fillId="0" borderId="1" xfId="15" applyFont="1" applyFill="1" applyBorder="1" applyAlignment="1">
      <alignment horizontal="center"/>
    </xf>
    <xf numFmtId="0" fontId="2" fillId="0" borderId="10" xfId="6" applyFont="1" applyBorder="1" applyAlignment="1">
      <alignment horizontal="center" vertical="top"/>
    </xf>
    <xf numFmtId="0" fontId="2" fillId="0" borderId="10" xfId="6" applyFont="1" applyBorder="1" applyAlignment="1">
      <alignment vertical="top" wrapText="1"/>
    </xf>
    <xf numFmtId="0" fontId="2" fillId="0" borderId="10" xfId="6" applyFont="1" applyBorder="1"/>
    <xf numFmtId="4" fontId="2" fillId="0" borderId="10" xfId="15" applyNumberFormat="1" applyFont="1" applyBorder="1" applyAlignment="1"/>
    <xf numFmtId="165" fontId="2" fillId="0" borderId="10" xfId="15" applyFont="1" applyFill="1" applyBorder="1" applyAlignment="1"/>
    <xf numFmtId="165" fontId="2" fillId="0" borderId="10" xfId="15" applyFont="1" applyBorder="1"/>
    <xf numFmtId="0" fontId="6" fillId="0" borderId="5" xfId="6" applyFont="1" applyBorder="1" applyAlignment="1">
      <alignment horizontal="center" vertical="top"/>
    </xf>
    <xf numFmtId="0" fontId="6" fillId="0" borderId="5" xfId="6" applyFont="1" applyBorder="1" applyAlignment="1">
      <alignment wrapText="1"/>
    </xf>
    <xf numFmtId="4" fontId="2" fillId="0" borderId="5" xfId="15" applyNumberFormat="1" applyFont="1" applyBorder="1" applyAlignment="1"/>
    <xf numFmtId="165" fontId="2" fillId="0" borderId="5" xfId="15" applyFont="1" applyFill="1" applyBorder="1" applyAlignment="1"/>
    <xf numFmtId="165" fontId="2" fillId="0" borderId="5" xfId="15" applyFont="1" applyBorder="1"/>
    <xf numFmtId="0" fontId="2" fillId="0" borderId="1" xfId="6" applyFont="1" applyBorder="1" applyAlignment="1">
      <alignment horizontal="justify" wrapText="1"/>
    </xf>
    <xf numFmtId="0" fontId="63" fillId="0" borderId="1" xfId="6" applyFont="1" applyBorder="1" applyAlignment="1">
      <alignment horizontal="justify" wrapText="1"/>
    </xf>
    <xf numFmtId="0" fontId="2" fillId="0" borderId="1" xfId="6" applyFont="1" applyBorder="1"/>
    <xf numFmtId="4" fontId="63" fillId="0" borderId="0" xfId="15" applyNumberFormat="1" applyFont="1" applyFill="1" applyBorder="1" applyAlignment="1">
      <alignment horizontal="right" wrapText="1"/>
    </xf>
    <xf numFmtId="169" fontId="2" fillId="0" borderId="0" xfId="6" applyNumberFormat="1" applyFont="1"/>
    <xf numFmtId="0" fontId="6" fillId="0" borderId="1" xfId="6" applyFont="1" applyBorder="1" applyAlignment="1">
      <alignment vertical="top" wrapText="1"/>
    </xf>
    <xf numFmtId="0" fontId="6" fillId="0" borderId="1" xfId="6" applyFont="1" applyBorder="1" applyAlignment="1">
      <alignment horizontal="center"/>
    </xf>
    <xf numFmtId="4" fontId="6" fillId="0" borderId="1" xfId="15" applyNumberFormat="1" applyFont="1" applyBorder="1" applyAlignment="1"/>
    <xf numFmtId="165" fontId="6" fillId="0" borderId="1" xfId="15" applyFont="1" applyFill="1" applyBorder="1" applyAlignment="1"/>
    <xf numFmtId="165" fontId="6" fillId="0" borderId="1" xfId="15" applyFont="1" applyBorder="1"/>
    <xf numFmtId="166" fontId="2" fillId="0" borderId="0" xfId="6" applyNumberFormat="1" applyFont="1"/>
    <xf numFmtId="165" fontId="2" fillId="0" borderId="0" xfId="6" applyNumberFormat="1" applyFont="1"/>
    <xf numFmtId="0" fontId="2" fillId="0" borderId="1" xfId="6" applyFont="1" applyBorder="1" applyAlignment="1">
      <alignment vertical="top" wrapText="1"/>
    </xf>
    <xf numFmtId="0" fontId="21" fillId="0" borderId="1" xfId="28" applyFont="1" applyBorder="1"/>
    <xf numFmtId="49" fontId="8" fillId="0" borderId="0" xfId="28" quotePrefix="1" applyNumberFormat="1" applyFont="1" applyAlignment="1">
      <alignment vertical="center"/>
    </xf>
    <xf numFmtId="0" fontId="8" fillId="0" borderId="0" xfId="28" applyFont="1" applyAlignment="1">
      <alignment vertical="center"/>
    </xf>
    <xf numFmtId="0" fontId="3" fillId="0" borderId="0" xfId="28" applyFont="1" applyAlignment="1">
      <alignment vertical="center"/>
    </xf>
    <xf numFmtId="166" fontId="3" fillId="0" borderId="0" xfId="28" applyNumberFormat="1" applyFont="1" applyAlignment="1">
      <alignment vertical="center"/>
    </xf>
    <xf numFmtId="4" fontId="8" fillId="0" borderId="0" xfId="28" applyNumberFormat="1" applyFont="1" applyAlignment="1" applyProtection="1">
      <alignment vertical="center"/>
      <protection locked="0"/>
    </xf>
    <xf numFmtId="165" fontId="8" fillId="0" borderId="0" xfId="15" applyFont="1" applyFill="1" applyBorder="1" applyAlignment="1" applyProtection="1">
      <alignment vertical="center"/>
    </xf>
    <xf numFmtId="0" fontId="4" fillId="0" borderId="1" xfId="7" applyFont="1" applyBorder="1" applyAlignment="1">
      <alignment horizontal="center" vertical="top"/>
    </xf>
    <xf numFmtId="0" fontId="66" fillId="0" borderId="1" xfId="28" applyFont="1" applyBorder="1" applyAlignment="1">
      <alignment horizontal="justify" vertical="top" wrapText="1"/>
    </xf>
    <xf numFmtId="0" fontId="66" fillId="0" borderId="1" xfId="28" applyFont="1" applyBorder="1" applyAlignment="1">
      <alignment horizontal="center" wrapText="1"/>
    </xf>
    <xf numFmtId="0" fontId="6" fillId="0" borderId="1" xfId="6" applyFont="1" applyBorder="1" applyAlignment="1">
      <alignment horizontal="center" vertical="top"/>
    </xf>
    <xf numFmtId="0" fontId="6" fillId="0" borderId="1" xfId="6" applyFont="1" applyBorder="1" applyAlignment="1">
      <alignment wrapText="1"/>
    </xf>
    <xf numFmtId="9" fontId="2" fillId="0" borderId="0" xfId="6" applyNumberFormat="1" applyFont="1"/>
    <xf numFmtId="165" fontId="3" fillId="0" borderId="1" xfId="15" applyFont="1" applyBorder="1" applyAlignment="1"/>
    <xf numFmtId="0" fontId="3" fillId="0" borderId="1" xfId="28" applyFont="1" applyBorder="1" applyAlignment="1">
      <alignment horizontal="justify" vertical="top" wrapText="1"/>
    </xf>
    <xf numFmtId="4" fontId="63" fillId="0" borderId="1" xfId="15" applyNumberFormat="1" applyFont="1" applyBorder="1" applyAlignment="1"/>
    <xf numFmtId="4" fontId="63" fillId="0" borderId="0" xfId="15" applyNumberFormat="1" applyFont="1" applyFill="1" applyBorder="1" applyAlignment="1"/>
    <xf numFmtId="165" fontId="63" fillId="0" borderId="1" xfId="15" applyFont="1" applyFill="1" applyBorder="1" applyAlignment="1">
      <alignment vertical="top" wrapText="1"/>
    </xf>
    <xf numFmtId="0" fontId="21" fillId="0" borderId="1" xfId="41" applyFont="1" applyBorder="1" applyAlignment="1">
      <alignment vertical="center" wrapText="1"/>
    </xf>
    <xf numFmtId="0" fontId="3" fillId="0" borderId="1" xfId="7" applyFont="1" applyBorder="1" applyAlignment="1">
      <alignment horizontal="left" vertical="center"/>
    </xf>
    <xf numFmtId="4" fontId="3" fillId="0" borderId="1" xfId="7" applyNumberFormat="1" applyFont="1" applyBorder="1" applyAlignment="1">
      <alignment horizontal="right" vertical="center"/>
    </xf>
    <xf numFmtId="165" fontId="3" fillId="0" borderId="1" xfId="15" applyFont="1" applyFill="1" applyBorder="1" applyAlignment="1"/>
    <xf numFmtId="49" fontId="3" fillId="0" borderId="1" xfId="7" applyNumberFormat="1" applyFont="1" applyBorder="1" applyAlignment="1">
      <alignment horizontal="left" vertical="center" wrapText="1"/>
    </xf>
    <xf numFmtId="0" fontId="2" fillId="0" borderId="1" xfId="28" applyFont="1" applyBorder="1" applyAlignment="1">
      <alignment horizontal="center" vertical="top"/>
    </xf>
    <xf numFmtId="0" fontId="2" fillId="0" borderId="1" xfId="28" applyFont="1" applyBorder="1" applyAlignment="1">
      <alignment wrapText="1"/>
    </xf>
    <xf numFmtId="165" fontId="2" fillId="0" borderId="1" xfId="15" applyFont="1" applyBorder="1" applyAlignment="1">
      <alignment wrapText="1"/>
    </xf>
    <xf numFmtId="0" fontId="6" fillId="0" borderId="10" xfId="6" applyFont="1" applyBorder="1" applyAlignment="1">
      <alignment horizontal="center" vertical="top"/>
    </xf>
    <xf numFmtId="0" fontId="6" fillId="0" borderId="10" xfId="6" applyFont="1" applyBorder="1" applyAlignment="1">
      <alignment vertical="top" wrapText="1"/>
    </xf>
    <xf numFmtId="0" fontId="6" fillId="0" borderId="10" xfId="6" applyFont="1" applyBorder="1" applyAlignment="1">
      <alignment horizontal="center"/>
    </xf>
    <xf numFmtId="0" fontId="2" fillId="0" borderId="0" xfId="6" applyFont="1" applyAlignment="1">
      <alignment wrapText="1"/>
    </xf>
    <xf numFmtId="0" fontId="2" fillId="0" borderId="0" xfId="6" applyFont="1" applyAlignment="1">
      <alignment horizontal="center"/>
    </xf>
    <xf numFmtId="0" fontId="2" fillId="0" borderId="1" xfId="31" applyFont="1" applyBorder="1" applyAlignment="1">
      <alignment wrapText="1"/>
    </xf>
    <xf numFmtId="49" fontId="2" fillId="0" borderId="10" xfId="6" applyNumberFormat="1" applyFont="1" applyBorder="1" applyAlignment="1">
      <alignment horizontal="center" vertical="top" wrapText="1"/>
    </xf>
    <xf numFmtId="0" fontId="2" fillId="0" borderId="10" xfId="31" applyFont="1" applyBorder="1" applyAlignment="1">
      <alignment wrapText="1"/>
    </xf>
    <xf numFmtId="0" fontId="2" fillId="0" borderId="10" xfId="6" applyFont="1" applyBorder="1" applyAlignment="1">
      <alignment horizontal="center" wrapText="1"/>
    </xf>
    <xf numFmtId="165" fontId="2" fillId="0" borderId="10" xfId="15" applyFont="1" applyFill="1" applyBorder="1" applyAlignment="1">
      <alignment horizontal="center"/>
    </xf>
    <xf numFmtId="173" fontId="2" fillId="0" borderId="0" xfId="6" applyNumberFormat="1" applyFont="1"/>
    <xf numFmtId="177" fontId="2" fillId="0" borderId="0" xfId="6" applyNumberFormat="1" applyFont="1"/>
    <xf numFmtId="49" fontId="2" fillId="0" borderId="13" xfId="30" applyNumberFormat="1" applyFont="1" applyBorder="1" applyAlignment="1">
      <alignment horizontal="center" vertical="center" wrapText="1"/>
    </xf>
    <xf numFmtId="0" fontId="2" fillId="0" borderId="14" xfId="30" applyFont="1" applyBorder="1" applyAlignment="1">
      <alignment horizontal="center" vertical="center" wrapText="1"/>
    </xf>
    <xf numFmtId="0" fontId="2" fillId="0" borderId="13" xfId="30" applyFont="1" applyBorder="1" applyAlignment="1">
      <alignment horizontal="center" vertical="center" wrapText="1"/>
    </xf>
    <xf numFmtId="0" fontId="6" fillId="0" borderId="5" xfId="6" applyFont="1" applyBorder="1" applyAlignment="1">
      <alignment horizontal="justify" vertical="top" wrapText="1"/>
    </xf>
    <xf numFmtId="0" fontId="2" fillId="0" borderId="5" xfId="6" applyFont="1" applyBorder="1" applyAlignment="1">
      <alignment horizontal="center"/>
    </xf>
    <xf numFmtId="168" fontId="2" fillId="0" borderId="0" xfId="6" applyNumberFormat="1" applyFont="1"/>
    <xf numFmtId="178" fontId="2" fillId="0" borderId="0" xfId="6" applyNumberFormat="1" applyFont="1"/>
    <xf numFmtId="4" fontId="6" fillId="0" borderId="0" xfId="15" applyNumberFormat="1" applyFont="1"/>
    <xf numFmtId="165" fontId="6" fillId="0" borderId="0" xfId="15" applyFont="1" applyFill="1"/>
    <xf numFmtId="16" fontId="2" fillId="0" borderId="1" xfId="6" applyNumberFormat="1" applyFont="1" applyBorder="1" applyAlignment="1">
      <alignment horizontal="center" vertical="top" wrapText="1"/>
    </xf>
    <xf numFmtId="16" fontId="6" fillId="0" borderId="0" xfId="6" applyNumberFormat="1" applyFont="1" applyAlignment="1">
      <alignment horizontal="center" vertical="top"/>
    </xf>
    <xf numFmtId="0" fontId="6" fillId="0" borderId="0" xfId="6" applyFont="1" applyAlignment="1">
      <alignment horizontal="justify" vertical="top" wrapText="1"/>
    </xf>
    <xf numFmtId="49" fontId="6" fillId="0" borderId="13" xfId="30" applyNumberFormat="1" applyFont="1" applyBorder="1" applyAlignment="1">
      <alignment horizontal="center" vertical="center"/>
    </xf>
    <xf numFmtId="0" fontId="8" fillId="0" borderId="0" xfId="28" applyFont="1" applyAlignment="1">
      <alignment horizontal="left"/>
    </xf>
    <xf numFmtId="1" fontId="3" fillId="0" borderId="1" xfId="28" applyNumberFormat="1" applyFont="1" applyBorder="1" applyAlignment="1">
      <alignment horizontal="left" vertical="top"/>
    </xf>
    <xf numFmtId="0" fontId="3" fillId="0" borderId="1" xfId="28" applyFont="1" applyBorder="1" applyAlignment="1">
      <alignment horizontal="left"/>
    </xf>
    <xf numFmtId="49" fontId="3" fillId="0" borderId="1" xfId="28" applyNumberFormat="1" applyFont="1" applyBorder="1" applyAlignment="1">
      <alignment horizontal="left" vertical="top"/>
    </xf>
    <xf numFmtId="1" fontId="67" fillId="0" borderId="1" xfId="42" applyNumberFormat="1" applyFont="1" applyFill="1" applyBorder="1" applyAlignment="1" applyProtection="1">
      <alignment horizontal="left" vertical="top"/>
    </xf>
    <xf numFmtId="0" fontId="3" fillId="0" borderId="1" xfId="6" applyFont="1" applyBorder="1" applyAlignment="1">
      <alignment horizontal="center" vertical="center" wrapText="1"/>
    </xf>
    <xf numFmtId="49" fontId="3" fillId="0" borderId="14" xfId="28" applyNumberFormat="1" applyFont="1" applyBorder="1" applyAlignment="1">
      <alignment horizontal="left" vertical="top"/>
    </xf>
    <xf numFmtId="0" fontId="3" fillId="0" borderId="14" xfId="28" applyFont="1" applyBorder="1" applyAlignment="1">
      <alignment horizontal="left" vertical="top" wrapText="1"/>
    </xf>
    <xf numFmtId="49" fontId="3" fillId="0" borderId="1" xfId="28" applyNumberFormat="1" applyFont="1" applyBorder="1" applyAlignment="1">
      <alignment horizontal="left" vertical="top" wrapText="1"/>
    </xf>
    <xf numFmtId="0" fontId="3" fillId="0" borderId="1" xfId="28" quotePrefix="1" applyFont="1" applyBorder="1" applyAlignment="1">
      <alignment horizontal="left" vertical="top"/>
    </xf>
    <xf numFmtId="0" fontId="3" fillId="0" borderId="1" xfId="28" applyFont="1" applyBorder="1" applyAlignment="1">
      <alignment vertical="top" wrapText="1"/>
    </xf>
    <xf numFmtId="0" fontId="8" fillId="0" borderId="32" xfId="28" applyFont="1" applyBorder="1" applyAlignment="1">
      <alignment horizontal="left" vertical="center"/>
    </xf>
    <xf numFmtId="0" fontId="8" fillId="0" borderId="33" xfId="28" applyFont="1" applyBorder="1" applyAlignment="1">
      <alignment horizontal="left" vertical="center"/>
    </xf>
    <xf numFmtId="175" fontId="87" fillId="0" borderId="34" xfId="28" applyNumberFormat="1" applyFont="1" applyBorder="1" applyAlignment="1">
      <alignment vertical="center"/>
    </xf>
    <xf numFmtId="0" fontId="87" fillId="0" borderId="33" xfId="28" applyFont="1" applyBorder="1" applyAlignment="1">
      <alignment vertical="center"/>
    </xf>
    <xf numFmtId="0" fontId="6" fillId="21" borderId="5" xfId="1" applyFont="1" applyFill="1" applyBorder="1" applyAlignment="1">
      <alignment horizontal="center" vertical="center"/>
    </xf>
    <xf numFmtId="0" fontId="6" fillId="21" borderId="5" xfId="1" applyFont="1" applyFill="1" applyBorder="1" applyAlignment="1">
      <alignment vertical="center"/>
    </xf>
    <xf numFmtId="166" fontId="6" fillId="21" borderId="5" xfId="15" applyNumberFormat="1" applyFont="1" applyFill="1" applyBorder="1" applyAlignment="1">
      <alignment vertical="center"/>
    </xf>
    <xf numFmtId="4" fontId="6" fillId="21" borderId="5" xfId="15" applyNumberFormat="1" applyFont="1" applyFill="1" applyBorder="1" applyAlignment="1" applyProtection="1">
      <alignment vertical="center"/>
      <protection locked="0"/>
    </xf>
    <xf numFmtId="165" fontId="6" fillId="21" borderId="5" xfId="29" applyFont="1" applyFill="1" applyBorder="1" applyAlignment="1">
      <alignment vertical="center"/>
    </xf>
    <xf numFmtId="1" fontId="3" fillId="0" borderId="7" xfId="28" applyNumberFormat="1" applyFont="1" applyBorder="1" applyAlignment="1">
      <alignment horizontal="left"/>
    </xf>
    <xf numFmtId="0" fontId="3" fillId="0" borderId="7" xfId="28" applyFont="1" applyBorder="1"/>
    <xf numFmtId="1" fontId="8" fillId="0" borderId="4" xfId="28" quotePrefix="1" applyNumberFormat="1" applyFont="1" applyBorder="1" applyAlignment="1">
      <alignment horizontal="left" vertical="top"/>
    </xf>
    <xf numFmtId="0" fontId="8" fillId="0" borderId="3" xfId="28" applyFont="1" applyBorder="1" applyAlignment="1">
      <alignment horizontal="left"/>
    </xf>
    <xf numFmtId="1" fontId="8" fillId="0" borderId="15" xfId="28" quotePrefix="1" applyNumberFormat="1" applyFont="1" applyBorder="1" applyAlignment="1">
      <alignment horizontal="left" vertical="top"/>
    </xf>
    <xf numFmtId="0" fontId="8" fillId="0" borderId="1" xfId="6" applyFont="1" applyBorder="1" applyAlignment="1">
      <alignment horizontal="left" vertical="top"/>
    </xf>
    <xf numFmtId="1" fontId="8" fillId="0" borderId="1" xfId="28" quotePrefix="1" applyNumberFormat="1" applyFont="1" applyBorder="1" applyAlignment="1">
      <alignment horizontal="left" vertical="top"/>
    </xf>
    <xf numFmtId="0" fontId="2" fillId="0" borderId="1" xfId="28" applyFont="1" applyBorder="1" applyAlignment="1">
      <alignment horizontal="left" vertical="center" wrapText="1"/>
    </xf>
    <xf numFmtId="175" fontId="1" fillId="0" borderId="0" xfId="28" applyNumberFormat="1"/>
    <xf numFmtId="0" fontId="6" fillId="0" borderId="1" xfId="9" applyFont="1" applyBorder="1" applyAlignment="1">
      <alignment horizontal="left" vertical="center" wrapText="1"/>
    </xf>
    <xf numFmtId="166" fontId="2" fillId="0" borderId="1" xfId="3" applyNumberFormat="1" applyFont="1" applyFill="1" applyBorder="1" applyAlignment="1">
      <alignment horizontal="right" vertical="center"/>
    </xf>
    <xf numFmtId="49" fontId="6" fillId="0" borderId="1" xfId="1" applyNumberFormat="1" applyFont="1" applyBorder="1" applyAlignment="1">
      <alignment horizontal="left" vertical="center"/>
    </xf>
    <xf numFmtId="1" fontId="8" fillId="0" borderId="1" xfId="28" applyNumberFormat="1" applyFont="1" applyBorder="1" applyAlignment="1">
      <alignment horizontal="left" vertical="top"/>
    </xf>
    <xf numFmtId="49" fontId="8" fillId="0" borderId="1" xfId="7" applyNumberFormat="1" applyFont="1" applyBorder="1" applyAlignment="1">
      <alignment horizontal="left" vertical="top" wrapText="1"/>
    </xf>
    <xf numFmtId="177" fontId="3" fillId="0" borderId="1" xfId="7" applyNumberFormat="1" applyFont="1" applyBorder="1" applyAlignment="1">
      <alignment horizontal="right" vertical="center"/>
    </xf>
    <xf numFmtId="1" fontId="3" fillId="0" borderId="1" xfId="28" applyNumberFormat="1" applyFont="1" applyBorder="1" applyAlignment="1">
      <alignment horizontal="left"/>
    </xf>
    <xf numFmtId="0" fontId="83" fillId="0" borderId="1" xfId="28" applyFont="1" applyBorder="1" applyAlignment="1">
      <alignment horizontal="left"/>
    </xf>
    <xf numFmtId="4" fontId="21" fillId="0" borderId="1" xfId="7" applyNumberFormat="1" applyBorder="1" applyAlignment="1">
      <alignment horizontal="right" vertical="center"/>
    </xf>
    <xf numFmtId="0" fontId="21" fillId="0" borderId="1" xfId="28" applyFont="1" applyBorder="1" applyAlignment="1">
      <alignment wrapText="1"/>
    </xf>
    <xf numFmtId="1" fontId="8" fillId="0" borderId="0" xfId="28" applyNumberFormat="1" applyFont="1" applyAlignment="1">
      <alignment horizontal="left" vertical="top"/>
    </xf>
    <xf numFmtId="0" fontId="8" fillId="2" borderId="4" xfId="17" applyFont="1" applyFill="1" applyBorder="1" applyAlignment="1">
      <alignment vertical="center" wrapText="1"/>
    </xf>
    <xf numFmtId="0" fontId="66" fillId="0" borderId="1" xfId="6" applyFont="1" applyBorder="1" applyAlignment="1">
      <alignment horizontal="center" vertical="center" wrapText="1"/>
    </xf>
    <xf numFmtId="166" fontId="66" fillId="0" borderId="1" xfId="3" applyNumberFormat="1" applyFont="1" applyFill="1" applyBorder="1" applyAlignment="1">
      <alignment vertical="center"/>
    </xf>
    <xf numFmtId="165" fontId="66" fillId="0" borderId="1" xfId="2" applyFont="1" applyFill="1" applyBorder="1" applyAlignment="1" applyProtection="1">
      <alignment vertical="center"/>
      <protection locked="0"/>
    </xf>
    <xf numFmtId="165" fontId="66" fillId="0" borderId="1" xfId="2" applyFont="1" applyFill="1" applyBorder="1" applyAlignment="1">
      <alignment vertical="center"/>
    </xf>
    <xf numFmtId="0" fontId="66" fillId="0" borderId="1" xfId="1" applyFont="1" applyBorder="1" applyAlignment="1">
      <alignment horizontal="justify" vertical="top" wrapText="1"/>
    </xf>
    <xf numFmtId="0" fontId="66" fillId="0" borderId="1" xfId="1" applyFont="1" applyBorder="1" applyAlignment="1">
      <alignment horizontal="center" vertical="center"/>
    </xf>
    <xf numFmtId="166" fontId="2" fillId="0" borderId="0" xfId="1" applyNumberFormat="1" applyFont="1" applyAlignment="1">
      <alignment horizontal="justify" vertical="top" wrapText="1"/>
    </xf>
    <xf numFmtId="166" fontId="2" fillId="0" borderId="0" xfId="1" applyNumberFormat="1" applyFont="1"/>
    <xf numFmtId="49" fontId="66" fillId="0" borderId="1" xfId="7" applyNumberFormat="1" applyFont="1" applyBorder="1" applyAlignment="1">
      <alignment horizontal="left" vertical="center" wrapText="1"/>
    </xf>
    <xf numFmtId="0" fontId="66" fillId="0" borderId="1" xfId="7" applyFont="1" applyBorder="1" applyAlignment="1">
      <alignment horizontal="center" vertical="center"/>
    </xf>
    <xf numFmtId="164" fontId="2" fillId="0" borderId="0" xfId="1" applyNumberFormat="1" applyFont="1"/>
    <xf numFmtId="4" fontId="2" fillId="0" borderId="0" xfId="1" applyNumberFormat="1" applyFont="1" applyAlignment="1">
      <alignment vertical="center"/>
    </xf>
    <xf numFmtId="165" fontId="2" fillId="0" borderId="0" xfId="1" applyNumberFormat="1" applyFont="1"/>
    <xf numFmtId="49" fontId="2" fillId="0" borderId="5" xfId="1" applyNumberFormat="1" applyFont="1" applyBorder="1" applyAlignment="1">
      <alignment horizontal="center" vertical="center" wrapText="1"/>
    </xf>
    <xf numFmtId="0" fontId="4" fillId="0" borderId="0" xfId="6" applyFont="1" applyAlignment="1">
      <alignment horizontal="justify" vertical="top" wrapText="1"/>
    </xf>
    <xf numFmtId="49" fontId="8" fillId="0" borderId="1" xfId="1" applyNumberFormat="1" applyFont="1" applyBorder="1" applyAlignment="1">
      <alignment horizontal="center" vertical="center" wrapText="1"/>
    </xf>
    <xf numFmtId="0" fontId="66" fillId="2" borderId="1" xfId="1" applyFont="1" applyFill="1" applyBorder="1" applyAlignment="1">
      <alignment vertical="top" wrapText="1"/>
    </xf>
    <xf numFmtId="0" fontId="66" fillId="2" borderId="1" xfId="1" applyFont="1" applyFill="1" applyBorder="1" applyAlignment="1">
      <alignment vertical="center"/>
    </xf>
    <xf numFmtId="166" fontId="66" fillId="2" borderId="1" xfId="3" applyNumberFormat="1" applyFont="1" applyFill="1" applyBorder="1" applyAlignment="1">
      <alignment horizontal="right" vertical="center"/>
    </xf>
    <xf numFmtId="165" fontId="66" fillId="2" borderId="1" xfId="2" applyFont="1" applyFill="1" applyBorder="1" applyAlignment="1" applyProtection="1">
      <alignment horizontal="right" vertical="center"/>
      <protection locked="0"/>
    </xf>
    <xf numFmtId="165" fontId="66" fillId="2" borderId="1" xfId="2" applyFont="1" applyFill="1" applyBorder="1" applyAlignment="1">
      <alignment vertical="center"/>
    </xf>
    <xf numFmtId="0" fontId="66" fillId="10" borderId="1" xfId="1" applyFont="1" applyFill="1" applyBorder="1" applyAlignment="1">
      <alignment vertical="top" wrapText="1"/>
    </xf>
    <xf numFmtId="0" fontId="66" fillId="10" borderId="1" xfId="1" applyFont="1" applyFill="1" applyBorder="1" applyAlignment="1">
      <alignment vertical="center"/>
    </xf>
    <xf numFmtId="166" fontId="66" fillId="10" borderId="1" xfId="3" applyNumberFormat="1" applyFont="1" applyFill="1" applyBorder="1" applyAlignment="1">
      <alignment horizontal="right" vertical="center"/>
    </xf>
    <xf numFmtId="165" fontId="66" fillId="10" borderId="1" xfId="2" applyFont="1" applyFill="1" applyBorder="1" applyAlignment="1" applyProtection="1">
      <alignment horizontal="right" vertical="center"/>
      <protection locked="0"/>
    </xf>
    <xf numFmtId="165" fontId="66" fillId="10" borderId="1" xfId="2" applyFont="1" applyFill="1" applyBorder="1" applyAlignment="1">
      <alignment vertical="center"/>
    </xf>
    <xf numFmtId="0" fontId="66" fillId="0" borderId="1" xfId="6" applyFont="1" applyBorder="1" applyAlignment="1">
      <alignment horizontal="justify" vertical="top" wrapText="1"/>
    </xf>
    <xf numFmtId="0" fontId="66" fillId="9" borderId="1" xfId="1" applyFont="1" applyFill="1" applyBorder="1" applyAlignment="1">
      <alignment vertical="top" wrapText="1"/>
    </xf>
    <xf numFmtId="0" fontId="66" fillId="9" borderId="1" xfId="1" applyFont="1" applyFill="1" applyBorder="1" applyAlignment="1">
      <alignment vertical="center"/>
    </xf>
    <xf numFmtId="166" fontId="66" fillId="9" borderId="1" xfId="3" applyNumberFormat="1" applyFont="1" applyFill="1" applyBorder="1" applyAlignment="1">
      <alignment horizontal="right" vertical="center"/>
    </xf>
    <xf numFmtId="165" fontId="66" fillId="9" borderId="1" xfId="2" applyFont="1" applyFill="1" applyBorder="1" applyAlignment="1">
      <alignment vertical="center"/>
    </xf>
    <xf numFmtId="0" fontId="66" fillId="11" borderId="1" xfId="1" applyFont="1" applyFill="1" applyBorder="1" applyAlignment="1">
      <alignment wrapText="1"/>
    </xf>
    <xf numFmtId="0" fontId="66" fillId="11" borderId="1" xfId="1" applyFont="1" applyFill="1" applyBorder="1" applyAlignment="1">
      <alignment vertical="center"/>
    </xf>
    <xf numFmtId="166" fontId="66" fillId="11" borderId="1" xfId="3" applyNumberFormat="1" applyFont="1" applyFill="1" applyBorder="1" applyAlignment="1">
      <alignment horizontal="right" vertical="center"/>
    </xf>
    <xf numFmtId="165" fontId="66" fillId="11" borderId="1" xfId="2" applyFont="1" applyFill="1" applyBorder="1" applyAlignment="1">
      <alignment vertical="center"/>
    </xf>
    <xf numFmtId="0" fontId="88" fillId="0" borderId="0" xfId="1" applyFont="1" applyAlignment="1">
      <alignment horizontal="center" vertical="center" wrapText="1"/>
    </xf>
    <xf numFmtId="0" fontId="10" fillId="2" borderId="1" xfId="1" applyFont="1" applyFill="1" applyBorder="1" applyAlignment="1">
      <alignment vertical="top" wrapText="1"/>
    </xf>
    <xf numFmtId="4" fontId="66" fillId="2" borderId="1" xfId="3" applyNumberFormat="1" applyFont="1" applyFill="1" applyBorder="1" applyAlignment="1" applyProtection="1">
      <alignment horizontal="right" vertical="center"/>
      <protection locked="0"/>
    </xf>
    <xf numFmtId="4" fontId="66" fillId="2" borderId="1" xfId="3" applyNumberFormat="1" applyFont="1" applyFill="1" applyBorder="1" applyAlignment="1">
      <alignment vertical="center"/>
    </xf>
    <xf numFmtId="0" fontId="2" fillId="0" borderId="0" xfId="1" applyFont="1" applyAlignment="1">
      <alignment horizontal="center" vertical="center" wrapText="1"/>
    </xf>
    <xf numFmtId="0" fontId="66" fillId="8" borderId="1" xfId="1" applyFont="1" applyFill="1" applyBorder="1" applyAlignment="1">
      <alignment wrapText="1"/>
    </xf>
    <xf numFmtId="0" fontId="66" fillId="8" borderId="1" xfId="1" applyFont="1" applyFill="1" applyBorder="1" applyAlignment="1">
      <alignment vertical="center"/>
    </xf>
    <xf numFmtId="166" fontId="66" fillId="8" borderId="1" xfId="3" applyNumberFormat="1" applyFont="1" applyFill="1" applyBorder="1" applyAlignment="1">
      <alignment horizontal="right" vertical="center"/>
    </xf>
    <xf numFmtId="165" fontId="66" fillId="8" borderId="1" xfId="2" applyFont="1" applyFill="1" applyBorder="1" applyAlignment="1" applyProtection="1">
      <alignment horizontal="right" vertical="center"/>
      <protection locked="0"/>
    </xf>
    <xf numFmtId="165" fontId="66" fillId="8" borderId="1" xfId="2" applyFont="1" applyFill="1" applyBorder="1" applyAlignment="1">
      <alignment vertical="center"/>
    </xf>
    <xf numFmtId="166" fontId="1" fillId="0" borderId="0" xfId="1" applyNumberFormat="1"/>
    <xf numFmtId="0" fontId="88" fillId="0" borderId="0" xfId="1" applyFont="1"/>
    <xf numFmtId="0" fontId="89" fillId="0" borderId="1" xfId="1" applyFont="1" applyBorder="1" applyAlignment="1">
      <alignment horizontal="center" vertical="center"/>
    </xf>
    <xf numFmtId="165" fontId="88" fillId="0" borderId="0" xfId="2" applyFont="1" applyAlignment="1"/>
    <xf numFmtId="166" fontId="88" fillId="0" borderId="0" xfId="1" applyNumberFormat="1" applyFont="1"/>
    <xf numFmtId="0" fontId="90" fillId="0" borderId="0" xfId="1" applyFont="1" applyAlignment="1">
      <alignment horizontal="center" wrapText="1"/>
    </xf>
    <xf numFmtId="0" fontId="4" fillId="12" borderId="0" xfId="1" applyFont="1" applyFill="1" applyAlignment="1">
      <alignment vertical="top" wrapText="1"/>
    </xf>
    <xf numFmtId="0" fontId="4" fillId="12" borderId="0" xfId="1" applyFont="1" applyFill="1" applyAlignment="1">
      <alignment vertical="center"/>
    </xf>
    <xf numFmtId="166" fontId="4" fillId="12" borderId="0" xfId="3" applyNumberFormat="1" applyFont="1" applyFill="1" applyBorder="1" applyAlignment="1">
      <alignment horizontal="right" vertical="center"/>
    </xf>
    <xf numFmtId="165" fontId="4" fillId="12" borderId="0" xfId="2" applyFont="1" applyFill="1" applyBorder="1" applyAlignment="1" applyProtection="1">
      <alignment horizontal="right" vertical="center"/>
      <protection locked="0"/>
    </xf>
    <xf numFmtId="165" fontId="4" fillId="12" borderId="0" xfId="2" applyFont="1" applyFill="1" applyBorder="1" applyAlignment="1">
      <alignment vertical="center"/>
    </xf>
    <xf numFmtId="0" fontId="4" fillId="12" borderId="0" xfId="1" applyFont="1" applyFill="1" applyAlignment="1">
      <alignment wrapText="1"/>
    </xf>
    <xf numFmtId="0" fontId="66" fillId="12" borderId="0" xfId="1" applyFont="1" applyFill="1" applyAlignment="1">
      <alignment vertical="top" wrapText="1"/>
    </xf>
    <xf numFmtId="0" fontId="66" fillId="12" borderId="0" xfId="1" applyFont="1" applyFill="1" applyAlignment="1">
      <alignment vertical="center"/>
    </xf>
    <xf numFmtId="166" fontId="66" fillId="12" borderId="0" xfId="3" applyNumberFormat="1" applyFont="1" applyFill="1" applyBorder="1" applyAlignment="1">
      <alignment horizontal="right" vertical="center"/>
    </xf>
    <xf numFmtId="165" fontId="66" fillId="12" borderId="0" xfId="2" applyFont="1" applyFill="1" applyBorder="1" applyAlignment="1" applyProtection="1">
      <alignment horizontal="right" vertical="center"/>
      <protection locked="0"/>
    </xf>
    <xf numFmtId="165" fontId="66" fillId="12" borderId="0" xfId="2" applyFont="1" applyFill="1" applyBorder="1" applyAlignment="1">
      <alignment vertical="center"/>
    </xf>
    <xf numFmtId="0" fontId="66" fillId="9" borderId="1" xfId="1" applyFont="1" applyFill="1" applyBorder="1" applyAlignment="1">
      <alignment horizontal="center" vertical="center"/>
    </xf>
    <xf numFmtId="165" fontId="66" fillId="9" borderId="1" xfId="2" applyFont="1" applyFill="1" applyBorder="1" applyAlignment="1" applyProtection="1">
      <alignment vertical="center"/>
      <protection locked="0"/>
    </xf>
    <xf numFmtId="0" fontId="90" fillId="0" borderId="0" xfId="1" applyFont="1" applyAlignment="1">
      <alignment wrapText="1"/>
    </xf>
    <xf numFmtId="165" fontId="2" fillId="0" borderId="0" xfId="3" applyFont="1"/>
    <xf numFmtId="49" fontId="8" fillId="19" borderId="4" xfId="1" applyNumberFormat="1" applyFont="1" applyFill="1" applyBorder="1" applyAlignment="1">
      <alignment horizontal="left" vertical="center"/>
    </xf>
    <xf numFmtId="0" fontId="5" fillId="19" borderId="3" xfId="1" applyFont="1" applyFill="1" applyBorder="1" applyAlignment="1">
      <alignment horizontal="center" vertical="center"/>
    </xf>
    <xf numFmtId="0" fontId="4" fillId="19" borderId="3" xfId="1" applyFont="1" applyFill="1" applyBorder="1" applyAlignment="1">
      <alignment horizontal="center" vertical="center"/>
    </xf>
    <xf numFmtId="166" fontId="4" fillId="19" borderId="3" xfId="1" applyNumberFormat="1" applyFont="1" applyFill="1" applyBorder="1" applyAlignment="1">
      <alignment horizontal="center" vertical="center"/>
    </xf>
    <xf numFmtId="4" fontId="4" fillId="19" borderId="3" xfId="1" applyNumberFormat="1" applyFont="1" applyFill="1" applyBorder="1" applyAlignment="1" applyProtection="1">
      <alignment horizontal="center" vertical="center"/>
      <protection locked="0"/>
    </xf>
    <xf numFmtId="4" fontId="4" fillId="19" borderId="2" xfId="1" applyNumberFormat="1" applyFont="1" applyFill="1" applyBorder="1" applyAlignment="1">
      <alignment horizontal="left" vertical="center"/>
    </xf>
    <xf numFmtId="165" fontId="3" fillId="0" borderId="0" xfId="3" applyFont="1"/>
    <xf numFmtId="49" fontId="8" fillId="0" borderId="0" xfId="1" applyNumberFormat="1" applyFont="1" applyAlignment="1">
      <alignment horizontal="left" vertical="center"/>
    </xf>
    <xf numFmtId="0" fontId="4" fillId="0" borderId="0" xfId="1" applyFont="1" applyAlignment="1">
      <alignment horizontal="center" vertical="center"/>
    </xf>
    <xf numFmtId="166" fontId="4" fillId="0" borderId="0" xfId="1" applyNumberFormat="1" applyFont="1" applyAlignment="1">
      <alignment horizontal="center" vertical="center"/>
    </xf>
    <xf numFmtId="4" fontId="4" fillId="0" borderId="0" xfId="1" applyNumberFormat="1" applyFont="1" applyAlignment="1" applyProtection="1">
      <alignment horizontal="center" vertical="center"/>
      <protection locked="0"/>
    </xf>
    <xf numFmtId="4" fontId="4" fillId="0" borderId="0" xfId="1" applyNumberFormat="1" applyFont="1" applyAlignment="1">
      <alignment horizontal="left" vertical="center"/>
    </xf>
    <xf numFmtId="165" fontId="13" fillId="0" borderId="0" xfId="3" applyFont="1" applyAlignment="1">
      <alignment horizontal="right"/>
    </xf>
    <xf numFmtId="0" fontId="5" fillId="0" borderId="0" xfId="1" applyFont="1" applyAlignment="1">
      <alignment horizontal="left" vertical="center"/>
    </xf>
    <xf numFmtId="0" fontId="4" fillId="0" borderId="0" xfId="1" applyFont="1" applyAlignment="1">
      <alignment horizontal="left" vertical="center"/>
    </xf>
    <xf numFmtId="166" fontId="4" fillId="0" borderId="0" xfId="1" applyNumberFormat="1" applyFont="1" applyAlignment="1">
      <alignment horizontal="left" vertical="center"/>
    </xf>
    <xf numFmtId="4" fontId="4" fillId="0" borderId="0" xfId="1" applyNumberFormat="1" applyFont="1" applyAlignment="1" applyProtection="1">
      <alignment horizontal="left" vertical="center"/>
      <protection locked="0"/>
    </xf>
    <xf numFmtId="4" fontId="4" fillId="0" borderId="12" xfId="1" applyNumberFormat="1" applyFont="1" applyBorder="1" applyAlignment="1">
      <alignment horizontal="left" vertical="center"/>
    </xf>
    <xf numFmtId="164" fontId="8" fillId="2" borderId="1" xfId="2" applyNumberFormat="1" applyFont="1" applyFill="1" applyBorder="1" applyAlignment="1" applyProtection="1">
      <alignment vertical="center"/>
    </xf>
    <xf numFmtId="164" fontId="8" fillId="3" borderId="1" xfId="2" applyNumberFormat="1" applyFont="1" applyFill="1" applyBorder="1" applyAlignment="1" applyProtection="1">
      <alignment vertical="center"/>
    </xf>
    <xf numFmtId="166" fontId="4" fillId="0" borderId="1" xfId="3" applyNumberFormat="1" applyFont="1" applyBorder="1" applyAlignment="1">
      <alignment horizontal="center" vertical="center"/>
    </xf>
    <xf numFmtId="165" fontId="4" fillId="0" borderId="1" xfId="3" applyFont="1" applyBorder="1" applyAlignment="1" applyProtection="1">
      <alignment vertical="center"/>
      <protection locked="0"/>
    </xf>
    <xf numFmtId="165" fontId="4" fillId="0" borderId="1" xfId="3" applyFont="1" applyBorder="1" applyAlignment="1">
      <alignment vertical="center"/>
    </xf>
    <xf numFmtId="166" fontId="4" fillId="0" borderId="1" xfId="3" applyNumberFormat="1" applyFont="1" applyBorder="1" applyAlignment="1">
      <alignment horizontal="center" vertical="center" wrapText="1"/>
    </xf>
    <xf numFmtId="164" fontId="5" fillId="2" borderId="1" xfId="3" applyNumberFormat="1" applyFont="1" applyFill="1" applyBorder="1" applyAlignment="1" applyProtection="1">
      <alignment vertical="center"/>
      <protection locked="0"/>
    </xf>
    <xf numFmtId="164" fontId="5" fillId="2" borderId="1" xfId="2" applyNumberFormat="1" applyFont="1" applyFill="1" applyBorder="1" applyAlignment="1">
      <alignment vertical="center"/>
    </xf>
    <xf numFmtId="4" fontId="3" fillId="0" borderId="1" xfId="1" applyNumberFormat="1" applyFont="1" applyBorder="1" applyAlignment="1">
      <alignment horizontal="justify" vertical="top" wrapText="1"/>
    </xf>
    <xf numFmtId="175" fontId="3" fillId="0" borderId="1" xfId="1" applyNumberFormat="1" applyFont="1" applyBorder="1" applyAlignment="1">
      <alignment horizontal="center" vertical="center"/>
    </xf>
    <xf numFmtId="165" fontId="4" fillId="0" borderId="1" xfId="3" applyFont="1" applyBorder="1" applyAlignment="1">
      <alignment horizontal="center" vertical="center"/>
    </xf>
    <xf numFmtId="0" fontId="6" fillId="2" borderId="13" xfId="1" applyFont="1" applyFill="1" applyBorder="1" applyAlignment="1">
      <alignment horizontal="center" vertical="center"/>
    </xf>
    <xf numFmtId="0" fontId="5" fillId="2" borderId="13" xfId="1" applyFont="1" applyFill="1" applyBorder="1" applyAlignment="1">
      <alignment vertical="center"/>
    </xf>
    <xf numFmtId="166" fontId="5" fillId="2" borderId="13" xfId="3" applyNumberFormat="1" applyFont="1" applyFill="1" applyBorder="1" applyAlignment="1">
      <alignment vertical="center"/>
    </xf>
    <xf numFmtId="164" fontId="5" fillId="2" borderId="13" xfId="3" applyNumberFormat="1" applyFont="1" applyFill="1" applyBorder="1" applyAlignment="1" applyProtection="1">
      <alignment vertical="center"/>
      <protection locked="0"/>
    </xf>
    <xf numFmtId="164" fontId="5" fillId="2" borderId="13" xfId="2" applyNumberFormat="1" applyFont="1" applyFill="1" applyBorder="1" applyAlignment="1">
      <alignment vertical="center"/>
    </xf>
    <xf numFmtId="0" fontId="6" fillId="12" borderId="0" xfId="1" applyFont="1" applyFill="1" applyAlignment="1">
      <alignment horizontal="center" vertical="center" wrapText="1"/>
    </xf>
    <xf numFmtId="0" fontId="5" fillId="3" borderId="0" xfId="1" applyFont="1" applyFill="1" applyAlignment="1">
      <alignment horizontal="center" vertical="center" wrapText="1"/>
    </xf>
    <xf numFmtId="166" fontId="5" fillId="3" borderId="0" xfId="3" applyNumberFormat="1" applyFont="1" applyFill="1" applyBorder="1" applyAlignment="1">
      <alignment vertical="center"/>
    </xf>
    <xf numFmtId="4" fontId="5" fillId="3" borderId="0" xfId="3" applyNumberFormat="1" applyFont="1" applyFill="1" applyBorder="1" applyAlignment="1" applyProtection="1">
      <alignment horizontal="center" vertical="center" wrapText="1"/>
      <protection locked="0"/>
    </xf>
    <xf numFmtId="4" fontId="5" fillId="3" borderId="0" xfId="3" applyNumberFormat="1" applyFont="1" applyFill="1" applyBorder="1" applyAlignment="1">
      <alignment horizontal="center" vertical="center"/>
    </xf>
    <xf numFmtId="0" fontId="6" fillId="3" borderId="0" xfId="1" applyFont="1" applyFill="1" applyAlignment="1">
      <alignment horizontal="center" vertical="center" wrapText="1"/>
    </xf>
    <xf numFmtId="0" fontId="2" fillId="0" borderId="5" xfId="1" applyFont="1" applyBorder="1" applyAlignment="1">
      <alignment horizontal="center" vertical="top"/>
    </xf>
    <xf numFmtId="0" fontId="4" fillId="0" borderId="5" xfId="1" applyFont="1" applyBorder="1" applyAlignment="1">
      <alignment wrapText="1"/>
    </xf>
    <xf numFmtId="0" fontId="4" fillId="0" borderId="5" xfId="1" applyFont="1" applyBorder="1" applyAlignment="1">
      <alignment horizontal="center" vertical="center"/>
    </xf>
    <xf numFmtId="166" fontId="4" fillId="0" borderId="5" xfId="3" applyNumberFormat="1" applyFont="1" applyBorder="1" applyAlignment="1">
      <alignment vertical="center"/>
    </xf>
    <xf numFmtId="4" fontId="4" fillId="0" borderId="5" xfId="3" applyNumberFormat="1" applyFont="1" applyBorder="1" applyAlignment="1" applyProtection="1">
      <alignment vertical="center"/>
      <protection locked="0"/>
    </xf>
    <xf numFmtId="4" fontId="4" fillId="0" borderId="5" xfId="3" applyNumberFormat="1" applyFont="1" applyBorder="1" applyAlignment="1">
      <alignment vertical="center"/>
    </xf>
    <xf numFmtId="49" fontId="4" fillId="0" borderId="1" xfId="1" applyNumberFormat="1" applyFont="1" applyBorder="1" applyAlignment="1">
      <alignment horizontal="justify" vertical="top" wrapText="1"/>
    </xf>
    <xf numFmtId="175" fontId="3" fillId="0" borderId="0" xfId="1" applyNumberFormat="1" applyFont="1"/>
    <xf numFmtId="0" fontId="3" fillId="0" borderId="0" xfId="1" applyFont="1" applyAlignment="1">
      <alignment horizontal="left" vertical="top" wrapText="1"/>
    </xf>
    <xf numFmtId="0" fontId="3" fillId="0" borderId="0" xfId="1" applyFont="1"/>
    <xf numFmtId="0" fontId="3" fillId="0" borderId="0" xfId="1" applyFont="1" applyAlignment="1">
      <alignment horizontal="left"/>
    </xf>
    <xf numFmtId="175" fontId="71" fillId="0" borderId="0" xfId="1" applyNumberFormat="1" applyFont="1"/>
    <xf numFmtId="0" fontId="71" fillId="0" borderId="0" xfId="1" applyFont="1" applyAlignment="1">
      <alignment horizontal="left"/>
    </xf>
    <xf numFmtId="0" fontId="91" fillId="0" borderId="0" xfId="5" applyFont="1"/>
    <xf numFmtId="0" fontId="2" fillId="4" borderId="11" xfId="5" applyFont="1" applyFill="1" applyBorder="1"/>
    <xf numFmtId="0" fontId="66" fillId="4" borderId="10" xfId="5" applyFont="1" applyFill="1" applyBorder="1"/>
    <xf numFmtId="0" fontId="66" fillId="4" borderId="10" xfId="5" applyFont="1" applyFill="1" applyBorder="1" applyAlignment="1">
      <alignment vertical="center"/>
    </xf>
    <xf numFmtId="0" fontId="66" fillId="4" borderId="9" xfId="5" applyFont="1" applyFill="1" applyBorder="1" applyAlignment="1">
      <alignment vertical="center"/>
    </xf>
    <xf numFmtId="0" fontId="2" fillId="0" borderId="0" xfId="5" applyFont="1"/>
    <xf numFmtId="0" fontId="92" fillId="0" borderId="0" xfId="5" applyFont="1"/>
    <xf numFmtId="0" fontId="6" fillId="4" borderId="8" xfId="5" applyFont="1" applyFill="1" applyBorder="1"/>
    <xf numFmtId="0" fontId="66" fillId="4" borderId="7" xfId="5" applyFont="1" applyFill="1" applyBorder="1"/>
    <xf numFmtId="0" fontId="66" fillId="4" borderId="6" xfId="5" applyFont="1" applyFill="1" applyBorder="1" applyAlignment="1">
      <alignment vertical="center"/>
    </xf>
    <xf numFmtId="0" fontId="66" fillId="4" borderId="7" xfId="5" applyFont="1" applyFill="1" applyBorder="1" applyAlignment="1">
      <alignment vertical="center"/>
    </xf>
    <xf numFmtId="0" fontId="10" fillId="0" borderId="1" xfId="1" applyFont="1" applyBorder="1" applyAlignment="1">
      <alignment horizontal="center" vertical="center"/>
    </xf>
    <xf numFmtId="0" fontId="10" fillId="0" borderId="1" xfId="5" applyFont="1" applyBorder="1" applyAlignment="1">
      <alignment horizontal="left" vertical="top" wrapText="1"/>
    </xf>
    <xf numFmtId="166" fontId="66" fillId="0" borderId="1" xfId="3" applyNumberFormat="1" applyFont="1" applyBorder="1" applyAlignment="1">
      <alignment vertical="center"/>
    </xf>
    <xf numFmtId="4" fontId="66" fillId="0" borderId="1" xfId="3" applyNumberFormat="1" applyFont="1" applyBorder="1" applyAlignment="1" applyProtection="1">
      <alignment vertical="center"/>
      <protection locked="0"/>
    </xf>
    <xf numFmtId="4" fontId="66" fillId="0" borderId="1" xfId="3" applyNumberFormat="1" applyFont="1" applyBorder="1" applyAlignment="1">
      <alignment vertical="center"/>
    </xf>
    <xf numFmtId="0" fontId="88" fillId="0" borderId="1" xfId="1" applyFont="1" applyBorder="1" applyAlignment="1">
      <alignment horizontal="center"/>
    </xf>
    <xf numFmtId="0" fontId="17" fillId="12" borderId="1" xfId="5" applyFont="1" applyFill="1" applyBorder="1" applyAlignment="1">
      <alignment vertical="center" wrapText="1"/>
    </xf>
    <xf numFmtId="0" fontId="4" fillId="12" borderId="1" xfId="1" applyFont="1" applyFill="1" applyBorder="1" applyAlignment="1">
      <alignment horizontal="center" vertical="center"/>
    </xf>
    <xf numFmtId="166" fontId="4" fillId="12" borderId="1" xfId="3" applyNumberFormat="1" applyFont="1" applyFill="1" applyBorder="1" applyAlignment="1">
      <alignment vertical="center"/>
    </xf>
    <xf numFmtId="165" fontId="4" fillId="12" borderId="1" xfId="3" applyFont="1" applyFill="1" applyBorder="1" applyAlignment="1" applyProtection="1">
      <alignment vertical="center"/>
      <protection locked="0"/>
    </xf>
    <xf numFmtId="165" fontId="4" fillId="12" borderId="1" xfId="3" applyFont="1" applyFill="1" applyBorder="1" applyAlignment="1">
      <alignment vertical="center"/>
    </xf>
    <xf numFmtId="0" fontId="93" fillId="12" borderId="1" xfId="5" applyFont="1" applyFill="1" applyBorder="1" applyAlignment="1">
      <alignment vertical="center" wrapText="1"/>
    </xf>
    <xf numFmtId="165" fontId="66" fillId="0" borderId="0" xfId="3" applyFont="1" applyAlignment="1">
      <alignment vertical="center"/>
    </xf>
    <xf numFmtId="0" fontId="66" fillId="0" borderId="0" xfId="1" applyFont="1" applyAlignment="1">
      <alignment vertical="center"/>
    </xf>
    <xf numFmtId="0" fontId="21" fillId="12" borderId="1" xfId="5" applyFont="1" applyFill="1" applyBorder="1" applyAlignment="1">
      <alignment vertical="center" wrapText="1"/>
    </xf>
    <xf numFmtId="0" fontId="3" fillId="12" borderId="1" xfId="1" applyFont="1" applyFill="1" applyBorder="1" applyAlignment="1">
      <alignment horizontal="center" vertical="center"/>
    </xf>
    <xf numFmtId="166" fontId="3" fillId="12" borderId="1" xfId="3" applyNumberFormat="1" applyFont="1" applyFill="1" applyBorder="1" applyAlignment="1">
      <alignment vertical="center"/>
    </xf>
    <xf numFmtId="0" fontId="17" fillId="12" borderId="1" xfId="5" applyFont="1" applyFill="1" applyBorder="1" applyAlignment="1">
      <alignment wrapText="1"/>
    </xf>
    <xf numFmtId="0" fontId="10" fillId="0" borderId="1" xfId="1" applyFont="1" applyBorder="1" applyAlignment="1">
      <alignment vertical="center" wrapText="1"/>
    </xf>
    <xf numFmtId="164" fontId="66" fillId="0" borderId="1" xfId="1" applyNumberFormat="1" applyFont="1" applyBorder="1" applyAlignment="1">
      <alignment vertical="center"/>
    </xf>
    <xf numFmtId="164" fontId="66" fillId="0" borderId="1" xfId="3" applyNumberFormat="1" applyFont="1" applyBorder="1" applyAlignment="1">
      <alignment vertical="center"/>
    </xf>
    <xf numFmtId="164" fontId="66" fillId="0" borderId="1" xfId="3" applyNumberFormat="1" applyFont="1" applyBorder="1" applyAlignment="1" applyProtection="1">
      <alignment vertical="center"/>
      <protection locked="0"/>
    </xf>
    <xf numFmtId="164" fontId="2" fillId="0" borderId="1" xfId="7" applyNumberFormat="1" applyFont="1" applyBorder="1" applyAlignment="1">
      <alignment horizontal="center"/>
    </xf>
    <xf numFmtId="164" fontId="2" fillId="0" borderId="1" xfId="1" applyNumberFormat="1" applyFont="1" applyBorder="1"/>
    <xf numFmtId="164" fontId="2" fillId="17" borderId="1" xfId="3" applyNumberFormat="1" applyFont="1" applyFill="1" applyBorder="1" applyAlignment="1" applyProtection="1">
      <protection locked="0"/>
    </xf>
    <xf numFmtId="164" fontId="2" fillId="0" borderId="1" xfId="3" applyNumberFormat="1" applyFont="1" applyBorder="1" applyAlignment="1"/>
    <xf numFmtId="165" fontId="2" fillId="0" borderId="15" xfId="3" applyFont="1" applyBorder="1"/>
    <xf numFmtId="165" fontId="2" fillId="0" borderId="0" xfId="3" applyFont="1" applyAlignment="1">
      <alignment vertical="center"/>
    </xf>
    <xf numFmtId="164" fontId="4" fillId="2" borderId="1" xfId="3" applyNumberFormat="1" applyFont="1" applyFill="1" applyBorder="1" applyAlignment="1" applyProtection="1">
      <alignment vertical="center"/>
      <protection locked="0"/>
    </xf>
    <xf numFmtId="49" fontId="8" fillId="12" borderId="0" xfId="5" quotePrefix="1" applyNumberFormat="1" applyFont="1" applyFill="1" applyAlignment="1">
      <alignment horizontal="left"/>
    </xf>
    <xf numFmtId="0" fontId="5" fillId="12" borderId="0" xfId="5" applyFont="1" applyFill="1"/>
    <xf numFmtId="166" fontId="4" fillId="12" borderId="0" xfId="5" applyNumberFormat="1" applyFont="1" applyFill="1" applyAlignment="1">
      <alignment vertical="center"/>
    </xf>
    <xf numFmtId="4" fontId="5" fillId="12" borderId="0" xfId="5" applyNumberFormat="1" applyFont="1" applyFill="1" applyAlignment="1" applyProtection="1">
      <alignment horizontal="right" vertical="center"/>
      <protection locked="0"/>
    </xf>
    <xf numFmtId="165" fontId="5" fillId="12" borderId="0" xfId="3" applyFont="1" applyFill="1" applyBorder="1" applyAlignment="1">
      <alignment horizontal="right" vertical="center"/>
    </xf>
    <xf numFmtId="0" fontId="17" fillId="0" borderId="14" xfId="40" applyFont="1" applyBorder="1" applyAlignment="1" applyProtection="1">
      <alignment horizontal="right" wrapText="1"/>
      <protection locked="0"/>
    </xf>
    <xf numFmtId="2" fontId="4" fillId="0" borderId="14" xfId="40" applyNumberFormat="1" applyFont="1" applyBorder="1" applyAlignment="1" applyProtection="1">
      <alignment horizontal="right" wrapText="1"/>
      <protection locked="0"/>
    </xf>
    <xf numFmtId="0" fontId="17" fillId="16" borderId="14" xfId="40" applyFont="1" applyFill="1" applyBorder="1" applyAlignment="1" applyProtection="1">
      <alignment horizontal="right" wrapText="1"/>
      <protection locked="0"/>
    </xf>
    <xf numFmtId="170" fontId="5" fillId="0" borderId="14" xfId="2" applyNumberFormat="1" applyFont="1" applyBorder="1" applyAlignment="1" applyProtection="1">
      <alignment vertical="top" wrapText="1"/>
    </xf>
    <xf numFmtId="0" fontId="4" fillId="0" borderId="15" xfId="1" applyFont="1" applyBorder="1" applyAlignment="1">
      <alignment horizontal="left" vertical="center" wrapText="1"/>
    </xf>
    <xf numFmtId="170" fontId="4" fillId="0" borderId="0" xfId="34" applyNumberFormat="1" applyFont="1" applyBorder="1" applyAlignment="1">
      <alignment horizontal="left" vertical="top" wrapText="1"/>
    </xf>
    <xf numFmtId="170" fontId="4" fillId="0" borderId="0" xfId="34" applyNumberFormat="1" applyFont="1" applyBorder="1" applyAlignment="1">
      <alignment horizontal="center" vertical="center"/>
    </xf>
    <xf numFmtId="2" fontId="4" fillId="0" borderId="0" xfId="34" applyNumberFormat="1" applyFont="1" applyBorder="1" applyAlignment="1">
      <alignment horizontal="right" vertical="center"/>
    </xf>
    <xf numFmtId="2" fontId="4" fillId="0" borderId="0" xfId="34" applyNumberFormat="1" applyFont="1" applyBorder="1" applyAlignment="1" applyProtection="1">
      <alignment horizontal="right"/>
      <protection locked="0"/>
    </xf>
    <xf numFmtId="2" fontId="4" fillId="0" borderId="0" xfId="38" applyNumberFormat="1" applyFont="1" applyAlignment="1" applyProtection="1">
      <alignment horizontal="right" wrapText="1"/>
      <protection locked="0"/>
    </xf>
    <xf numFmtId="165" fontId="2" fillId="0" borderId="0" xfId="3" applyFont="1" applyBorder="1"/>
    <xf numFmtId="49" fontId="17" fillId="0" borderId="7" xfId="40" applyNumberFormat="1" applyFont="1" applyBorder="1" applyAlignment="1">
      <alignment horizontal="left" vertical="top" wrapText="1"/>
    </xf>
    <xf numFmtId="170" fontId="4" fillId="0" borderId="7" xfId="34" applyNumberFormat="1" applyFont="1" applyBorder="1" applyAlignment="1">
      <alignment horizontal="left" vertical="top" wrapText="1"/>
    </xf>
    <xf numFmtId="170" fontId="4" fillId="0" borderId="7" xfId="34" applyNumberFormat="1" applyFont="1" applyBorder="1" applyAlignment="1">
      <alignment horizontal="center" vertical="center"/>
    </xf>
    <xf numFmtId="2" fontId="4" fillId="0" borderId="7" xfId="34" applyNumberFormat="1" applyFont="1" applyBorder="1" applyAlignment="1">
      <alignment horizontal="right" vertical="center"/>
    </xf>
    <xf numFmtId="2" fontId="4" fillId="0" borderId="7" xfId="34" applyNumberFormat="1" applyFont="1" applyBorder="1" applyAlignment="1" applyProtection="1">
      <alignment horizontal="right"/>
      <protection locked="0"/>
    </xf>
    <xf numFmtId="2" fontId="4" fillId="0" borderId="7" xfId="38" applyNumberFormat="1" applyFont="1" applyBorder="1" applyAlignment="1" applyProtection="1">
      <alignment horizontal="right" wrapText="1"/>
      <protection locked="0"/>
    </xf>
    <xf numFmtId="49" fontId="5" fillId="0" borderId="11" xfId="12" applyNumberFormat="1" applyFont="1" applyBorder="1" applyAlignment="1">
      <alignment horizontal="center" vertical="top" wrapText="1"/>
    </xf>
    <xf numFmtId="4" fontId="4" fillId="0" borderId="10" xfId="5" applyNumberFormat="1" applyFont="1" applyBorder="1" applyAlignment="1" applyProtection="1">
      <alignment horizontal="right"/>
      <protection locked="0"/>
    </xf>
    <xf numFmtId="4" fontId="5" fillId="0" borderId="9" xfId="5" applyNumberFormat="1" applyFont="1" applyBorder="1" applyAlignment="1" applyProtection="1">
      <alignment horizontal="right"/>
      <protection locked="0"/>
    </xf>
    <xf numFmtId="49" fontId="17" fillId="0" borderId="11" xfId="40" applyNumberFormat="1" applyFont="1" applyBorder="1" applyAlignment="1">
      <alignment horizontal="left" vertical="top" wrapText="1"/>
    </xf>
    <xf numFmtId="170" fontId="4" fillId="0" borderId="10" xfId="34" applyNumberFormat="1" applyFont="1" applyBorder="1" applyAlignment="1">
      <alignment horizontal="left" vertical="top" wrapText="1"/>
    </xf>
    <xf numFmtId="170" fontId="4" fillId="0" borderId="10" xfId="34" applyNumberFormat="1" applyFont="1" applyBorder="1" applyAlignment="1">
      <alignment horizontal="center" vertical="center"/>
    </xf>
    <xf numFmtId="2" fontId="4" fillId="0" borderId="10" xfId="34" applyNumberFormat="1" applyFont="1" applyBorder="1" applyAlignment="1">
      <alignment horizontal="right" vertical="center"/>
    </xf>
    <xf numFmtId="2" fontId="4" fillId="0" borderId="10" xfId="34" applyNumberFormat="1" applyFont="1" applyBorder="1" applyAlignment="1" applyProtection="1">
      <alignment horizontal="right"/>
      <protection locked="0"/>
    </xf>
    <xf numFmtId="165" fontId="3" fillId="0" borderId="9" xfId="3" applyFont="1" applyBorder="1" applyAlignment="1">
      <alignment vertical="center"/>
    </xf>
    <xf numFmtId="0" fontId="3" fillId="0" borderId="15" xfId="1" applyFont="1" applyBorder="1" applyAlignment="1">
      <alignment vertical="center"/>
    </xf>
    <xf numFmtId="0" fontId="17" fillId="0" borderId="15" xfId="47" applyFont="1" applyBorder="1" applyAlignment="1" applyProtection="1">
      <alignment horizontal="right" wrapText="1"/>
      <protection locked="0"/>
    </xf>
    <xf numFmtId="0" fontId="72" fillId="0" borderId="15" xfId="14" applyFont="1" applyBorder="1" applyAlignment="1">
      <alignment horizontal="left" vertical="center" wrapText="1"/>
    </xf>
    <xf numFmtId="0" fontId="1" fillId="0" borderId="15" xfId="1" applyBorder="1" applyAlignment="1">
      <alignment vertical="center"/>
    </xf>
    <xf numFmtId="0" fontId="72" fillId="0" borderId="15" xfId="12" applyFont="1" applyBorder="1" applyAlignment="1">
      <alignment horizontal="left" vertical="center" wrapText="1" readingOrder="1"/>
    </xf>
    <xf numFmtId="0" fontId="61" fillId="0" borderId="15" xfId="1" applyFont="1" applyBorder="1" applyAlignment="1">
      <alignment horizontal="left" vertical="center" wrapText="1"/>
    </xf>
    <xf numFmtId="2" fontId="4" fillId="0" borderId="15" xfId="38" applyNumberFormat="1" applyFont="1" applyBorder="1" applyAlignment="1" applyProtection="1">
      <alignment horizontal="right" wrapText="1"/>
      <protection locked="0"/>
    </xf>
    <xf numFmtId="49" fontId="17" fillId="0" borderId="44" xfId="40" applyNumberFormat="1" applyFont="1" applyBorder="1" applyAlignment="1">
      <alignment horizontal="left" vertical="top" wrapText="1"/>
    </xf>
    <xf numFmtId="0" fontId="17" fillId="0" borderId="44" xfId="40" applyFont="1" applyBorder="1" applyAlignment="1">
      <alignment vertical="top" wrapText="1"/>
    </xf>
    <xf numFmtId="0" fontId="17" fillId="0" borderId="44" xfId="40" applyFont="1" applyBorder="1" applyAlignment="1">
      <alignment horizontal="center" vertical="center" wrapText="1"/>
    </xf>
    <xf numFmtId="2" fontId="17" fillId="0" borderId="44" xfId="40" applyNumberFormat="1" applyFont="1" applyBorder="1" applyAlignment="1">
      <alignment horizontal="right" vertical="center" wrapText="1"/>
    </xf>
    <xf numFmtId="0" fontId="17" fillId="0" borderId="44" xfId="40" applyFont="1" applyBorder="1" applyAlignment="1" applyProtection="1">
      <alignment horizontal="right" wrapText="1"/>
      <protection locked="0"/>
    </xf>
    <xf numFmtId="0" fontId="17" fillId="0" borderId="44" xfId="38" applyFont="1" applyBorder="1" applyAlignment="1" applyProtection="1">
      <alignment horizontal="right" wrapText="1"/>
      <protection locked="0"/>
    </xf>
    <xf numFmtId="0" fontId="17" fillId="0" borderId="0" xfId="40" applyFont="1" applyAlignment="1" applyProtection="1">
      <alignment horizontal="right" wrapText="1"/>
      <protection locked="0"/>
    </xf>
    <xf numFmtId="0" fontId="17" fillId="0" borderId="0" xfId="38" applyFont="1" applyAlignment="1" applyProtection="1">
      <alignment horizontal="right" wrapText="1"/>
      <protection locked="0"/>
    </xf>
    <xf numFmtId="49" fontId="17" fillId="0" borderId="0" xfId="40" applyNumberFormat="1" applyFont="1" applyAlignment="1">
      <alignment horizontal="left" vertical="center" wrapText="1"/>
    </xf>
    <xf numFmtId="0" fontId="61" fillId="0" borderId="3" xfId="1" applyFont="1" applyBorder="1" applyAlignment="1">
      <alignment horizontal="left" vertical="center" wrapText="1"/>
    </xf>
    <xf numFmtId="2" fontId="4" fillId="0" borderId="0" xfId="34" applyNumberFormat="1" applyFont="1" applyBorder="1" applyAlignment="1" applyProtection="1">
      <alignment horizontal="right" vertical="center"/>
      <protection locked="0"/>
    </xf>
    <xf numFmtId="165" fontId="3" fillId="0" borderId="0" xfId="3" applyFont="1" applyBorder="1" applyAlignment="1">
      <alignment vertical="center"/>
    </xf>
    <xf numFmtId="0" fontId="61" fillId="0" borderId="0" xfId="1" applyFont="1" applyAlignment="1">
      <alignment horizontal="left" vertical="center" wrapText="1"/>
    </xf>
    <xf numFmtId="0" fontId="17" fillId="0" borderId="15" xfId="38" applyFont="1" applyBorder="1" applyAlignment="1" applyProtection="1">
      <alignment horizontal="right" wrapText="1"/>
      <protection locked="0"/>
    </xf>
    <xf numFmtId="165" fontId="95" fillId="12" borderId="15" xfId="3" applyFont="1" applyFill="1" applyBorder="1"/>
    <xf numFmtId="165" fontId="95" fillId="12" borderId="0" xfId="3" applyFont="1" applyFill="1"/>
    <xf numFmtId="0" fontId="81" fillId="12" borderId="15" xfId="14" applyFont="1" applyFill="1" applyBorder="1" applyAlignment="1">
      <alignment horizontal="left" vertical="center" wrapText="1"/>
    </xf>
    <xf numFmtId="165" fontId="2" fillId="12" borderId="15" xfId="3" applyFont="1" applyFill="1" applyBorder="1"/>
    <xf numFmtId="0" fontId="84" fillId="0" borderId="15" xfId="14" applyFont="1" applyBorder="1" applyAlignment="1">
      <alignment horizontal="left" vertical="center" wrapText="1"/>
    </xf>
    <xf numFmtId="165" fontId="3" fillId="0" borderId="15" xfId="3" applyFont="1" applyBorder="1"/>
    <xf numFmtId="170" fontId="4" fillId="0" borderId="0" xfId="34" applyNumberFormat="1" applyFont="1" applyBorder="1" applyAlignment="1">
      <alignment vertical="top" wrapText="1"/>
    </xf>
    <xf numFmtId="0" fontId="17" fillId="0" borderId="7" xfId="40" applyFont="1" applyBorder="1" applyAlignment="1">
      <alignment vertical="top" wrapText="1"/>
    </xf>
    <xf numFmtId="0" fontId="17" fillId="0" borderId="7" xfId="40" applyFont="1" applyBorder="1" applyAlignment="1">
      <alignment horizontal="center" vertical="center" wrapText="1"/>
    </xf>
    <xf numFmtId="2" fontId="17" fillId="0" borderId="7" xfId="40" applyNumberFormat="1" applyFont="1" applyBorder="1" applyAlignment="1">
      <alignment horizontal="right" vertical="center" wrapText="1"/>
    </xf>
    <xf numFmtId="0" fontId="17" fillId="0" borderId="7" xfId="40" applyFont="1" applyBorder="1" applyAlignment="1" applyProtection="1">
      <alignment horizontal="right" wrapText="1"/>
      <protection locked="0"/>
    </xf>
    <xf numFmtId="0" fontId="17" fillId="0" borderId="7" xfId="38" applyFont="1" applyBorder="1" applyAlignment="1" applyProtection="1">
      <alignment horizontal="right" wrapText="1"/>
      <protection locked="0"/>
    </xf>
    <xf numFmtId="49" fontId="17" fillId="0" borderId="10" xfId="40" applyNumberFormat="1" applyFont="1" applyBorder="1" applyAlignment="1">
      <alignment horizontal="left" vertical="top" wrapText="1"/>
    </xf>
    <xf numFmtId="0" fontId="17" fillId="0" borderId="10" xfId="40" applyFont="1" applyBorder="1" applyAlignment="1">
      <alignment vertical="top" wrapText="1"/>
    </xf>
    <xf numFmtId="0" fontId="17" fillId="0" borderId="10" xfId="40" applyFont="1" applyBorder="1" applyAlignment="1">
      <alignment horizontal="center" vertical="center" wrapText="1"/>
    </xf>
    <xf numFmtId="2" fontId="17" fillId="0" borderId="10" xfId="40" applyNumberFormat="1" applyFont="1" applyBorder="1" applyAlignment="1">
      <alignment horizontal="right" vertical="center" wrapText="1"/>
    </xf>
    <xf numFmtId="0" fontId="17" fillId="0" borderId="10" xfId="40" applyFont="1" applyBorder="1" applyAlignment="1" applyProtection="1">
      <alignment horizontal="right" wrapText="1"/>
      <protection locked="0"/>
    </xf>
    <xf numFmtId="0" fontId="17" fillId="0" borderId="10" xfId="38" applyFont="1" applyBorder="1" applyAlignment="1" applyProtection="1">
      <alignment horizontal="right" wrapText="1"/>
      <protection locked="0"/>
    </xf>
    <xf numFmtId="170" fontId="4" fillId="0" borderId="7" xfId="34" applyNumberFormat="1" applyFont="1" applyBorder="1" applyAlignment="1">
      <alignment vertical="top" wrapText="1"/>
    </xf>
    <xf numFmtId="2" fontId="4" fillId="0" borderId="10" xfId="34" applyNumberFormat="1" applyFont="1" applyBorder="1" applyAlignment="1">
      <alignment horizontal="center" vertical="center"/>
    </xf>
    <xf numFmtId="2" fontId="4" fillId="0" borderId="10" xfId="34" applyNumberFormat="1" applyFont="1" applyBorder="1" applyAlignment="1" applyProtection="1">
      <alignment horizontal="center" vertical="center"/>
      <protection locked="0"/>
    </xf>
    <xf numFmtId="165" fontId="3" fillId="0" borderId="9" xfId="3" applyFont="1" applyBorder="1" applyAlignment="1">
      <alignment horizontal="center" vertical="center"/>
    </xf>
    <xf numFmtId="2" fontId="4" fillId="0" borderId="0" xfId="10" applyNumberFormat="1" applyFont="1" applyAlignment="1">
      <alignment horizontal="center" vertical="center"/>
    </xf>
    <xf numFmtId="4" fontId="5" fillId="0" borderId="0" xfId="10" applyNumberFormat="1" applyFont="1" applyAlignment="1" applyProtection="1">
      <alignment horizontal="center" vertical="center"/>
      <protection locked="0"/>
    </xf>
    <xf numFmtId="0" fontId="4" fillId="12" borderId="0" xfId="14" applyFont="1" applyFill="1" applyAlignment="1">
      <alignment horizontal="justify" vertical="justify" wrapText="1"/>
    </xf>
    <xf numFmtId="49" fontId="5" fillId="0" borderId="44" xfId="18" applyNumberFormat="1" applyFont="1" applyBorder="1">
      <alignment horizontal="left" vertical="top" wrapText="1" readingOrder="1"/>
    </xf>
    <xf numFmtId="170" fontId="5" fillId="0" borderId="44" xfId="34" applyNumberFormat="1" applyFont="1" applyBorder="1" applyAlignment="1">
      <alignment vertical="top" wrapText="1"/>
    </xf>
    <xf numFmtId="4" fontId="4" fillId="0" borderId="44" xfId="10" applyNumberFormat="1" applyFont="1" applyBorder="1" applyAlignment="1">
      <alignment horizontal="center" vertical="center"/>
    </xf>
    <xf numFmtId="2" fontId="4" fillId="0" borderId="44" xfId="10" applyNumberFormat="1" applyFont="1" applyBorder="1" applyAlignment="1">
      <alignment horizontal="right" vertical="center"/>
    </xf>
    <xf numFmtId="4" fontId="4" fillId="0" borderId="44" xfId="10" applyNumberFormat="1" applyFont="1" applyBorder="1" applyAlignment="1" applyProtection="1">
      <alignment horizontal="right"/>
      <protection locked="0"/>
    </xf>
    <xf numFmtId="4" fontId="5" fillId="0" borderId="44" xfId="10" applyNumberFormat="1" applyFont="1" applyBorder="1" applyAlignment="1" applyProtection="1">
      <alignment horizontal="right"/>
      <protection locked="0"/>
    </xf>
    <xf numFmtId="170" fontId="5" fillId="0" borderId="0" xfId="34" applyNumberFormat="1" applyFont="1" applyBorder="1" applyAlignment="1">
      <alignment vertical="top" wrapText="1"/>
    </xf>
    <xf numFmtId="49" fontId="5" fillId="0" borderId="5" xfId="18" applyNumberFormat="1" applyFont="1" applyBorder="1">
      <alignment horizontal="left" vertical="top" wrapText="1" readingOrder="1"/>
    </xf>
    <xf numFmtId="170" fontId="5" fillId="0" borderId="5" xfId="34" applyNumberFormat="1" applyFont="1" applyBorder="1" applyAlignment="1">
      <alignment vertical="top" wrapText="1"/>
    </xf>
    <xf numFmtId="4" fontId="4" fillId="0" borderId="5" xfId="10" applyNumberFormat="1" applyFont="1" applyBorder="1" applyAlignment="1">
      <alignment horizontal="center" vertical="center"/>
    </xf>
    <xf numFmtId="2" fontId="4" fillId="0" borderId="5" xfId="10" applyNumberFormat="1" applyFont="1" applyBorder="1" applyAlignment="1">
      <alignment horizontal="right" vertical="center"/>
    </xf>
    <xf numFmtId="4" fontId="4" fillId="0" borderId="5" xfId="10" applyNumberFormat="1" applyFont="1" applyBorder="1" applyAlignment="1" applyProtection="1">
      <alignment horizontal="right"/>
      <protection locked="0"/>
    </xf>
    <xf numFmtId="4" fontId="5" fillId="0" borderId="5" xfId="10" applyNumberFormat="1" applyFont="1" applyBorder="1" applyAlignment="1" applyProtection="1">
      <alignment horizontal="right"/>
      <protection locked="0"/>
    </xf>
    <xf numFmtId="0" fontId="4" fillId="0" borderId="44" xfId="14" applyFont="1" applyBorder="1" applyAlignment="1">
      <alignment horizontal="justify" vertical="top" wrapText="1"/>
    </xf>
    <xf numFmtId="170" fontId="4" fillId="0" borderId="44" xfId="34" applyNumberFormat="1" applyFont="1" applyBorder="1" applyAlignment="1">
      <alignment horizontal="center" vertical="center"/>
    </xf>
    <xf numFmtId="2" fontId="4" fillId="0" borderId="44" xfId="34" applyNumberFormat="1" applyFont="1" applyBorder="1" applyAlignment="1">
      <alignment horizontal="right" vertical="center"/>
    </xf>
    <xf numFmtId="2" fontId="4" fillId="0" borderId="44" xfId="34" applyNumberFormat="1" applyFont="1" applyBorder="1" applyAlignment="1" applyProtection="1">
      <alignment horizontal="right"/>
      <protection locked="0"/>
    </xf>
    <xf numFmtId="2" fontId="4" fillId="0" borderId="44" xfId="40" applyNumberFormat="1" applyFont="1" applyBorder="1" applyAlignment="1" applyProtection="1">
      <alignment horizontal="right" wrapText="1"/>
      <protection locked="0"/>
    </xf>
    <xf numFmtId="4" fontId="4" fillId="0" borderId="0" xfId="3" applyNumberFormat="1" applyFont="1" applyBorder="1" applyAlignment="1">
      <alignment vertical="center"/>
    </xf>
    <xf numFmtId="175" fontId="2" fillId="0" borderId="1" xfId="1" applyNumberFormat="1" applyFont="1" applyBorder="1" applyAlignment="1">
      <alignment horizontal="center" vertical="center"/>
    </xf>
    <xf numFmtId="165" fontId="66" fillId="0" borderId="1" xfId="3" applyFont="1" applyBorder="1" applyAlignment="1" applyProtection="1">
      <alignment vertical="center"/>
      <protection locked="0"/>
    </xf>
    <xf numFmtId="165" fontId="66" fillId="0" borderId="1" xfId="3" applyFont="1" applyBorder="1" applyAlignment="1">
      <alignment vertical="center"/>
    </xf>
    <xf numFmtId="0" fontId="2" fillId="0" borderId="0" xfId="1" applyFont="1" applyAlignment="1">
      <alignment horizontal="left" vertical="top" wrapText="1"/>
    </xf>
    <xf numFmtId="175" fontId="2" fillId="0" borderId="0" xfId="1" applyNumberFormat="1" applyFont="1"/>
    <xf numFmtId="0" fontId="2" fillId="0" borderId="0" xfId="1" applyFont="1" applyAlignment="1">
      <alignment horizontal="left"/>
    </xf>
    <xf numFmtId="0" fontId="2" fillId="0" borderId="1" xfId="1" applyFont="1" applyBorder="1" applyAlignment="1">
      <alignment horizontal="left" vertical="top" wrapText="1"/>
    </xf>
    <xf numFmtId="166" fontId="66" fillId="0" borderId="1" xfId="3" applyNumberFormat="1" applyFont="1" applyBorder="1" applyAlignment="1">
      <alignment horizontal="center" vertical="center"/>
    </xf>
    <xf numFmtId="0" fontId="2" fillId="12" borderId="0" xfId="1" applyFont="1" applyFill="1" applyAlignment="1">
      <alignment vertical="center"/>
    </xf>
    <xf numFmtId="166" fontId="4" fillId="12" borderId="1" xfId="3" applyNumberFormat="1" applyFont="1" applyFill="1" applyBorder="1" applyAlignment="1">
      <alignment horizontal="center" vertical="center"/>
    </xf>
    <xf numFmtId="164" fontId="4" fillId="12" borderId="1" xfId="3" applyNumberFormat="1" applyFont="1" applyFill="1" applyBorder="1" applyAlignment="1" applyProtection="1">
      <alignment horizontal="center" vertical="center"/>
      <protection locked="0"/>
    </xf>
    <xf numFmtId="164" fontId="4" fillId="12" borderId="1" xfId="3" applyNumberFormat="1" applyFont="1" applyFill="1" applyBorder="1" applyAlignment="1">
      <alignment horizontal="center" vertical="center"/>
    </xf>
    <xf numFmtId="165" fontId="2" fillId="12" borderId="0" xfId="3" applyFont="1" applyFill="1" applyAlignment="1">
      <alignment vertical="center" wrapText="1"/>
    </xf>
    <xf numFmtId="0" fontId="6" fillId="12" borderId="1" xfId="1" applyFont="1" applyFill="1" applyBorder="1" applyAlignment="1">
      <alignment horizontal="left" vertical="center"/>
    </xf>
    <xf numFmtId="49" fontId="66" fillId="12" borderId="0" xfId="3" applyNumberFormat="1" applyFont="1" applyFill="1" applyAlignment="1">
      <alignment horizontal="left" vertical="center" wrapText="1"/>
    </xf>
    <xf numFmtId="0" fontId="23" fillId="12" borderId="1" xfId="5" applyFont="1" applyFill="1" applyBorder="1" applyAlignment="1">
      <alignment vertical="center" wrapText="1"/>
    </xf>
    <xf numFmtId="164" fontId="4" fillId="12" borderId="1" xfId="3" applyNumberFormat="1" applyFont="1" applyFill="1" applyBorder="1" applyAlignment="1" applyProtection="1">
      <protection locked="0"/>
    </xf>
    <xf numFmtId="164" fontId="4" fillId="12" borderId="1" xfId="3" applyNumberFormat="1" applyFont="1" applyFill="1" applyBorder="1" applyAlignment="1"/>
    <xf numFmtId="0" fontId="2" fillId="12" borderId="1" xfId="1" applyFont="1" applyFill="1" applyBorder="1" applyAlignment="1">
      <alignment horizontal="center" vertical="center"/>
    </xf>
    <xf numFmtId="164" fontId="4" fillId="12" borderId="1" xfId="3" applyNumberFormat="1" applyFont="1" applyFill="1" applyBorder="1" applyAlignment="1">
      <alignment vertical="center"/>
    </xf>
    <xf numFmtId="165" fontId="2" fillId="12" borderId="0" xfId="3" applyFont="1" applyFill="1" applyAlignment="1">
      <alignment vertical="center"/>
    </xf>
    <xf numFmtId="0" fontId="10" fillId="0" borderId="1" xfId="1" applyFont="1" applyBorder="1" applyAlignment="1">
      <alignment vertical="top" wrapText="1"/>
    </xf>
    <xf numFmtId="164" fontId="66" fillId="0" borderId="1" xfId="1" applyNumberFormat="1" applyFont="1" applyBorder="1"/>
    <xf numFmtId="164" fontId="66" fillId="0" borderId="1" xfId="3" applyNumberFormat="1" applyFont="1" applyBorder="1" applyAlignment="1"/>
    <xf numFmtId="164" fontId="66" fillId="0" borderId="1" xfId="3" applyNumberFormat="1" applyFont="1" applyBorder="1" applyAlignment="1" applyProtection="1">
      <protection locked="0"/>
    </xf>
    <xf numFmtId="49" fontId="4" fillId="0" borderId="14" xfId="18" applyNumberFormat="1" applyFont="1" applyBorder="1" applyAlignment="1">
      <alignment horizontal="left" vertical="center" wrapText="1" readingOrder="1"/>
    </xf>
    <xf numFmtId="170" fontId="5" fillId="0" borderId="0" xfId="34" applyNumberFormat="1" applyFont="1" applyAlignment="1">
      <alignment vertical="center" wrapText="1"/>
    </xf>
    <xf numFmtId="49" fontId="46" fillId="16" borderId="14" xfId="40" applyNumberFormat="1" applyFont="1" applyFill="1" applyBorder="1" applyAlignment="1">
      <alignment horizontal="left" vertical="center" wrapText="1"/>
    </xf>
    <xf numFmtId="170" fontId="46" fillId="16" borderId="14" xfId="34" applyNumberFormat="1" applyFont="1" applyFill="1" applyBorder="1" applyAlignment="1">
      <alignment horizontal="left" vertical="center" wrapText="1"/>
    </xf>
    <xf numFmtId="170" fontId="4" fillId="0" borderId="14" xfId="34" applyNumberFormat="1" applyFont="1" applyBorder="1" applyAlignment="1">
      <alignment horizontal="left" vertical="center" wrapText="1"/>
    </xf>
    <xf numFmtId="49" fontId="3" fillId="0" borderId="1" xfId="5" applyNumberFormat="1" applyBorder="1" applyAlignment="1">
      <alignment horizontal="center" vertical="center"/>
    </xf>
    <xf numFmtId="0" fontId="3" fillId="0" borderId="1" xfId="5" applyBorder="1" applyAlignment="1">
      <alignment horizontal="left" vertical="center" wrapText="1"/>
    </xf>
    <xf numFmtId="0" fontId="3" fillId="0" borderId="1" xfId="5" applyBorder="1" applyAlignment="1">
      <alignment horizontal="center" vertical="center"/>
    </xf>
    <xf numFmtId="164" fontId="3" fillId="12" borderId="1" xfId="5" applyNumberFormat="1" applyFill="1" applyBorder="1" applyAlignment="1">
      <alignment vertical="center"/>
    </xf>
    <xf numFmtId="164" fontId="3" fillId="0" borderId="1" xfId="5" applyNumberFormat="1" applyBorder="1" applyAlignment="1">
      <alignment vertical="center"/>
    </xf>
    <xf numFmtId="170" fontId="5" fillId="0" borderId="14" xfId="2" applyNumberFormat="1" applyFont="1" applyBorder="1" applyAlignment="1">
      <alignment vertical="center" wrapText="1"/>
    </xf>
    <xf numFmtId="0" fontId="4" fillId="0" borderId="14" xfId="5" applyFont="1" applyBorder="1" applyAlignment="1">
      <alignment horizontal="center" vertical="center" wrapText="1"/>
    </xf>
    <xf numFmtId="2" fontId="4" fillId="0" borderId="14" xfId="5" applyNumberFormat="1" applyFont="1" applyBorder="1" applyAlignment="1">
      <alignment horizontal="center" vertical="center" wrapText="1"/>
    </xf>
    <xf numFmtId="165" fontId="2" fillId="0" borderId="15" xfId="3" applyFont="1" applyBorder="1" applyAlignment="1">
      <alignment vertical="center"/>
    </xf>
    <xf numFmtId="0" fontId="3" fillId="0" borderId="1" xfId="5" applyBorder="1" applyAlignment="1">
      <alignment vertical="center" wrapText="1"/>
    </xf>
    <xf numFmtId="0" fontId="3" fillId="0" borderId="13" xfId="5" applyBorder="1" applyAlignment="1">
      <alignment horizontal="left" vertical="center" wrapText="1"/>
    </xf>
    <xf numFmtId="0" fontId="3" fillId="0" borderId="13" xfId="5" applyBorder="1" applyAlignment="1">
      <alignment horizontal="center" vertical="center"/>
    </xf>
    <xf numFmtId="16" fontId="8" fillId="0" borderId="4" xfId="5" quotePrefix="1" applyNumberFormat="1" applyFont="1" applyBorder="1" applyAlignment="1">
      <alignment horizontal="center" vertical="center"/>
    </xf>
    <xf numFmtId="0" fontId="8" fillId="0" borderId="3" xfId="5" applyFont="1" applyBorder="1" applyAlignment="1">
      <alignment horizontal="left" vertical="center"/>
    </xf>
    <xf numFmtId="0" fontId="87" fillId="0" borderId="3" xfId="5" applyFont="1" applyBorder="1" applyAlignment="1">
      <alignment horizontal="center" vertical="center"/>
    </xf>
    <xf numFmtId="175" fontId="87" fillId="0" borderId="3" xfId="5" applyNumberFormat="1" applyFont="1" applyBorder="1" applyAlignment="1">
      <alignment horizontal="center" vertical="center"/>
    </xf>
    <xf numFmtId="0" fontId="87" fillId="0" borderId="3" xfId="5" applyFont="1" applyBorder="1" applyAlignment="1">
      <alignment vertical="center"/>
    </xf>
    <xf numFmtId="39" fontId="87" fillId="0" borderId="2" xfId="5" applyNumberFormat="1" applyFont="1" applyBorder="1" applyAlignment="1">
      <alignment horizontal="right" vertical="center"/>
    </xf>
    <xf numFmtId="0" fontId="4" fillId="0" borderId="15" xfId="1" applyFont="1" applyBorder="1" applyAlignment="1">
      <alignment vertical="center" wrapText="1"/>
    </xf>
    <xf numFmtId="49" fontId="17" fillId="0" borderId="11" xfId="40" applyNumberFormat="1" applyFont="1" applyBorder="1" applyAlignment="1">
      <alignment horizontal="left" vertical="center" wrapText="1"/>
    </xf>
    <xf numFmtId="170" fontId="4" fillId="0" borderId="10" xfId="34" applyNumberFormat="1" applyFont="1" applyBorder="1" applyAlignment="1">
      <alignment horizontal="left" vertical="center" wrapText="1"/>
    </xf>
    <xf numFmtId="2" fontId="4" fillId="0" borderId="10" xfId="34" applyNumberFormat="1" applyFont="1" applyBorder="1" applyAlignment="1" applyProtection="1">
      <alignment horizontal="right" vertical="center"/>
      <protection locked="0"/>
    </xf>
    <xf numFmtId="49" fontId="5" fillId="18" borderId="8" xfId="5" applyNumberFormat="1" applyFont="1" applyFill="1" applyBorder="1" applyAlignment="1">
      <alignment horizontal="center" vertical="center" wrapText="1"/>
    </xf>
    <xf numFmtId="0" fontId="8" fillId="18" borderId="7" xfId="5" applyFont="1" applyFill="1" applyBorder="1" applyAlignment="1">
      <alignment horizontal="left" vertical="center" wrapText="1"/>
    </xf>
    <xf numFmtId="0" fontId="8" fillId="18" borderId="7" xfId="5" applyFont="1" applyFill="1" applyBorder="1" applyAlignment="1">
      <alignment horizontal="center" vertical="center"/>
    </xf>
    <xf numFmtId="4" fontId="8" fillId="18" borderId="7" xfId="5" applyNumberFormat="1" applyFont="1" applyFill="1" applyBorder="1" applyAlignment="1">
      <alignment vertical="center"/>
    </xf>
    <xf numFmtId="4" fontId="8" fillId="18" borderId="6" xfId="5" applyNumberFormat="1" applyFont="1" applyFill="1" applyBorder="1" applyAlignment="1">
      <alignment vertical="center"/>
    </xf>
    <xf numFmtId="49" fontId="5" fillId="12" borderId="3" xfId="5" applyNumberFormat="1" applyFont="1" applyFill="1" applyBorder="1" applyAlignment="1">
      <alignment horizontal="center" vertical="center" wrapText="1"/>
    </xf>
    <xf numFmtId="0" fontId="8" fillId="12" borderId="3" xfId="5" applyFont="1" applyFill="1" applyBorder="1" applyAlignment="1">
      <alignment horizontal="left" vertical="center" wrapText="1"/>
    </xf>
    <xf numFmtId="0" fontId="8" fillId="12" borderId="3" xfId="5" applyFont="1" applyFill="1" applyBorder="1" applyAlignment="1">
      <alignment horizontal="center" vertical="center"/>
    </xf>
    <xf numFmtId="4" fontId="8" fillId="12" borderId="3" xfId="5" applyNumberFormat="1" applyFont="1" applyFill="1" applyBorder="1" applyAlignment="1">
      <alignment vertical="center"/>
    </xf>
    <xf numFmtId="0" fontId="8" fillId="0" borderId="1" xfId="5" applyFont="1" applyBorder="1" applyAlignment="1">
      <alignment horizontal="center" vertical="center"/>
    </xf>
    <xf numFmtId="0" fontId="3" fillId="12" borderId="1" xfId="5" applyFill="1" applyBorder="1" applyAlignment="1">
      <alignment horizontal="center" vertical="center"/>
    </xf>
    <xf numFmtId="0" fontId="17" fillId="0" borderId="15" xfId="47" applyFont="1" applyBorder="1" applyAlignment="1" applyProtection="1">
      <alignment horizontal="right" vertical="center" wrapText="1"/>
      <protection locked="0"/>
    </xf>
    <xf numFmtId="2" fontId="4" fillId="0" borderId="15" xfId="38" applyNumberFormat="1" applyFont="1" applyBorder="1" applyAlignment="1" applyProtection="1">
      <alignment horizontal="right" vertical="center" wrapText="1"/>
      <protection locked="0"/>
    </xf>
    <xf numFmtId="0" fontId="3" fillId="0" borderId="46" xfId="5" applyBorder="1" applyAlignment="1">
      <alignment horizontal="left" vertical="center" wrapText="1"/>
    </xf>
    <xf numFmtId="0" fontId="3" fillId="0" borderId="46" xfId="5" applyBorder="1" applyAlignment="1">
      <alignment horizontal="center" vertical="center"/>
    </xf>
    <xf numFmtId="0" fontId="3" fillId="12" borderId="46" xfId="5" applyFill="1" applyBorder="1" applyAlignment="1">
      <alignment horizontal="center" vertical="center"/>
    </xf>
    <xf numFmtId="0" fontId="4" fillId="0" borderId="44" xfId="40" applyFont="1" applyBorder="1" applyAlignment="1">
      <alignment vertical="top" wrapText="1"/>
    </xf>
    <xf numFmtId="0" fontId="62" fillId="0" borderId="3" xfId="1" applyFont="1" applyBorder="1" applyAlignment="1">
      <alignment horizontal="left" vertical="center" wrapText="1"/>
    </xf>
    <xf numFmtId="170" fontId="4" fillId="0" borderId="0" xfId="34" applyNumberFormat="1" applyFont="1" applyAlignment="1">
      <alignment horizontal="center" vertical="center"/>
    </xf>
    <xf numFmtId="2" fontId="4" fillId="0" borderId="0" xfId="34" applyNumberFormat="1" applyFont="1" applyAlignment="1">
      <alignment horizontal="right" vertical="center"/>
    </xf>
    <xf numFmtId="2" fontId="4" fillId="0" borderId="0" xfId="34" applyNumberFormat="1" applyFont="1" applyAlignment="1" applyProtection="1">
      <alignment horizontal="right" vertical="center"/>
      <protection locked="0"/>
    </xf>
    <xf numFmtId="165" fontId="3" fillId="0" borderId="0" xfId="3" applyFont="1" applyAlignment="1">
      <alignment vertical="center"/>
    </xf>
    <xf numFmtId="0" fontId="17" fillId="0" borderId="15" xfId="38" applyFont="1" applyBorder="1" applyAlignment="1" applyProtection="1">
      <alignment horizontal="right" vertical="center" wrapText="1"/>
      <protection locked="0"/>
    </xf>
    <xf numFmtId="0" fontId="3" fillId="12" borderId="1" xfId="5" applyFill="1" applyBorder="1" applyAlignment="1">
      <alignment horizontal="left" vertical="center" wrapText="1"/>
    </xf>
    <xf numFmtId="165" fontId="2" fillId="12" borderId="15" xfId="3" applyFont="1" applyFill="1" applyBorder="1" applyAlignment="1">
      <alignment vertical="center"/>
    </xf>
    <xf numFmtId="0" fontId="3" fillId="12" borderId="1" xfId="5" quotePrefix="1" applyFill="1" applyBorder="1" applyAlignment="1">
      <alignment horizontal="left" vertical="center" wrapText="1"/>
    </xf>
    <xf numFmtId="165" fontId="3" fillId="0" borderId="15" xfId="3" applyFont="1" applyBorder="1" applyAlignment="1">
      <alignment vertical="center"/>
    </xf>
    <xf numFmtId="0" fontId="4" fillId="12" borderId="1" xfId="1" applyFont="1" applyFill="1" applyBorder="1" applyAlignment="1">
      <alignment vertical="center" wrapText="1"/>
    </xf>
    <xf numFmtId="0" fontId="3" fillId="12" borderId="13" xfId="5" quotePrefix="1" applyFill="1" applyBorder="1" applyAlignment="1">
      <alignment horizontal="left" vertical="center" wrapText="1"/>
    </xf>
    <xf numFmtId="0" fontId="4" fillId="0" borderId="7" xfId="40" applyFont="1" applyBorder="1" applyAlignment="1">
      <alignment vertical="top" wrapText="1"/>
    </xf>
    <xf numFmtId="49" fontId="17" fillId="0" borderId="10" xfId="40" applyNumberFormat="1" applyFont="1" applyBorder="1" applyAlignment="1">
      <alignment horizontal="left" vertical="center" wrapText="1"/>
    </xf>
    <xf numFmtId="0" fontId="4" fillId="0" borderId="10" xfId="40" applyFont="1" applyBorder="1" applyAlignment="1">
      <alignment vertical="center" wrapText="1"/>
    </xf>
    <xf numFmtId="0" fontId="17" fillId="0" borderId="10" xfId="40" applyFont="1" applyBorder="1" applyAlignment="1" applyProtection="1">
      <alignment horizontal="right" vertical="center" wrapText="1"/>
      <protection locked="0"/>
    </xf>
    <xf numFmtId="0" fontId="17" fillId="0" borderId="10" xfId="38" applyFont="1" applyBorder="1" applyAlignment="1" applyProtection="1">
      <alignment horizontal="right" vertical="center" wrapText="1"/>
      <protection locked="0"/>
    </xf>
    <xf numFmtId="49" fontId="3" fillId="0" borderId="13" xfId="5" applyNumberFormat="1" applyBorder="1" applyAlignment="1">
      <alignment horizontal="center" vertical="center"/>
    </xf>
    <xf numFmtId="0" fontId="4" fillId="12" borderId="13" xfId="5" applyFont="1" applyFill="1" applyBorder="1" applyAlignment="1">
      <alignment horizontal="left" vertical="center" wrapText="1"/>
    </xf>
    <xf numFmtId="0" fontId="3" fillId="12" borderId="13" xfId="5" applyFill="1" applyBorder="1" applyAlignment="1">
      <alignment horizontal="center" vertical="center"/>
    </xf>
    <xf numFmtId="164" fontId="3" fillId="12" borderId="13" xfId="5" applyNumberFormat="1" applyFill="1" applyBorder="1" applyAlignment="1">
      <alignment horizontal="center" vertical="center"/>
    </xf>
    <xf numFmtId="0" fontId="4" fillId="12" borderId="1" xfId="5" applyFont="1" applyFill="1" applyBorder="1" applyAlignment="1">
      <alignment horizontal="left" vertical="center" wrapText="1"/>
    </xf>
    <xf numFmtId="164" fontId="3" fillId="12" borderId="1" xfId="5" applyNumberFormat="1" applyFill="1" applyBorder="1" applyAlignment="1">
      <alignment horizontal="center" vertical="center"/>
    </xf>
    <xf numFmtId="49" fontId="3" fillId="0" borderId="46" xfId="5" applyNumberFormat="1" applyBorder="1" applyAlignment="1">
      <alignment horizontal="center" vertical="center"/>
    </xf>
    <xf numFmtId="49" fontId="5" fillId="0" borderId="0" xfId="18" applyNumberFormat="1" applyFont="1" applyAlignment="1">
      <alignment horizontal="left" vertical="center" wrapText="1" readingOrder="1"/>
    </xf>
    <xf numFmtId="0" fontId="4" fillId="12" borderId="0" xfId="14" applyFont="1" applyFill="1" applyAlignment="1">
      <alignment horizontal="justify" vertical="center"/>
    </xf>
    <xf numFmtId="0" fontId="3" fillId="12" borderId="1" xfId="46" applyFont="1" applyFill="1" applyBorder="1" applyAlignment="1">
      <alignment horizontal="left" vertical="center" wrapText="1"/>
    </xf>
    <xf numFmtId="0" fontId="3" fillId="12" borderId="1" xfId="35" applyFont="1" applyFill="1" applyBorder="1" applyAlignment="1">
      <alignment horizontal="left" vertical="center" wrapText="1"/>
    </xf>
    <xf numFmtId="0" fontId="21" fillId="12" borderId="0" xfId="36" applyFont="1" applyFill="1" applyAlignment="1">
      <alignment vertical="center"/>
    </xf>
    <xf numFmtId="0" fontId="5" fillId="15" borderId="0" xfId="20" applyFont="1" applyFill="1" applyBorder="1" applyAlignment="1" applyProtection="1">
      <alignment horizontal="center" vertical="center" wrapText="1"/>
      <protection locked="0"/>
    </xf>
    <xf numFmtId="0" fontId="5" fillId="12" borderId="1" xfId="1" applyFont="1" applyFill="1" applyBorder="1" applyAlignment="1">
      <alignment horizontal="justify" vertical="center" wrapText="1"/>
    </xf>
    <xf numFmtId="0" fontId="5" fillId="9" borderId="1" xfId="1" applyFont="1" applyFill="1" applyBorder="1" applyAlignment="1">
      <alignment horizontal="justify" vertical="center" wrapText="1"/>
    </xf>
    <xf numFmtId="180" fontId="2" fillId="0" borderId="0" xfId="2" applyNumberFormat="1" applyFont="1"/>
    <xf numFmtId="165" fontId="4" fillId="0" borderId="1" xfId="2" applyFont="1" applyBorder="1" applyAlignment="1" applyProtection="1">
      <alignment horizontal="center" vertical="center"/>
      <protection locked="0"/>
    </xf>
    <xf numFmtId="165" fontId="5" fillId="0" borderId="1" xfId="2" applyFont="1" applyBorder="1" applyAlignment="1" applyProtection="1">
      <alignment horizontal="center" vertical="center"/>
      <protection locked="0"/>
    </xf>
    <xf numFmtId="165" fontId="4" fillId="0" borderId="1" xfId="2" applyNumberFormat="1" applyFont="1" applyBorder="1" applyAlignment="1" applyProtection="1">
      <alignment vertical="center"/>
      <protection locked="0"/>
    </xf>
    <xf numFmtId="165" fontId="4" fillId="0" borderId="1" xfId="3" applyNumberFormat="1" applyFont="1" applyBorder="1" applyAlignment="1" applyProtection="1">
      <alignment vertical="center"/>
      <protection locked="0"/>
    </xf>
    <xf numFmtId="165" fontId="4" fillId="0" borderId="1" xfId="2" applyNumberFormat="1" applyFont="1" applyFill="1" applyBorder="1" applyAlignment="1" applyProtection="1">
      <alignment horizontal="right" vertical="center"/>
      <protection locked="0"/>
    </xf>
    <xf numFmtId="49" fontId="8" fillId="18" borderId="4" xfId="4" applyNumberFormat="1" applyFont="1" applyFill="1" applyBorder="1" applyAlignment="1">
      <alignment horizontal="center" vertical="center"/>
    </xf>
    <xf numFmtId="4" fontId="5" fillId="18" borderId="2" xfId="4" applyNumberFormat="1" applyFont="1" applyFill="1" applyBorder="1" applyAlignment="1">
      <alignment horizontal="center" vertical="center"/>
    </xf>
    <xf numFmtId="165" fontId="5" fillId="2" borderId="2" xfId="2" applyNumberFormat="1" applyFont="1" applyFill="1" applyBorder="1" applyAlignment="1" applyProtection="1">
      <alignment horizontal="right" vertical="center"/>
    </xf>
    <xf numFmtId="165" fontId="4" fillId="0" borderId="0" xfId="3" applyNumberFormat="1" applyFont="1" applyFill="1" applyAlignment="1">
      <alignment vertical="center"/>
    </xf>
    <xf numFmtId="165" fontId="5" fillId="2" borderId="2" xfId="2" applyNumberFormat="1" applyFont="1" applyFill="1" applyBorder="1" applyAlignment="1">
      <alignment horizontal="right" vertical="center"/>
    </xf>
    <xf numFmtId="165" fontId="5" fillId="3" borderId="1" xfId="2" applyNumberFormat="1" applyFont="1" applyFill="1" applyBorder="1" applyAlignment="1" applyProtection="1">
      <alignment horizontal="right" vertical="center"/>
    </xf>
    <xf numFmtId="0" fontId="4" fillId="2" borderId="4" xfId="4" applyFont="1" applyFill="1" applyBorder="1" applyAlignment="1">
      <alignment horizontal="center" vertical="center" wrapText="1"/>
    </xf>
    <xf numFmtId="49" fontId="5" fillId="18" borderId="1" xfId="4" applyNumberFormat="1" applyFont="1" applyFill="1" applyBorder="1" applyAlignment="1">
      <alignment horizontal="center" vertical="center"/>
    </xf>
    <xf numFmtId="49" fontId="5" fillId="18" borderId="4" xfId="4" applyNumberFormat="1" applyFont="1" applyFill="1" applyBorder="1" applyAlignment="1">
      <alignment horizontal="center" vertical="center"/>
    </xf>
    <xf numFmtId="49" fontId="4" fillId="2" borderId="4" xfId="4" quotePrefix="1" applyNumberFormat="1" applyFont="1" applyFill="1" applyBorder="1" applyAlignment="1">
      <alignment horizontal="center" vertical="center"/>
    </xf>
    <xf numFmtId="49" fontId="5" fillId="3" borderId="1" xfId="4" quotePrefix="1" applyNumberFormat="1" applyFont="1" applyFill="1" applyBorder="1" applyAlignment="1">
      <alignment horizontal="left" vertical="center"/>
    </xf>
    <xf numFmtId="49" fontId="5" fillId="18" borderId="1" xfId="4" applyNumberFormat="1" applyFont="1" applyFill="1" applyBorder="1" applyAlignment="1">
      <alignment horizontal="left" vertical="center"/>
    </xf>
    <xf numFmtId="4" fontId="5" fillId="18" borderId="2" xfId="5" applyNumberFormat="1" applyFont="1" applyFill="1" applyBorder="1" applyAlignment="1">
      <alignment horizontal="center" vertical="center"/>
    </xf>
    <xf numFmtId="4" fontId="5" fillId="18" borderId="2" xfId="5" applyNumberFormat="1" applyFont="1" applyFill="1" applyBorder="1" applyAlignment="1">
      <alignment horizontal="right" vertical="center"/>
    </xf>
    <xf numFmtId="49" fontId="5" fillId="3" borderId="1" xfId="4" quotePrefix="1" applyNumberFormat="1" applyFont="1" applyFill="1" applyBorder="1" applyAlignment="1">
      <alignment horizontal="left"/>
    </xf>
    <xf numFmtId="49" fontId="8" fillId="18" borderId="4" xfId="5" applyNumberFormat="1" applyFont="1" applyFill="1" applyBorder="1" applyAlignment="1">
      <alignment horizontal="center" vertical="center"/>
    </xf>
    <xf numFmtId="165" fontId="5" fillId="2" borderId="2" xfId="2" applyFont="1" applyFill="1" applyBorder="1" applyAlignment="1" applyProtection="1">
      <alignment horizontal="center" vertical="center"/>
    </xf>
    <xf numFmtId="0" fontId="99" fillId="0" borderId="0" xfId="51"/>
    <xf numFmtId="49" fontId="8" fillId="5" borderId="4" xfId="51" applyNumberFormat="1" applyFont="1" applyFill="1" applyBorder="1" applyAlignment="1">
      <alignment horizontal="left" vertical="center"/>
    </xf>
    <xf numFmtId="0" fontId="8" fillId="5" borderId="3" xfId="51" applyFont="1" applyFill="1" applyBorder="1" applyAlignment="1">
      <alignment horizontal="center" vertical="center"/>
    </xf>
    <xf numFmtId="0" fontId="4" fillId="5" borderId="3" xfId="51" applyFont="1" applyFill="1" applyBorder="1" applyAlignment="1">
      <alignment horizontal="left" vertical="center"/>
    </xf>
    <xf numFmtId="166" fontId="4" fillId="5" borderId="3" xfId="51" applyNumberFormat="1" applyFont="1" applyFill="1" applyBorder="1" applyAlignment="1">
      <alignment horizontal="left" vertical="center"/>
    </xf>
    <xf numFmtId="4" fontId="4" fillId="5" borderId="3" xfId="51" applyNumberFormat="1" applyFont="1" applyFill="1" applyBorder="1" applyAlignment="1" applyProtection="1">
      <alignment horizontal="left" vertical="center"/>
      <protection locked="0"/>
    </xf>
    <xf numFmtId="4" fontId="4" fillId="5" borderId="2" xfId="51" applyNumberFormat="1" applyFont="1" applyFill="1" applyBorder="1" applyAlignment="1">
      <alignment horizontal="left" vertical="center"/>
    </xf>
    <xf numFmtId="49" fontId="8" fillId="0" borderId="0" xfId="51" applyNumberFormat="1" applyFont="1" applyAlignment="1">
      <alignment horizontal="left" vertical="center"/>
    </xf>
    <xf numFmtId="0" fontId="5" fillId="0" borderId="0" xfId="51" applyFont="1" applyAlignment="1">
      <alignment horizontal="center" vertical="center"/>
    </xf>
    <xf numFmtId="0" fontId="4" fillId="0" borderId="0" xfId="51" applyFont="1" applyAlignment="1">
      <alignment horizontal="left" vertical="center"/>
    </xf>
    <xf numFmtId="166" fontId="4" fillId="0" borderId="0" xfId="51" applyNumberFormat="1" applyFont="1" applyAlignment="1">
      <alignment horizontal="left" vertical="center"/>
    </xf>
    <xf numFmtId="4" fontId="4" fillId="0" borderId="0" xfId="51" applyNumberFormat="1" applyFont="1" applyAlignment="1" applyProtection="1">
      <alignment horizontal="left" vertical="center"/>
      <protection locked="0"/>
    </xf>
    <xf numFmtId="4" fontId="4" fillId="0" borderId="0" xfId="51" applyNumberFormat="1" applyFont="1" applyAlignment="1">
      <alignment horizontal="left" vertical="center"/>
    </xf>
    <xf numFmtId="0" fontId="13" fillId="0" borderId="0" xfId="51" applyFont="1"/>
    <xf numFmtId="0" fontId="13" fillId="0" borderId="0" xfId="51" applyFont="1" applyAlignment="1">
      <alignment horizontal="right"/>
    </xf>
    <xf numFmtId="0" fontId="5" fillId="0" borderId="0" xfId="51" applyFont="1" applyAlignment="1">
      <alignment horizontal="left" vertical="center"/>
    </xf>
    <xf numFmtId="4" fontId="4" fillId="0" borderId="12" xfId="51" applyNumberFormat="1" applyFont="1" applyBorder="1" applyAlignment="1">
      <alignment horizontal="left" vertical="center"/>
    </xf>
    <xf numFmtId="49" fontId="8" fillId="0" borderId="5" xfId="51" applyNumberFormat="1" applyFont="1" applyBorder="1" applyAlignment="1">
      <alignment horizontal="left" vertical="center"/>
    </xf>
    <xf numFmtId="0" fontId="5" fillId="0" borderId="8" xfId="51" applyFont="1" applyBorder="1" applyAlignment="1">
      <alignment horizontal="left" vertical="center"/>
    </xf>
    <xf numFmtId="0" fontId="4" fillId="0" borderId="7" xfId="51" applyFont="1" applyBorder="1" applyAlignment="1">
      <alignment horizontal="left" vertical="center"/>
    </xf>
    <xf numFmtId="166" fontId="4" fillId="0" borderId="3" xfId="51" applyNumberFormat="1" applyFont="1" applyBorder="1" applyAlignment="1">
      <alignment horizontal="left" vertical="center"/>
    </xf>
    <xf numFmtId="4" fontId="4" fillId="0" borderId="6" xfId="51" applyNumberFormat="1" applyFont="1" applyBorder="1" applyAlignment="1" applyProtection="1">
      <alignment horizontal="left" vertical="center"/>
      <protection locked="0"/>
    </xf>
    <xf numFmtId="4" fontId="4" fillId="0" borderId="5" xfId="51" applyNumberFormat="1" applyFont="1" applyBorder="1" applyAlignment="1">
      <alignment horizontal="left" vertical="center"/>
    </xf>
    <xf numFmtId="0" fontId="4" fillId="3" borderId="3" xfId="51" applyFont="1" applyFill="1" applyBorder="1" applyAlignment="1">
      <alignment horizontal="center" vertical="center" wrapText="1"/>
    </xf>
    <xf numFmtId="166" fontId="4" fillId="3" borderId="3" xfId="51" applyNumberFormat="1" applyFont="1" applyFill="1" applyBorder="1" applyAlignment="1">
      <alignment horizontal="center" vertical="center" wrapText="1"/>
    </xf>
    <xf numFmtId="4" fontId="5" fillId="3" borderId="2" xfId="51" applyNumberFormat="1" applyFont="1" applyFill="1" applyBorder="1" applyAlignment="1" applyProtection="1">
      <alignment horizontal="center" vertical="center"/>
      <protection locked="0"/>
    </xf>
    <xf numFmtId="0" fontId="3" fillId="0" borderId="0" xfId="51" applyFont="1"/>
    <xf numFmtId="49" fontId="8" fillId="2" borderId="1" xfId="51" applyNumberFormat="1" applyFont="1" applyFill="1" applyBorder="1" applyAlignment="1">
      <alignment horizontal="center" vertical="center"/>
    </xf>
    <xf numFmtId="49" fontId="3" fillId="2" borderId="4" xfId="51" quotePrefix="1" applyNumberFormat="1" applyFont="1" applyFill="1" applyBorder="1" applyAlignment="1">
      <alignment horizontal="center" vertical="center"/>
    </xf>
    <xf numFmtId="0" fontId="8" fillId="2" borderId="4" xfId="51" applyFont="1" applyFill="1" applyBorder="1" applyAlignment="1">
      <alignment vertical="center" wrapText="1"/>
    </xf>
    <xf numFmtId="0" fontId="8" fillId="2" borderId="3" xfId="51" applyFont="1" applyFill="1" applyBorder="1" applyAlignment="1">
      <alignment vertical="center" wrapText="1"/>
    </xf>
    <xf numFmtId="166" fontId="8" fillId="2" borderId="3" xfId="51" applyNumberFormat="1" applyFont="1" applyFill="1" applyBorder="1" applyAlignment="1">
      <alignment vertical="center" wrapText="1"/>
    </xf>
    <xf numFmtId="4" fontId="8" fillId="2" borderId="2" xfId="51" applyNumberFormat="1" applyFont="1" applyFill="1" applyBorder="1" applyAlignment="1" applyProtection="1">
      <alignment horizontal="right" vertical="center"/>
      <protection locked="0"/>
    </xf>
    <xf numFmtId="0" fontId="4" fillId="2" borderId="3" xfId="51" applyFont="1" applyFill="1" applyBorder="1" applyAlignment="1">
      <alignment vertical="center" wrapText="1"/>
    </xf>
    <xf numFmtId="166" fontId="4" fillId="2" borderId="3" xfId="51" applyNumberFormat="1" applyFont="1" applyFill="1" applyBorder="1" applyAlignment="1">
      <alignment vertical="center" wrapText="1"/>
    </xf>
    <xf numFmtId="4" fontId="5" fillId="2" borderId="2" xfId="51" applyNumberFormat="1" applyFont="1" applyFill="1" applyBorder="1" applyAlignment="1" applyProtection="1">
      <alignment horizontal="right" vertical="center"/>
      <protection locked="0"/>
    </xf>
    <xf numFmtId="49" fontId="8" fillId="3" borderId="1" xfId="51" quotePrefix="1" applyNumberFormat="1" applyFont="1" applyFill="1" applyBorder="1" applyAlignment="1">
      <alignment horizontal="left" vertical="center"/>
    </xf>
    <xf numFmtId="0" fontId="5" fillId="3" borderId="4" xfId="51" applyFont="1" applyFill="1" applyBorder="1" applyAlignment="1">
      <alignment horizontal="left" vertical="center" wrapText="1"/>
    </xf>
    <xf numFmtId="0" fontId="5" fillId="5" borderId="3" xfId="51" applyFont="1" applyFill="1" applyBorder="1" applyAlignment="1">
      <alignment horizontal="center" vertical="center"/>
    </xf>
    <xf numFmtId="49" fontId="14" fillId="5" borderId="4" xfId="51" applyNumberFormat="1" applyFont="1" applyFill="1" applyBorder="1" applyAlignment="1">
      <alignment horizontal="left" vertical="center"/>
    </xf>
    <xf numFmtId="0" fontId="8" fillId="5" borderId="3" xfId="51" applyFont="1" applyFill="1" applyBorder="1" applyAlignment="1">
      <alignment vertical="center"/>
    </xf>
    <xf numFmtId="0" fontId="8" fillId="5" borderId="2" xfId="51" applyFont="1" applyFill="1" applyBorder="1" applyAlignment="1">
      <alignment vertical="center"/>
    </xf>
    <xf numFmtId="166" fontId="4" fillId="0" borderId="6" xfId="51" applyNumberFormat="1" applyFont="1" applyBorder="1" applyAlignment="1">
      <alignment horizontal="left" vertical="center"/>
    </xf>
    <xf numFmtId="4" fontId="4" fillId="0" borderId="5" xfId="51" applyNumberFormat="1" applyFont="1" applyBorder="1" applyAlignment="1" applyProtection="1">
      <alignment horizontal="left" vertical="center"/>
      <protection locked="0"/>
    </xf>
    <xf numFmtId="49" fontId="8" fillId="2" borderId="1" xfId="51" applyNumberFormat="1" applyFont="1" applyFill="1" applyBorder="1" applyAlignment="1">
      <alignment horizontal="left" vertical="center"/>
    </xf>
    <xf numFmtId="0" fontId="14" fillId="2" borderId="4" xfId="51" applyFont="1" applyFill="1" applyBorder="1" applyAlignment="1">
      <alignment horizontal="left" vertical="center"/>
    </xf>
    <xf numFmtId="0" fontId="4" fillId="2" borderId="3" xfId="51" applyFont="1" applyFill="1" applyBorder="1" applyAlignment="1">
      <alignment horizontal="left" vertical="center"/>
    </xf>
    <xf numFmtId="166" fontId="4" fillId="2" borderId="2" xfId="51" applyNumberFormat="1" applyFont="1" applyFill="1" applyBorder="1" applyAlignment="1">
      <alignment horizontal="left" vertical="center"/>
    </xf>
    <xf numFmtId="4" fontId="4" fillId="2" borderId="1" xfId="51" applyNumberFormat="1" applyFont="1" applyFill="1" applyBorder="1" applyAlignment="1" applyProtection="1">
      <alignment horizontal="left" vertical="center"/>
      <protection locked="0"/>
    </xf>
    <xf numFmtId="4" fontId="4" fillId="2" borderId="1" xfId="51" applyNumberFormat="1" applyFont="1" applyFill="1" applyBorder="1" applyAlignment="1">
      <alignment horizontal="left" vertical="center"/>
    </xf>
    <xf numFmtId="0" fontId="8" fillId="2" borderId="4" xfId="51" applyFont="1" applyFill="1" applyBorder="1" applyAlignment="1">
      <alignment horizontal="center" vertical="center"/>
    </xf>
    <xf numFmtId="0" fontId="3" fillId="2" borderId="3" xfId="51" applyFont="1" applyFill="1" applyBorder="1" applyAlignment="1">
      <alignment vertical="center"/>
    </xf>
    <xf numFmtId="166" fontId="3" fillId="2" borderId="2" xfId="51" applyNumberFormat="1" applyFont="1" applyFill="1" applyBorder="1" applyAlignment="1">
      <alignment vertical="center"/>
    </xf>
    <xf numFmtId="4" fontId="8" fillId="2" borderId="1" xfId="51" applyNumberFormat="1" applyFont="1" applyFill="1" applyBorder="1" applyAlignment="1" applyProtection="1">
      <alignment horizontal="center" vertical="center"/>
      <protection locked="0"/>
    </xf>
    <xf numFmtId="4" fontId="8" fillId="2" borderId="1" xfId="51" applyNumberFormat="1" applyFont="1" applyFill="1" applyBorder="1" applyAlignment="1">
      <alignment horizontal="center" vertical="center"/>
    </xf>
    <xf numFmtId="0" fontId="3" fillId="0" borderId="0" xfId="51" applyFont="1" applyAlignment="1">
      <alignment vertical="center"/>
    </xf>
    <xf numFmtId="49" fontId="8" fillId="2" borderId="1" xfId="51" quotePrefix="1" applyNumberFormat="1" applyFont="1" applyFill="1" applyBorder="1" applyAlignment="1">
      <alignment vertical="center"/>
    </xf>
    <xf numFmtId="0" fontId="8" fillId="2" borderId="1" xfId="51" applyFont="1" applyFill="1" applyBorder="1" applyAlignment="1">
      <alignment vertical="center" wrapText="1"/>
    </xf>
    <xf numFmtId="0" fontId="3" fillId="2" borderId="1" xfId="51" applyFont="1" applyFill="1" applyBorder="1" applyAlignment="1">
      <alignment vertical="center" wrapText="1"/>
    </xf>
    <xf numFmtId="166" fontId="3" fillId="2" borderId="1" xfId="51" applyNumberFormat="1" applyFont="1" applyFill="1" applyBorder="1" applyAlignment="1">
      <alignment vertical="center" wrapText="1"/>
    </xf>
    <xf numFmtId="4" fontId="8" fillId="2" borderId="1" xfId="51" applyNumberFormat="1" applyFont="1" applyFill="1" applyBorder="1" applyAlignment="1" applyProtection="1">
      <alignment vertical="center"/>
      <protection locked="0"/>
    </xf>
    <xf numFmtId="0" fontId="99" fillId="0" borderId="0" xfId="51" applyAlignment="1">
      <alignment horizontal="center"/>
    </xf>
    <xf numFmtId="49" fontId="8" fillId="3" borderId="1" xfId="51" quotePrefix="1" applyNumberFormat="1" applyFont="1" applyFill="1" applyBorder="1" applyAlignment="1">
      <alignment vertical="center"/>
    </xf>
    <xf numFmtId="0" fontId="8" fillId="3" borderId="1" xfId="51" applyFont="1" applyFill="1" applyBorder="1" applyAlignment="1">
      <alignment vertical="center"/>
    </xf>
    <xf numFmtId="0" fontId="3" fillId="3" borderId="1" xfId="51" applyFont="1" applyFill="1" applyBorder="1" applyAlignment="1">
      <alignment vertical="center"/>
    </xf>
    <xf numFmtId="166" fontId="3" fillId="3" borderId="1" xfId="51" applyNumberFormat="1" applyFont="1" applyFill="1" applyBorder="1" applyAlignment="1">
      <alignment vertical="center"/>
    </xf>
    <xf numFmtId="4" fontId="8" fillId="3" borderId="4" xfId="51" applyNumberFormat="1" applyFont="1" applyFill="1" applyBorder="1" applyAlignment="1" applyProtection="1">
      <alignment vertical="center"/>
      <protection locked="0"/>
    </xf>
    <xf numFmtId="0" fontId="3" fillId="0" borderId="0" xfId="51" applyFont="1" applyAlignment="1">
      <alignment horizontal="center"/>
    </xf>
    <xf numFmtId="0" fontId="4" fillId="0" borderId="1" xfId="51" applyFont="1" applyBorder="1" applyAlignment="1">
      <alignment vertical="top" wrapText="1"/>
    </xf>
    <xf numFmtId="0" fontId="5" fillId="0" borderId="1" xfId="51" applyFont="1" applyBorder="1" applyAlignment="1">
      <alignment horizontal="left" vertical="top" wrapText="1"/>
    </xf>
    <xf numFmtId="0" fontId="17" fillId="0" borderId="1" xfId="51" applyFont="1" applyBorder="1" applyAlignment="1">
      <alignment vertical="center" wrapText="1"/>
    </xf>
    <xf numFmtId="0" fontId="23" fillId="9" borderId="1" xfId="51" applyFont="1" applyFill="1" applyBorder="1" applyAlignment="1">
      <alignment vertical="top" wrapText="1"/>
    </xf>
    <xf numFmtId="0" fontId="17" fillId="9" borderId="1" xfId="51" applyFont="1" applyFill="1" applyBorder="1" applyAlignment="1">
      <alignment vertical="top" wrapText="1"/>
    </xf>
    <xf numFmtId="0" fontId="17" fillId="9" borderId="1" xfId="51" applyFont="1" applyFill="1" applyBorder="1" applyAlignment="1">
      <alignment vertical="center" wrapText="1"/>
    </xf>
    <xf numFmtId="0" fontId="17" fillId="11" borderId="1" xfId="51" applyFont="1" applyFill="1" applyBorder="1" applyAlignment="1">
      <alignment vertical="center" wrapText="1"/>
    </xf>
    <xf numFmtId="0" fontId="17" fillId="11" borderId="1" xfId="51" applyFont="1" applyFill="1" applyBorder="1" applyAlignment="1">
      <alignment vertical="top" wrapText="1"/>
    </xf>
    <xf numFmtId="0" fontId="4" fillId="2" borderId="1" xfId="51" applyFont="1" applyFill="1" applyBorder="1" applyAlignment="1">
      <alignment vertical="center" wrapText="1"/>
    </xf>
    <xf numFmtId="0" fontId="17" fillId="2" borderId="1" xfId="51" applyFont="1" applyFill="1" applyBorder="1" applyAlignment="1">
      <alignment vertical="center" wrapText="1"/>
    </xf>
    <xf numFmtId="0" fontId="17" fillId="2" borderId="1" xfId="51" applyFont="1" applyFill="1" applyBorder="1" applyAlignment="1">
      <alignment vertical="top" wrapText="1"/>
    </xf>
    <xf numFmtId="0" fontId="17" fillId="10" borderId="1" xfId="51" applyFont="1" applyFill="1" applyBorder="1" applyAlignment="1">
      <alignment vertical="center" wrapText="1"/>
    </xf>
    <xf numFmtId="0" fontId="17" fillId="10" borderId="1" xfId="51" applyFont="1" applyFill="1" applyBorder="1" applyAlignment="1">
      <alignment vertical="top" wrapText="1"/>
    </xf>
    <xf numFmtId="0" fontId="4" fillId="2" borderId="1" xfId="51" applyFont="1" applyFill="1" applyBorder="1" applyAlignment="1">
      <alignment vertical="top" wrapText="1"/>
    </xf>
    <xf numFmtId="0" fontId="4" fillId="10" borderId="1" xfId="51" applyFont="1" applyFill="1" applyBorder="1" applyAlignment="1">
      <alignment vertical="center" wrapText="1"/>
    </xf>
    <xf numFmtId="0" fontId="4" fillId="10" borderId="1" xfId="51" applyFont="1" applyFill="1" applyBorder="1" applyAlignment="1">
      <alignment vertical="top" wrapText="1"/>
    </xf>
    <xf numFmtId="0" fontId="24" fillId="2" borderId="1" xfId="51" applyFont="1" applyFill="1" applyBorder="1" applyAlignment="1">
      <alignment vertical="top" wrapText="1"/>
    </xf>
    <xf numFmtId="0" fontId="17" fillId="0" borderId="1" xfId="51" applyFont="1" applyBorder="1" applyAlignment="1">
      <alignment vertical="top" wrapText="1"/>
    </xf>
    <xf numFmtId="0" fontId="66" fillId="0" borderId="1" xfId="51" applyFont="1" applyBorder="1" applyAlignment="1">
      <alignment vertical="center" wrapText="1"/>
    </xf>
    <xf numFmtId="0" fontId="2" fillId="0" borderId="13" xfId="1" applyFont="1" applyBorder="1" applyAlignment="1">
      <alignment horizontal="center" vertical="top"/>
    </xf>
    <xf numFmtId="0" fontId="2" fillId="0" borderId="14" xfId="1" applyFont="1" applyBorder="1" applyAlignment="1">
      <alignment horizontal="center" vertical="top"/>
    </xf>
    <xf numFmtId="0" fontId="4" fillId="9" borderId="1" xfId="51" applyFont="1" applyFill="1" applyBorder="1" applyAlignment="1">
      <alignment vertical="center" wrapText="1"/>
    </xf>
    <xf numFmtId="49" fontId="8" fillId="5" borderId="3" xfId="51" applyNumberFormat="1" applyFont="1" applyFill="1" applyBorder="1" applyAlignment="1">
      <alignment horizontal="center" vertical="center" wrapText="1"/>
    </xf>
    <xf numFmtId="0" fontId="4" fillId="11" borderId="1" xfId="51" applyFont="1" applyFill="1" applyBorder="1" applyAlignment="1">
      <alignment vertical="center" wrapText="1"/>
    </xf>
    <xf numFmtId="0" fontId="4" fillId="11" borderId="1" xfId="51" applyFont="1" applyFill="1" applyBorder="1" applyAlignment="1">
      <alignment vertical="top" wrapText="1"/>
    </xf>
    <xf numFmtId="0" fontId="66" fillId="2" borderId="1" xfId="51" applyFont="1" applyFill="1" applyBorder="1" applyAlignment="1">
      <alignment vertical="center" wrapText="1"/>
    </xf>
    <xf numFmtId="0" fontId="66" fillId="2" borderId="1" xfId="51" applyFont="1" applyFill="1" applyBorder="1" applyAlignment="1">
      <alignment vertical="top" wrapText="1"/>
    </xf>
    <xf numFmtId="0" fontId="4" fillId="9" borderId="1" xfId="51" applyFont="1" applyFill="1" applyBorder="1" applyAlignment="1">
      <alignment vertical="top" wrapText="1"/>
    </xf>
    <xf numFmtId="0" fontId="4" fillId="12" borderId="0" xfId="51" applyFont="1" applyFill="1" applyAlignment="1">
      <alignment vertical="center" wrapText="1"/>
    </xf>
    <xf numFmtId="0" fontId="4" fillId="12" borderId="0" xfId="51" applyFont="1" applyFill="1" applyAlignment="1">
      <alignment vertical="top" wrapText="1"/>
    </xf>
    <xf numFmtId="0" fontId="66" fillId="9" borderId="1" xfId="51" applyFont="1" applyFill="1" applyBorder="1" applyAlignment="1">
      <alignment vertical="center" wrapText="1"/>
    </xf>
    <xf numFmtId="0" fontId="66" fillId="0" borderId="1" xfId="51" applyFont="1" applyBorder="1" applyAlignment="1">
      <alignment horizontal="left" vertical="center" wrapText="1"/>
    </xf>
    <xf numFmtId="0" fontId="4" fillId="0" borderId="1" xfId="51" applyFont="1" applyBorder="1" applyAlignment="1">
      <alignment horizontal="left" vertical="center" wrapText="1"/>
    </xf>
    <xf numFmtId="49" fontId="8" fillId="2" borderId="1" xfId="51" quotePrefix="1" applyNumberFormat="1" applyFont="1" applyFill="1" applyBorder="1" applyAlignment="1">
      <alignment horizontal="center" vertical="center"/>
    </xf>
    <xf numFmtId="0" fontId="3" fillId="0" borderId="14" xfId="51" applyFont="1" applyBorder="1" applyAlignment="1">
      <alignment horizontal="left" vertical="top" wrapText="1"/>
    </xf>
    <xf numFmtId="0" fontId="2" fillId="0" borderId="0" xfId="51" applyFont="1"/>
    <xf numFmtId="175" fontId="2" fillId="0" borderId="0" xfId="51" applyNumberFormat="1" applyFont="1"/>
    <xf numFmtId="0" fontId="2" fillId="0" borderId="0" xfId="51" applyFont="1" applyAlignment="1">
      <alignment horizontal="left" wrapText="1"/>
    </xf>
    <xf numFmtId="0" fontId="2" fillId="0" borderId="15" xfId="51" applyFont="1" applyBorder="1" applyAlignment="1">
      <alignment horizontal="left" vertical="top" wrapText="1"/>
    </xf>
    <xf numFmtId="1" fontId="2" fillId="0" borderId="15" xfId="51" applyNumberFormat="1" applyFont="1" applyBorder="1" applyAlignment="1">
      <alignment horizontal="left" vertical="top"/>
    </xf>
    <xf numFmtId="0" fontId="2" fillId="0" borderId="0" xfId="51" applyFont="1" applyAlignment="1">
      <alignment horizontal="left" vertical="top" wrapText="1"/>
    </xf>
    <xf numFmtId="0" fontId="2" fillId="0" borderId="15" xfId="51" quotePrefix="1" applyFont="1" applyBorder="1" applyAlignment="1">
      <alignment horizontal="left" vertical="top"/>
    </xf>
    <xf numFmtId="0" fontId="2" fillId="0" borderId="0" xfId="51" applyFont="1" applyAlignment="1">
      <alignment horizontal="left" vertical="center" wrapText="1"/>
    </xf>
    <xf numFmtId="0" fontId="2" fillId="0" borderId="0" xfId="51" applyFont="1" applyAlignment="1">
      <alignment vertical="center"/>
    </xf>
    <xf numFmtId="175" fontId="2" fillId="0" borderId="0" xfId="51" applyNumberFormat="1" applyFont="1" applyAlignment="1">
      <alignment vertical="center"/>
    </xf>
    <xf numFmtId="0" fontId="2" fillId="0" borderId="1" xfId="51" applyFont="1" applyBorder="1" applyAlignment="1">
      <alignment horizontal="left" vertical="top" wrapText="1"/>
    </xf>
    <xf numFmtId="49" fontId="3" fillId="0" borderId="1" xfId="51" applyNumberFormat="1" applyFont="1" applyBorder="1" applyAlignment="1">
      <alignment horizontal="center" vertical="top"/>
    </xf>
    <xf numFmtId="0" fontId="3" fillId="0" borderId="1" xfId="51" applyFont="1" applyBorder="1" applyAlignment="1">
      <alignment horizontal="left" vertical="top" wrapText="1"/>
    </xf>
    <xf numFmtId="0" fontId="3" fillId="0" borderId="1" xfId="51" applyFont="1" applyBorder="1" applyAlignment="1">
      <alignment horizontal="center"/>
    </xf>
    <xf numFmtId="165" fontId="3" fillId="0" borderId="1" xfId="51" applyNumberFormat="1" applyFont="1" applyBorder="1"/>
    <xf numFmtId="0" fontId="4" fillId="0" borderId="14" xfId="51" applyFont="1" applyBorder="1" applyAlignment="1">
      <alignment horizontal="center" wrapText="1"/>
    </xf>
    <xf numFmtId="2" fontId="4" fillId="0" borderId="14" xfId="51" applyNumberFormat="1" applyFont="1" applyBorder="1" applyAlignment="1">
      <alignment horizontal="center" wrapText="1"/>
    </xf>
    <xf numFmtId="0" fontId="3" fillId="0" borderId="1" xfId="51" applyFont="1" applyBorder="1" applyAlignment="1">
      <alignment wrapText="1"/>
    </xf>
    <xf numFmtId="0" fontId="3" fillId="0" borderId="13" xfId="51" applyFont="1" applyBorder="1" applyAlignment="1">
      <alignment horizontal="left" vertical="top" wrapText="1"/>
    </xf>
    <xf numFmtId="0" fontId="3" fillId="0" borderId="13" xfId="51" applyFont="1" applyBorder="1" applyAlignment="1">
      <alignment horizontal="center"/>
    </xf>
    <xf numFmtId="16" fontId="8" fillId="0" borderId="4" xfId="51" quotePrefix="1" applyNumberFormat="1" applyFont="1" applyBorder="1" applyAlignment="1">
      <alignment horizontal="center" vertical="center"/>
    </xf>
    <xf numFmtId="0" fontId="8" fillId="0" borderId="3" xfId="51" applyFont="1" applyBorder="1" applyAlignment="1">
      <alignment horizontal="left"/>
    </xf>
    <xf numFmtId="0" fontId="87" fillId="0" borderId="3" xfId="51" applyFont="1" applyBorder="1" applyAlignment="1">
      <alignment horizontal="center" vertical="center"/>
    </xf>
    <xf numFmtId="175" fontId="87" fillId="0" borderId="3" xfId="51" applyNumberFormat="1" applyFont="1" applyBorder="1" applyAlignment="1">
      <alignment horizontal="center" vertical="center"/>
    </xf>
    <xf numFmtId="39" fontId="87" fillId="0" borderId="2" xfId="51" applyNumberFormat="1" applyFont="1" applyBorder="1" applyAlignment="1">
      <alignment horizontal="right" vertical="center"/>
    </xf>
    <xf numFmtId="0" fontId="5" fillId="0" borderId="10" xfId="51" applyFont="1" applyBorder="1" applyAlignment="1">
      <alignment vertical="top" wrapText="1" readingOrder="1"/>
    </xf>
    <xf numFmtId="0" fontId="4" fillId="0" borderId="10" xfId="51" applyFont="1" applyBorder="1" applyAlignment="1">
      <alignment horizontal="center"/>
    </xf>
    <xf numFmtId="2" fontId="4" fillId="0" borderId="10" xfId="51" applyNumberFormat="1" applyFont="1" applyBorder="1" applyAlignment="1">
      <alignment horizontal="center" wrapText="1"/>
    </xf>
    <xf numFmtId="49" fontId="5" fillId="18" borderId="8" xfId="51" applyNumberFormat="1" applyFont="1" applyFill="1" applyBorder="1" applyAlignment="1">
      <alignment horizontal="center" vertical="top" wrapText="1"/>
    </xf>
    <xf numFmtId="0" fontId="8" fillId="18" borderId="7" xfId="51" applyFont="1" applyFill="1" applyBorder="1" applyAlignment="1">
      <alignment horizontal="left" vertical="top" wrapText="1"/>
    </xf>
    <xf numFmtId="0" fontId="8" fillId="18" borderId="7" xfId="51" applyFont="1" applyFill="1" applyBorder="1" applyAlignment="1">
      <alignment horizontal="center"/>
    </xf>
    <xf numFmtId="4" fontId="8" fillId="18" borderId="7" xfId="51" applyNumberFormat="1" applyFont="1" applyFill="1" applyBorder="1"/>
    <xf numFmtId="4" fontId="8" fillId="18" borderId="6" xfId="51" applyNumberFormat="1" applyFont="1" applyFill="1" applyBorder="1"/>
    <xf numFmtId="49" fontId="5" fillId="12" borderId="3" xfId="51" applyNumberFormat="1" applyFont="1" applyFill="1" applyBorder="1" applyAlignment="1">
      <alignment horizontal="center" vertical="top" wrapText="1"/>
    </xf>
    <xf numFmtId="0" fontId="8" fillId="12" borderId="3" xfId="51" applyFont="1" applyFill="1" applyBorder="1" applyAlignment="1">
      <alignment horizontal="left" vertical="top" wrapText="1"/>
    </xf>
    <xf numFmtId="0" fontId="8" fillId="12" borderId="3" xfId="51" applyFont="1" applyFill="1" applyBorder="1" applyAlignment="1">
      <alignment horizontal="center"/>
    </xf>
    <xf numFmtId="4" fontId="8" fillId="12" borderId="3" xfId="51" applyNumberFormat="1" applyFont="1" applyFill="1" applyBorder="1"/>
    <xf numFmtId="0" fontId="8" fillId="0" borderId="1" xfId="51" applyFont="1" applyBorder="1" applyAlignment="1">
      <alignment horizontal="center" vertical="top"/>
    </xf>
    <xf numFmtId="0" fontId="8" fillId="0" borderId="1" xfId="51" applyFont="1" applyBorder="1" applyAlignment="1">
      <alignment horizontal="center"/>
    </xf>
    <xf numFmtId="49" fontId="3" fillId="12" borderId="1" xfId="51" applyNumberFormat="1" applyFont="1" applyFill="1" applyBorder="1" applyAlignment="1">
      <alignment horizontal="center" vertical="top"/>
    </xf>
    <xf numFmtId="0" fontId="3" fillId="12" borderId="1" xfId="51" applyFont="1" applyFill="1" applyBorder="1" applyAlignment="1">
      <alignment horizontal="left" vertical="top" wrapText="1"/>
    </xf>
    <xf numFmtId="0" fontId="3" fillId="12" borderId="1" xfId="51" applyFont="1" applyFill="1" applyBorder="1" applyAlignment="1">
      <alignment horizontal="center" vertical="center"/>
    </xf>
    <xf numFmtId="164" fontId="3" fillId="12" borderId="1" xfId="51" applyNumberFormat="1" applyFont="1" applyFill="1" applyBorder="1" applyAlignment="1">
      <alignment vertical="center"/>
    </xf>
    <xf numFmtId="0" fontId="3" fillId="12" borderId="1" xfId="51" quotePrefix="1" applyFont="1" applyFill="1" applyBorder="1" applyAlignment="1">
      <alignment horizontal="left" vertical="top" wrapText="1"/>
    </xf>
    <xf numFmtId="0" fontId="3" fillId="12" borderId="1" xfId="51" applyFont="1" applyFill="1" applyBorder="1" applyAlignment="1">
      <alignment horizontal="center" vertical="center" wrapText="1"/>
    </xf>
    <xf numFmtId="164" fontId="3" fillId="12" borderId="1" xfId="51" applyNumberFormat="1" applyFont="1" applyFill="1" applyBorder="1" applyAlignment="1">
      <alignment vertical="center" wrapText="1"/>
    </xf>
    <xf numFmtId="49" fontId="3" fillId="12" borderId="13" xfId="51" applyNumberFormat="1" applyFont="1" applyFill="1" applyBorder="1" applyAlignment="1">
      <alignment vertical="top"/>
    </xf>
    <xf numFmtId="0" fontId="3" fillId="12" borderId="13" xfId="51" applyFont="1" applyFill="1" applyBorder="1" applyAlignment="1">
      <alignment horizontal="center" vertical="center"/>
    </xf>
    <xf numFmtId="164" fontId="3" fillId="12" borderId="13" xfId="51" applyNumberFormat="1" applyFont="1" applyFill="1" applyBorder="1" applyAlignment="1">
      <alignment horizontal="center" vertical="center"/>
    </xf>
    <xf numFmtId="164" fontId="3" fillId="12" borderId="1" xfId="51" applyNumberFormat="1" applyFont="1" applyFill="1" applyBorder="1" applyAlignment="1">
      <alignment horizontal="center" vertical="center"/>
    </xf>
    <xf numFmtId="0" fontId="3" fillId="12" borderId="13" xfId="51" applyFont="1" applyFill="1" applyBorder="1" applyAlignment="1">
      <alignment horizontal="left" vertical="top" wrapText="1"/>
    </xf>
    <xf numFmtId="0" fontId="8" fillId="18" borderId="7" xfId="51" applyFont="1" applyFill="1" applyBorder="1" applyAlignment="1">
      <alignment horizontal="center" vertical="center"/>
    </xf>
    <xf numFmtId="4" fontId="8" fillId="18" borderId="6" xfId="51" applyNumberFormat="1" applyFont="1" applyFill="1" applyBorder="1" applyAlignment="1">
      <alignment horizontal="center" vertical="center"/>
    </xf>
    <xf numFmtId="0" fontId="8" fillId="0" borderId="1" xfId="51" applyFont="1" applyBorder="1" applyAlignment="1">
      <alignment horizontal="center" vertical="center"/>
    </xf>
    <xf numFmtId="0" fontId="8" fillId="12" borderId="1" xfId="51" applyFont="1" applyFill="1" applyBorder="1" applyAlignment="1">
      <alignment horizontal="center" vertical="top"/>
    </xf>
    <xf numFmtId="0" fontId="8" fillId="12" borderId="1" xfId="51" applyFont="1" applyFill="1" applyBorder="1" applyAlignment="1">
      <alignment horizontal="center"/>
    </xf>
    <xf numFmtId="49" fontId="3" fillId="0" borderId="1" xfId="51" applyNumberFormat="1" applyFont="1" applyBorder="1" applyAlignment="1">
      <alignment horizontal="center" vertical="center"/>
    </xf>
    <xf numFmtId="2" fontId="3" fillId="0" borderId="1" xfId="51" applyNumberFormat="1" applyFont="1" applyBorder="1" applyAlignment="1">
      <alignment horizontal="center"/>
    </xf>
    <xf numFmtId="1" fontId="8" fillId="0" borderId="44" xfId="51" applyNumberFormat="1" applyFont="1" applyBorder="1" applyAlignment="1">
      <alignment horizontal="left" vertical="center"/>
    </xf>
    <xf numFmtId="0" fontId="8" fillId="0" borderId="44" xfId="51" applyFont="1" applyBorder="1" applyAlignment="1">
      <alignment horizontal="left"/>
    </xf>
    <xf numFmtId="0" fontId="87" fillId="0" borderId="44" xfId="51" applyFont="1" applyBorder="1" applyAlignment="1">
      <alignment horizontal="center" vertical="center"/>
    </xf>
    <xf numFmtId="175" fontId="87" fillId="0" borderId="44" xfId="51" applyNumberFormat="1" applyFont="1" applyBorder="1" applyAlignment="1">
      <alignment horizontal="center" vertical="center"/>
    </xf>
    <xf numFmtId="4" fontId="87" fillId="0" borderId="44" xfId="51" applyNumberFormat="1" applyFont="1" applyBorder="1"/>
    <xf numFmtId="4" fontId="8" fillId="0" borderId="44" xfId="51" applyNumberFormat="1" applyFont="1" applyBorder="1" applyAlignment="1">
      <alignment horizontal="right"/>
    </xf>
    <xf numFmtId="1" fontId="8" fillId="0" borderId="0" xfId="51" applyNumberFormat="1" applyFont="1" applyAlignment="1">
      <alignment horizontal="left" vertical="center"/>
    </xf>
    <xf numFmtId="0" fontId="8" fillId="0" borderId="0" xfId="51" applyFont="1" applyAlignment="1">
      <alignment horizontal="left"/>
    </xf>
    <xf numFmtId="0" fontId="87" fillId="0" borderId="0" xfId="51" applyFont="1" applyAlignment="1">
      <alignment horizontal="center" vertical="center"/>
    </xf>
    <xf numFmtId="175" fontId="87" fillId="0" borderId="0" xfId="51" applyNumberFormat="1" applyFont="1" applyAlignment="1">
      <alignment horizontal="center" vertical="center"/>
    </xf>
    <xf numFmtId="4" fontId="87" fillId="0" borderId="0" xfId="51" applyNumberFormat="1" applyFont="1"/>
    <xf numFmtId="4" fontId="8" fillId="0" borderId="0" xfId="51" applyNumberFormat="1" applyFont="1" applyAlignment="1">
      <alignment horizontal="right"/>
    </xf>
    <xf numFmtId="0" fontId="3" fillId="0" borderId="1" xfId="51" applyFont="1" applyBorder="1" applyAlignment="1">
      <alignment horizontal="center" vertical="center"/>
    </xf>
    <xf numFmtId="2" fontId="3" fillId="0" borderId="1" xfId="51" applyNumberFormat="1" applyFont="1" applyBorder="1" applyAlignment="1">
      <alignment horizontal="center" vertical="center"/>
    </xf>
    <xf numFmtId="179" fontId="3" fillId="0" borderId="1" xfId="51" applyNumberFormat="1" applyFont="1" applyBorder="1"/>
    <xf numFmtId="0" fontId="68" fillId="0" borderId="1" xfId="51" applyFont="1" applyBorder="1" applyAlignment="1">
      <alignment horizontal="justify" vertical="top" readingOrder="1"/>
    </xf>
    <xf numFmtId="0" fontId="3" fillId="12" borderId="1" xfId="51" applyFont="1" applyFill="1" applyBorder="1" applyAlignment="1">
      <alignment horizontal="left" vertical="center" wrapText="1"/>
    </xf>
    <xf numFmtId="0" fontId="4" fillId="12" borderId="13" xfId="51" applyFont="1" applyFill="1" applyBorder="1" applyAlignment="1">
      <alignment horizontal="left" vertical="center" wrapText="1"/>
    </xf>
    <xf numFmtId="0" fontId="8" fillId="2" borderId="4" xfId="17" quotePrefix="1" applyFont="1" applyFill="1" applyBorder="1" applyAlignment="1">
      <alignment vertical="center" wrapText="1"/>
    </xf>
    <xf numFmtId="49" fontId="8" fillId="18" borderId="1" xfId="5" applyNumberFormat="1" applyFont="1" applyFill="1" applyBorder="1" applyAlignment="1">
      <alignment horizontal="center" vertical="center"/>
    </xf>
    <xf numFmtId="4" fontId="5" fillId="18" borderId="1" xfId="5" applyNumberFormat="1" applyFont="1" applyFill="1" applyBorder="1" applyAlignment="1">
      <alignment horizontal="center" vertical="center"/>
    </xf>
    <xf numFmtId="49" fontId="3" fillId="18" borderId="4" xfId="5" quotePrefix="1" applyNumberFormat="1" applyFill="1" applyBorder="1" applyAlignment="1">
      <alignment horizontal="center" vertical="center"/>
    </xf>
    <xf numFmtId="165" fontId="5" fillId="18" borderId="2" xfId="2" applyFont="1" applyFill="1" applyBorder="1" applyAlignment="1" applyProtection="1">
      <alignment horizontal="right" vertical="center"/>
    </xf>
    <xf numFmtId="0" fontId="4" fillId="2" borderId="4" xfId="5" applyFont="1" applyFill="1" applyBorder="1" applyAlignment="1">
      <alignment vertical="center" wrapText="1"/>
    </xf>
    <xf numFmtId="0" fontId="8" fillId="0" borderId="0" xfId="4" applyFont="1"/>
    <xf numFmtId="0" fontId="5" fillId="2" borderId="3" xfId="4" applyFont="1" applyFill="1" applyBorder="1" applyAlignment="1">
      <alignment vertical="center" wrapText="1"/>
    </xf>
    <xf numFmtId="166" fontId="5" fillId="2" borderId="3" xfId="4" applyNumberFormat="1" applyFont="1" applyFill="1" applyBorder="1" applyAlignment="1">
      <alignment vertical="center" wrapText="1"/>
    </xf>
    <xf numFmtId="165" fontId="98" fillId="0" borderId="0" xfId="2" applyFont="1"/>
    <xf numFmtId="0" fontId="5" fillId="2" borderId="4" xfId="0" applyFont="1" applyFill="1" applyBorder="1" applyAlignment="1">
      <alignment vertical="center" wrapText="1"/>
    </xf>
    <xf numFmtId="0" fontId="5" fillId="2" borderId="3" xfId="0" applyFont="1" applyFill="1" applyBorder="1" applyAlignment="1">
      <alignment vertical="center" wrapText="1"/>
    </xf>
    <xf numFmtId="166" fontId="5" fillId="2" borderId="3" xfId="0" applyNumberFormat="1" applyFont="1" applyFill="1" applyBorder="1" applyAlignment="1">
      <alignment vertical="center" wrapText="1"/>
    </xf>
    <xf numFmtId="4" fontId="5" fillId="18" borderId="2" xfId="5" applyNumberFormat="1" applyFont="1" applyFill="1" applyBorder="1" applyAlignment="1" applyProtection="1">
      <alignment horizontal="center" vertical="center"/>
      <protection locked="0"/>
    </xf>
    <xf numFmtId="49" fontId="8" fillId="18" borderId="1" xfId="5" applyNumberFormat="1" applyFont="1" applyFill="1" applyBorder="1" applyAlignment="1">
      <alignment horizontal="left" vertical="center"/>
    </xf>
    <xf numFmtId="0" fontId="4" fillId="18" borderId="3" xfId="5" applyFont="1" applyFill="1" applyBorder="1" applyAlignment="1">
      <alignment horizontal="center" vertical="center" wrapText="1"/>
    </xf>
    <xf numFmtId="166" fontId="4" fillId="18" borderId="3" xfId="5" applyNumberFormat="1" applyFont="1" applyFill="1" applyBorder="1" applyAlignment="1">
      <alignment horizontal="center" vertical="center" wrapText="1"/>
    </xf>
    <xf numFmtId="4" fontId="4" fillId="18" borderId="1" xfId="5" applyNumberFormat="1" applyFont="1" applyFill="1" applyBorder="1" applyAlignment="1">
      <alignment horizontal="left" vertical="center"/>
    </xf>
    <xf numFmtId="49" fontId="3" fillId="2" borderId="4" xfId="5" quotePrefix="1" applyNumberFormat="1" applyFill="1" applyBorder="1" applyAlignment="1">
      <alignment horizontal="center" vertical="center"/>
    </xf>
    <xf numFmtId="165" fontId="4" fillId="2" borderId="2" xfId="2" applyFont="1" applyFill="1" applyBorder="1" applyAlignment="1" applyProtection="1">
      <alignment horizontal="right" vertical="center"/>
    </xf>
    <xf numFmtId="49" fontId="3" fillId="0" borderId="0" xfId="5" quotePrefix="1" applyNumberFormat="1" applyAlignment="1">
      <alignment horizontal="center" vertical="center"/>
    </xf>
    <xf numFmtId="0" fontId="5" fillId="0" borderId="0" xfId="5" applyFont="1" applyAlignment="1">
      <alignment vertical="center" wrapText="1"/>
    </xf>
    <xf numFmtId="166" fontId="5" fillId="0" borderId="0" xfId="5" applyNumberFormat="1" applyFont="1" applyAlignment="1">
      <alignment vertical="center" wrapText="1"/>
    </xf>
    <xf numFmtId="4" fontId="5" fillId="0" borderId="0" xfId="5" applyNumberFormat="1" applyFont="1" applyAlignment="1" applyProtection="1">
      <alignment horizontal="right" vertical="center"/>
      <protection locked="0"/>
    </xf>
    <xf numFmtId="165" fontId="5" fillId="0" borderId="0" xfId="2" applyFont="1" applyFill="1" applyBorder="1" applyAlignment="1" applyProtection="1">
      <alignment horizontal="right" vertical="center"/>
    </xf>
    <xf numFmtId="0" fontId="5" fillId="3" borderId="4" xfId="5" applyFont="1" applyFill="1" applyBorder="1" applyAlignment="1">
      <alignment horizontal="left" vertical="center" wrapText="1"/>
    </xf>
    <xf numFmtId="9" fontId="5" fillId="2" borderId="2" xfId="50" applyFont="1" applyFill="1" applyBorder="1" applyAlignment="1" applyProtection="1">
      <alignment horizontal="center" vertical="center"/>
      <protection locked="0"/>
    </xf>
    <xf numFmtId="165" fontId="4" fillId="2" borderId="2" xfId="2" applyFont="1" applyFill="1" applyBorder="1" applyAlignment="1">
      <alignment horizontal="right" vertical="center"/>
    </xf>
    <xf numFmtId="0" fontId="2" fillId="0" borderId="0" xfId="1" applyFont="1" applyFill="1" applyAlignment="1">
      <alignment vertical="center"/>
    </xf>
    <xf numFmtId="16" fontId="6" fillId="0" borderId="1" xfId="1" applyNumberFormat="1" applyFont="1" applyFill="1" applyBorder="1" applyAlignment="1">
      <alignment horizontal="center" vertical="center"/>
    </xf>
    <xf numFmtId="0" fontId="5" fillId="0" borderId="1" xfId="1" applyFont="1" applyFill="1" applyBorder="1" applyAlignment="1">
      <alignment horizontal="justify" vertical="center" wrapText="1"/>
    </xf>
    <xf numFmtId="0" fontId="4" fillId="0" borderId="1" xfId="1" applyFont="1" applyFill="1" applyBorder="1" applyAlignment="1">
      <alignment horizontal="center" vertical="center"/>
    </xf>
    <xf numFmtId="49" fontId="8" fillId="28" borderId="1" xfId="1" applyNumberFormat="1" applyFont="1" applyFill="1" applyBorder="1" applyAlignment="1">
      <alignment horizontal="center" vertical="center"/>
    </xf>
    <xf numFmtId="0" fontId="100" fillId="28" borderId="1" xfId="8" applyFont="1" applyFill="1" applyBorder="1" applyAlignment="1">
      <alignment horizontal="left" vertical="center" wrapText="1"/>
    </xf>
    <xf numFmtId="0" fontId="4" fillId="28" borderId="1" xfId="1" applyFont="1" applyFill="1" applyBorder="1" applyAlignment="1">
      <alignment vertical="center"/>
    </xf>
    <xf numFmtId="166" fontId="4" fillId="28" borderId="1" xfId="3" applyNumberFormat="1" applyFont="1" applyFill="1" applyBorder="1" applyAlignment="1">
      <alignment horizontal="right" vertical="center"/>
    </xf>
    <xf numFmtId="165" fontId="4" fillId="28" borderId="1" xfId="2" applyFont="1" applyFill="1" applyBorder="1" applyAlignment="1" applyProtection="1">
      <alignment horizontal="right" vertical="center"/>
      <protection locked="0"/>
    </xf>
    <xf numFmtId="165" fontId="4" fillId="28" borderId="1" xfId="2" applyFont="1" applyFill="1" applyBorder="1" applyAlignment="1">
      <alignment vertical="center"/>
    </xf>
    <xf numFmtId="165" fontId="8" fillId="2" borderId="1" xfId="2" applyNumberFormat="1" applyFont="1" applyFill="1" applyBorder="1" applyAlignment="1" applyProtection="1">
      <alignment vertical="center"/>
    </xf>
    <xf numFmtId="165" fontId="8" fillId="3" borderId="1" xfId="2" applyNumberFormat="1" applyFont="1" applyFill="1" applyBorder="1" applyAlignment="1" applyProtection="1">
      <alignment vertical="center"/>
    </xf>
    <xf numFmtId="165" fontId="4" fillId="0" borderId="1" xfId="2" applyNumberFormat="1" applyFont="1" applyFill="1" applyBorder="1" applyAlignment="1">
      <alignment vertical="center"/>
    </xf>
    <xf numFmtId="183" fontId="2" fillId="0" borderId="0" xfId="1" applyNumberFormat="1" applyFont="1"/>
    <xf numFmtId="181" fontId="4" fillId="2" borderId="2" xfId="2" applyNumberFormat="1" applyFont="1" applyFill="1" applyBorder="1" applyAlignment="1">
      <alignment horizontal="right" vertical="center"/>
    </xf>
    <xf numFmtId="165" fontId="5" fillId="18" borderId="2" xfId="2" applyNumberFormat="1" applyFont="1" applyFill="1" applyBorder="1" applyAlignment="1" applyProtection="1">
      <alignment horizontal="right" vertical="center"/>
    </xf>
    <xf numFmtId="165" fontId="5" fillId="2" borderId="2" xfId="2" applyNumberFormat="1" applyFont="1" applyFill="1" applyBorder="1" applyAlignment="1">
      <alignment horizontal="center" vertical="center"/>
    </xf>
    <xf numFmtId="165" fontId="5" fillId="18" borderId="2" xfId="5" applyNumberFormat="1" applyFont="1" applyFill="1" applyBorder="1" applyAlignment="1">
      <alignment horizontal="center" vertical="center"/>
    </xf>
    <xf numFmtId="165" fontId="5" fillId="3" borderId="1" xfId="2" applyNumberFormat="1" applyFont="1" applyFill="1" applyBorder="1" applyAlignment="1" applyProtection="1">
      <alignment horizontal="center" vertical="center"/>
    </xf>
    <xf numFmtId="182" fontId="5" fillId="3" borderId="1" xfId="2" applyNumberFormat="1" applyFont="1" applyFill="1" applyBorder="1" applyAlignment="1" applyProtection="1">
      <alignment horizontal="center" vertical="center"/>
    </xf>
    <xf numFmtId="4" fontId="5" fillId="18" borderId="4" xfId="4" applyNumberFormat="1" applyFont="1" applyFill="1" applyBorder="1" applyAlignment="1">
      <alignment horizontal="center" vertical="center"/>
    </xf>
    <xf numFmtId="165" fontId="5" fillId="3" borderId="1" xfId="16" applyNumberFormat="1" applyFont="1" applyFill="1" applyBorder="1" applyAlignment="1" applyProtection="1">
      <alignment horizontal="center" vertical="center"/>
    </xf>
    <xf numFmtId="165" fontId="5" fillId="18" borderId="2" xfId="5" applyNumberFormat="1" applyFont="1" applyFill="1" applyBorder="1" applyAlignment="1">
      <alignment horizontal="right" vertical="center"/>
    </xf>
    <xf numFmtId="165" fontId="4" fillId="9" borderId="1" xfId="3" applyNumberFormat="1" applyFont="1" applyFill="1" applyBorder="1" applyAlignment="1" applyProtection="1">
      <alignment vertical="center"/>
      <protection locked="0"/>
    </xf>
    <xf numFmtId="165" fontId="4" fillId="9" borderId="1" xfId="3" applyNumberFormat="1" applyFont="1" applyFill="1" applyBorder="1" applyAlignment="1">
      <alignment vertical="center"/>
    </xf>
    <xf numFmtId="165" fontId="4" fillId="9" borderId="1" xfId="2" applyNumberFormat="1" applyFont="1" applyFill="1" applyBorder="1" applyAlignment="1" applyProtection="1">
      <alignment vertical="center"/>
      <protection locked="0"/>
    </xf>
    <xf numFmtId="165" fontId="4" fillId="9" borderId="1" xfId="2" applyNumberFormat="1" applyFont="1" applyFill="1" applyBorder="1" applyAlignment="1">
      <alignment vertical="center"/>
    </xf>
    <xf numFmtId="165" fontId="4" fillId="11" borderId="1" xfId="3" applyNumberFormat="1" applyFont="1" applyFill="1" applyBorder="1" applyAlignment="1" applyProtection="1">
      <alignment horizontal="right" vertical="center"/>
      <protection locked="0"/>
    </xf>
    <xf numFmtId="165" fontId="4" fillId="11" borderId="1" xfId="3" applyNumberFormat="1" applyFont="1" applyFill="1" applyBorder="1" applyAlignment="1">
      <alignment vertical="center"/>
    </xf>
    <xf numFmtId="165" fontId="5" fillId="11" borderId="1" xfId="3" applyNumberFormat="1" applyFont="1" applyFill="1" applyBorder="1" applyAlignment="1" applyProtection="1">
      <alignment horizontal="right" vertical="center"/>
      <protection locked="0"/>
    </xf>
    <xf numFmtId="165" fontId="5" fillId="11" borderId="1" xfId="2" applyNumberFormat="1" applyFont="1" applyFill="1" applyBorder="1" applyAlignment="1">
      <alignment vertical="center"/>
    </xf>
    <xf numFmtId="165" fontId="4" fillId="11" borderId="1" xfId="2" applyNumberFormat="1" applyFont="1" applyFill="1" applyBorder="1" applyAlignment="1" applyProtection="1">
      <alignment horizontal="right" vertical="center"/>
      <protection locked="0"/>
    </xf>
    <xf numFmtId="165" fontId="4" fillId="11" borderId="1" xfId="2" applyNumberFormat="1" applyFont="1" applyFill="1" applyBorder="1" applyAlignment="1">
      <alignment vertical="center"/>
    </xf>
    <xf numFmtId="165" fontId="4" fillId="2" borderId="1" xfId="3" applyNumberFormat="1" applyFont="1" applyFill="1" applyBorder="1" applyAlignment="1" applyProtection="1">
      <alignment horizontal="right" vertical="center"/>
      <protection locked="0"/>
    </xf>
    <xf numFmtId="165" fontId="4" fillId="2" borderId="1" xfId="3" applyNumberFormat="1" applyFont="1" applyFill="1" applyBorder="1" applyAlignment="1">
      <alignment vertical="center"/>
    </xf>
    <xf numFmtId="165" fontId="5" fillId="2" borderId="1" xfId="3" applyNumberFormat="1" applyFont="1" applyFill="1" applyBorder="1" applyAlignment="1" applyProtection="1">
      <alignment horizontal="right" vertical="center"/>
      <protection locked="0"/>
    </xf>
    <xf numFmtId="165" fontId="5" fillId="2" borderId="1" xfId="2" applyNumberFormat="1" applyFont="1" applyFill="1" applyBorder="1" applyAlignment="1">
      <alignment vertical="center"/>
    </xf>
    <xf numFmtId="165" fontId="4" fillId="2" borderId="1" xfId="2" applyNumberFormat="1" applyFont="1" applyFill="1" applyBorder="1" applyAlignment="1" applyProtection="1">
      <alignment horizontal="right" vertical="center"/>
      <protection locked="0"/>
    </xf>
    <xf numFmtId="165" fontId="4" fillId="2" borderId="1" xfId="2" applyNumberFormat="1" applyFont="1" applyFill="1" applyBorder="1" applyAlignment="1">
      <alignment vertical="center"/>
    </xf>
    <xf numFmtId="165" fontId="4" fillId="10" borderId="1" xfId="3" applyNumberFormat="1" applyFont="1" applyFill="1" applyBorder="1" applyAlignment="1" applyProtection="1">
      <alignment horizontal="right" vertical="center"/>
      <protection locked="0"/>
    </xf>
    <xf numFmtId="165" fontId="4" fillId="10" borderId="1" xfId="3" applyNumberFormat="1" applyFont="1" applyFill="1" applyBorder="1" applyAlignment="1">
      <alignment vertical="center"/>
    </xf>
    <xf numFmtId="165" fontId="5" fillId="10" borderId="1" xfId="3" applyNumberFormat="1" applyFont="1" applyFill="1" applyBorder="1" applyAlignment="1" applyProtection="1">
      <alignment horizontal="right" vertical="center"/>
      <protection locked="0"/>
    </xf>
    <xf numFmtId="165" fontId="5" fillId="10" borderId="1" xfId="2" applyNumberFormat="1" applyFont="1" applyFill="1" applyBorder="1" applyAlignment="1">
      <alignment vertical="center"/>
    </xf>
    <xf numFmtId="165" fontId="4" fillId="10" borderId="1" xfId="2" applyNumberFormat="1" applyFont="1" applyFill="1" applyBorder="1" applyAlignment="1" applyProtection="1">
      <alignment horizontal="right" vertical="center"/>
      <protection locked="0"/>
    </xf>
    <xf numFmtId="165" fontId="4" fillId="10" borderId="1" xfId="2" applyNumberFormat="1" applyFont="1" applyFill="1" applyBorder="1" applyAlignment="1">
      <alignment vertical="center"/>
    </xf>
    <xf numFmtId="165" fontId="4" fillId="9" borderId="1" xfId="3" applyNumberFormat="1" applyFont="1" applyFill="1" applyBorder="1" applyAlignment="1" applyProtection="1">
      <alignment horizontal="right" vertical="center"/>
      <protection locked="0"/>
    </xf>
    <xf numFmtId="165" fontId="5" fillId="9" borderId="1" xfId="3" applyNumberFormat="1" applyFont="1" applyFill="1" applyBorder="1" applyAlignment="1" applyProtection="1">
      <alignment horizontal="right" vertical="center"/>
      <protection locked="0"/>
    </xf>
    <xf numFmtId="165" fontId="5" fillId="9" borderId="1" xfId="2" applyNumberFormat="1" applyFont="1" applyFill="1" applyBorder="1" applyAlignment="1">
      <alignment vertical="center"/>
    </xf>
    <xf numFmtId="165" fontId="4" fillId="9" borderId="1" xfId="2" applyNumberFormat="1" applyFont="1" applyFill="1" applyBorder="1" applyAlignment="1" applyProtection="1">
      <alignment horizontal="right" vertical="center"/>
      <protection locked="0"/>
    </xf>
    <xf numFmtId="165" fontId="5" fillId="8" borderId="1" xfId="3" applyNumberFormat="1" applyFont="1" applyFill="1" applyBorder="1" applyAlignment="1" applyProtection="1">
      <alignment vertical="center"/>
      <protection locked="0"/>
    </xf>
    <xf numFmtId="165" fontId="5" fillId="8" borderId="1" xfId="2" applyNumberFormat="1" applyFont="1" applyFill="1" applyBorder="1" applyAlignment="1">
      <alignment vertical="center"/>
    </xf>
    <xf numFmtId="165" fontId="4" fillId="8" borderId="1" xfId="2" applyNumberFormat="1" applyFont="1" applyFill="1" applyBorder="1" applyAlignment="1" applyProtection="1">
      <alignment horizontal="right" vertical="center"/>
      <protection locked="0"/>
    </xf>
    <xf numFmtId="165" fontId="4" fillId="8" borderId="1" xfId="2" applyNumberFormat="1" applyFont="1" applyFill="1" applyBorder="1" applyAlignment="1">
      <alignment vertical="center"/>
    </xf>
    <xf numFmtId="165" fontId="4" fillId="2" borderId="1" xfId="3" applyNumberFormat="1" applyFont="1" applyFill="1" applyBorder="1" applyAlignment="1" applyProtection="1">
      <alignment vertical="center"/>
      <protection locked="0"/>
    </xf>
    <xf numFmtId="165" fontId="4" fillId="0" borderId="1" xfId="16" applyNumberFormat="1" applyFont="1" applyFill="1" applyBorder="1" applyAlignment="1">
      <alignment vertical="center"/>
    </xf>
    <xf numFmtId="165" fontId="5" fillId="2" borderId="1" xfId="16" applyNumberFormat="1" applyFont="1" applyFill="1" applyBorder="1" applyAlignment="1" applyProtection="1">
      <alignment horizontal="right" vertical="center"/>
    </xf>
    <xf numFmtId="165" fontId="5" fillId="13" borderId="1" xfId="16" applyNumberFormat="1" applyFont="1" applyFill="1" applyBorder="1" applyAlignment="1" applyProtection="1">
      <alignment horizontal="right" vertical="center"/>
    </xf>
    <xf numFmtId="165" fontId="5" fillId="2" borderId="1" xfId="16" applyNumberFormat="1" applyFont="1" applyFill="1" applyBorder="1" applyAlignment="1">
      <alignment vertical="center"/>
    </xf>
    <xf numFmtId="165" fontId="4" fillId="0" borderId="1" xfId="3" applyNumberFormat="1" applyFont="1" applyFill="1" applyBorder="1" applyAlignment="1">
      <alignment vertical="center"/>
    </xf>
    <xf numFmtId="165" fontId="4" fillId="9" borderId="1" xfId="16" applyNumberFormat="1" applyFont="1" applyFill="1" applyBorder="1" applyAlignment="1">
      <alignment vertical="center"/>
    </xf>
    <xf numFmtId="165" fontId="4" fillId="11" borderId="1" xfId="16" applyNumberFormat="1" applyFont="1" applyFill="1" applyBorder="1" applyAlignment="1">
      <alignment vertical="center"/>
    </xf>
    <xf numFmtId="165" fontId="4" fillId="2" borderId="1" xfId="16" applyNumberFormat="1" applyFont="1" applyFill="1" applyBorder="1" applyAlignment="1">
      <alignment vertical="center"/>
    </xf>
    <xf numFmtId="165" fontId="4" fillId="10" borderId="1" xfId="16" applyNumberFormat="1" applyFont="1" applyFill="1" applyBorder="1" applyAlignment="1">
      <alignment vertical="center"/>
    </xf>
    <xf numFmtId="165" fontId="5" fillId="8" borderId="1" xfId="16" applyNumberFormat="1" applyFont="1" applyFill="1" applyBorder="1" applyAlignment="1">
      <alignment vertical="center"/>
    </xf>
    <xf numFmtId="165" fontId="4" fillId="8" borderId="1" xfId="16" applyNumberFormat="1" applyFont="1" applyFill="1" applyBorder="1" applyAlignment="1">
      <alignment vertical="center"/>
    </xf>
    <xf numFmtId="165" fontId="8" fillId="0" borderId="1" xfId="29" applyFont="1" applyFill="1" applyBorder="1" applyAlignment="1" applyProtection="1">
      <alignment vertical="center"/>
      <protection locked="0"/>
    </xf>
    <xf numFmtId="165" fontId="8" fillId="0" borderId="1" xfId="15" applyFont="1" applyFill="1" applyBorder="1" applyAlignment="1" applyProtection="1">
      <alignment vertical="center"/>
      <protection locked="0"/>
    </xf>
    <xf numFmtId="164" fontId="3" fillId="12" borderId="1" xfId="51" applyNumberFormat="1" applyFont="1" applyFill="1" applyBorder="1" applyProtection="1">
      <protection locked="0"/>
    </xf>
    <xf numFmtId="0" fontId="87" fillId="0" borderId="3" xfId="51" applyFont="1" applyBorder="1" applyAlignment="1" applyProtection="1">
      <alignment vertical="center"/>
      <protection locked="0"/>
    </xf>
    <xf numFmtId="4" fontId="8" fillId="18" borderId="7" xfId="51" applyNumberFormat="1" applyFont="1" applyFill="1" applyBorder="1" applyProtection="1">
      <protection locked="0"/>
    </xf>
    <xf numFmtId="4" fontId="8" fillId="12" borderId="3" xfId="51" applyNumberFormat="1" applyFont="1" applyFill="1" applyBorder="1" applyProtection="1">
      <protection locked="0"/>
    </xf>
    <xf numFmtId="0" fontId="8" fillId="0" borderId="1" xfId="51" applyFont="1" applyBorder="1" applyAlignment="1" applyProtection="1">
      <alignment horizontal="center"/>
      <protection locked="0"/>
    </xf>
    <xf numFmtId="164" fontId="3" fillId="12" borderId="1" xfId="51" applyNumberFormat="1" applyFont="1" applyFill="1" applyBorder="1" applyAlignment="1" applyProtection="1">
      <alignment vertical="center"/>
      <protection locked="0"/>
    </xf>
    <xf numFmtId="164" fontId="3" fillId="12" borderId="13" xfId="51" applyNumberFormat="1" applyFont="1" applyFill="1" applyBorder="1" applyAlignment="1" applyProtection="1">
      <alignment horizontal="center" vertical="center"/>
      <protection locked="0"/>
    </xf>
    <xf numFmtId="164" fontId="3" fillId="12" borderId="1" xfId="51" applyNumberFormat="1" applyFont="1" applyFill="1" applyBorder="1" applyAlignment="1" applyProtection="1">
      <alignment horizontal="center" vertical="center"/>
      <protection locked="0"/>
    </xf>
    <xf numFmtId="4" fontId="8" fillId="18" borderId="7" xfId="51" applyNumberFormat="1" applyFont="1" applyFill="1" applyBorder="1" applyAlignment="1" applyProtection="1">
      <alignment horizontal="center" vertical="center"/>
      <protection locked="0"/>
    </xf>
    <xf numFmtId="0" fontId="8" fillId="0" borderId="1" xfId="51" applyFont="1" applyBorder="1" applyAlignment="1" applyProtection="1">
      <alignment horizontal="center" vertical="center"/>
      <protection locked="0"/>
    </xf>
    <xf numFmtId="0" fontId="8" fillId="12" borderId="1" xfId="51" applyFont="1" applyFill="1" applyBorder="1" applyAlignment="1" applyProtection="1">
      <alignment horizontal="center"/>
      <protection locked="0"/>
    </xf>
    <xf numFmtId="165" fontId="3" fillId="0" borderId="1" xfId="51" applyNumberFormat="1" applyFont="1" applyBorder="1" applyProtection="1">
      <protection locked="0"/>
    </xf>
    <xf numFmtId="4" fontId="87" fillId="0" borderId="44" xfId="51" applyNumberFormat="1" applyFont="1" applyBorder="1" applyProtection="1">
      <protection locked="0"/>
    </xf>
    <xf numFmtId="4" fontId="87" fillId="0" borderId="0" xfId="51" applyNumberFormat="1" applyFont="1" applyProtection="1">
      <protection locked="0"/>
    </xf>
    <xf numFmtId="179" fontId="3" fillId="0" borderId="1" xfId="51" applyNumberFormat="1" applyFont="1" applyBorder="1" applyProtection="1">
      <protection locked="0"/>
    </xf>
    <xf numFmtId="0" fontId="2" fillId="0" borderId="0" xfId="1" applyFont="1" applyProtection="1">
      <protection locked="0"/>
    </xf>
    <xf numFmtId="164" fontId="3" fillId="12" borderId="1" xfId="5" applyNumberFormat="1" applyFill="1" applyBorder="1" applyAlignment="1" applyProtection="1">
      <alignment vertical="center"/>
      <protection locked="0"/>
    </xf>
    <xf numFmtId="184" fontId="4" fillId="0" borderId="1" xfId="3" applyNumberFormat="1" applyFont="1" applyBorder="1" applyAlignment="1" applyProtection="1">
      <alignment vertical="center"/>
      <protection locked="0"/>
    </xf>
    <xf numFmtId="1" fontId="8" fillId="2" borderId="1" xfId="28" applyNumberFormat="1" applyFont="1" applyFill="1" applyBorder="1" applyAlignment="1">
      <alignment horizontal="left" vertical="top"/>
    </xf>
    <xf numFmtId="0" fontId="83" fillId="2" borderId="1" xfId="28" applyFont="1" applyFill="1" applyBorder="1" applyAlignment="1">
      <alignment horizontal="left" vertical="top" wrapText="1"/>
    </xf>
    <xf numFmtId="0" fontId="3" fillId="2" borderId="1" xfId="7" applyFont="1" applyFill="1" applyBorder="1" applyAlignment="1">
      <alignment horizontal="left" vertical="center"/>
    </xf>
    <xf numFmtId="177" fontId="3" fillId="2" borderId="1" xfId="7" applyNumberFormat="1" applyFont="1" applyFill="1" applyBorder="1" applyAlignment="1">
      <alignment horizontal="right" vertical="center"/>
    </xf>
    <xf numFmtId="49" fontId="3" fillId="2" borderId="1" xfId="7" applyNumberFormat="1" applyFont="1" applyFill="1" applyBorder="1" applyAlignment="1">
      <alignment horizontal="left" vertical="center" wrapText="1"/>
    </xf>
    <xf numFmtId="165" fontId="2" fillId="2" borderId="1" xfId="29" applyFont="1" applyFill="1" applyBorder="1" applyAlignment="1" applyProtection="1">
      <alignment vertical="center"/>
      <protection locked="0"/>
    </xf>
    <xf numFmtId="165" fontId="2" fillId="2" borderId="1" xfId="29" applyFont="1" applyFill="1" applyBorder="1" applyAlignment="1">
      <alignment vertical="center"/>
    </xf>
    <xf numFmtId="0" fontId="83" fillId="2" borderId="1" xfId="28" applyFont="1" applyFill="1" applyBorder="1" applyAlignment="1">
      <alignment horizontal="left"/>
    </xf>
    <xf numFmtId="1" fontId="8" fillId="29" borderId="1" xfId="28" applyNumberFormat="1" applyFont="1" applyFill="1" applyBorder="1" applyAlignment="1">
      <alignment horizontal="left" vertical="top"/>
    </xf>
    <xf numFmtId="0" fontId="83" fillId="29" borderId="1" xfId="28" applyFont="1" applyFill="1" applyBorder="1" applyAlignment="1">
      <alignment horizontal="left" vertical="top" wrapText="1"/>
    </xf>
    <xf numFmtId="0" fontId="3" fillId="29" borderId="1" xfId="7" applyFont="1" applyFill="1" applyBorder="1" applyAlignment="1">
      <alignment horizontal="left" vertical="center"/>
    </xf>
    <xf numFmtId="177" fontId="3" fillId="29" borderId="1" xfId="7" applyNumberFormat="1" applyFont="1" applyFill="1" applyBorder="1" applyAlignment="1">
      <alignment horizontal="right" vertical="center"/>
    </xf>
    <xf numFmtId="1" fontId="3" fillId="29" borderId="1" xfId="28" applyNumberFormat="1" applyFont="1" applyFill="1" applyBorder="1" applyAlignment="1">
      <alignment horizontal="left"/>
    </xf>
    <xf numFmtId="0" fontId="3" fillId="29" borderId="1" xfId="1" applyFont="1" applyFill="1" applyBorder="1" applyAlignment="1">
      <alignment vertical="top" wrapText="1"/>
    </xf>
    <xf numFmtId="0" fontId="3" fillId="29" borderId="1" xfId="1" applyFont="1" applyFill="1" applyBorder="1" applyAlignment="1">
      <alignment vertical="center"/>
    </xf>
    <xf numFmtId="166" fontId="3" fillId="29" borderId="1" xfId="15" applyNumberFormat="1" applyFont="1" applyFill="1" applyBorder="1" applyAlignment="1">
      <alignment horizontal="right" vertical="center"/>
    </xf>
    <xf numFmtId="165" fontId="2" fillId="29" borderId="1" xfId="29" applyFont="1" applyFill="1" applyBorder="1" applyAlignment="1" applyProtection="1">
      <alignment vertical="center"/>
      <protection locked="0"/>
    </xf>
    <xf numFmtId="165" fontId="2" fillId="29" borderId="1" xfId="29" applyFont="1" applyFill="1" applyBorder="1" applyAlignment="1">
      <alignment vertical="center"/>
    </xf>
    <xf numFmtId="0" fontId="3" fillId="29" borderId="1" xfId="1" applyFont="1" applyFill="1" applyBorder="1" applyAlignment="1">
      <alignment wrapText="1"/>
    </xf>
    <xf numFmtId="0" fontId="21" fillId="29" borderId="1" xfId="28" applyFont="1" applyFill="1" applyBorder="1" applyAlignment="1">
      <alignment vertical="center" wrapText="1"/>
    </xf>
    <xf numFmtId="1" fontId="3" fillId="29" borderId="1" xfId="28" applyNumberFormat="1" applyFont="1" applyFill="1" applyBorder="1" applyAlignment="1">
      <alignment horizontal="left" vertical="top"/>
    </xf>
    <xf numFmtId="0" fontId="21" fillId="29" borderId="1" xfId="28" applyFont="1" applyFill="1" applyBorder="1" applyAlignment="1">
      <alignment vertical="top" wrapText="1"/>
    </xf>
    <xf numFmtId="49" fontId="3" fillId="29" borderId="1" xfId="28" applyNumberFormat="1" applyFont="1" applyFill="1" applyBorder="1" applyAlignment="1">
      <alignment horizontal="center" vertical="top"/>
    </xf>
    <xf numFmtId="0" fontId="1" fillId="29" borderId="1" xfId="28" applyFill="1" applyBorder="1"/>
    <xf numFmtId="0" fontId="3" fillId="29" borderId="1" xfId="30" applyFont="1" applyFill="1" applyBorder="1" applyAlignment="1">
      <alignment wrapText="1"/>
    </xf>
    <xf numFmtId="165" fontId="2" fillId="29" borderId="1" xfId="15" applyFont="1" applyFill="1" applyBorder="1" applyAlignment="1" applyProtection="1">
      <alignment vertical="center"/>
      <protection locked="0"/>
    </xf>
    <xf numFmtId="165" fontId="2" fillId="29" borderId="1" xfId="15" applyFont="1" applyFill="1" applyBorder="1" applyAlignment="1">
      <alignment vertical="center"/>
    </xf>
    <xf numFmtId="0" fontId="3" fillId="29" borderId="1" xfId="30" applyFont="1" applyFill="1" applyBorder="1" applyAlignment="1">
      <alignment vertical="top" wrapText="1"/>
    </xf>
    <xf numFmtId="0" fontId="3" fillId="29" borderId="1" xfId="30" applyFont="1" applyFill="1" applyBorder="1" applyAlignment="1">
      <alignment vertical="center"/>
    </xf>
    <xf numFmtId="0" fontId="101" fillId="29" borderId="1" xfId="28" applyFont="1" applyFill="1" applyBorder="1" applyAlignment="1">
      <alignment vertical="top" wrapText="1"/>
    </xf>
    <xf numFmtId="0" fontId="101" fillId="29" borderId="1" xfId="28" applyFont="1" applyFill="1" applyBorder="1" applyAlignment="1">
      <alignment wrapText="1"/>
    </xf>
    <xf numFmtId="0" fontId="101" fillId="29" borderId="1" xfId="28" applyFont="1" applyFill="1" applyBorder="1" applyAlignment="1">
      <alignment vertical="center" wrapText="1"/>
    </xf>
    <xf numFmtId="49" fontId="3" fillId="2" borderId="1" xfId="28" applyNumberFormat="1" applyFont="1" applyFill="1" applyBorder="1" applyAlignment="1">
      <alignment horizontal="center" vertical="top"/>
    </xf>
    <xf numFmtId="0" fontId="101" fillId="2" borderId="1" xfId="28" applyFont="1" applyFill="1" applyBorder="1" applyAlignment="1">
      <alignment vertical="center" wrapText="1"/>
    </xf>
    <xf numFmtId="0" fontId="1" fillId="2" borderId="1" xfId="28" applyFill="1" applyBorder="1"/>
    <xf numFmtId="4" fontId="1" fillId="2" borderId="1" xfId="15" applyNumberFormat="1" applyFont="1" applyFill="1" applyBorder="1" applyAlignment="1">
      <alignment horizontal="right"/>
    </xf>
    <xf numFmtId="4" fontId="3" fillId="2" borderId="1" xfId="15" applyNumberFormat="1" applyFont="1" applyFill="1" applyBorder="1" applyAlignment="1">
      <alignment horizontal="right"/>
    </xf>
    <xf numFmtId="165" fontId="2" fillId="2" borderId="1" xfId="15" applyFont="1" applyFill="1" applyBorder="1" applyAlignment="1" applyProtection="1">
      <alignment vertical="center"/>
      <protection locked="0"/>
    </xf>
    <xf numFmtId="165" fontId="2" fillId="2" borderId="1" xfId="15" applyFont="1" applyFill="1" applyBorder="1" applyAlignment="1">
      <alignment vertical="center"/>
    </xf>
    <xf numFmtId="0" fontId="3" fillId="2" borderId="1" xfId="30" applyFont="1" applyFill="1" applyBorder="1" applyAlignment="1">
      <alignment vertical="center"/>
    </xf>
    <xf numFmtId="166" fontId="3" fillId="2" borderId="1" xfId="15" applyNumberFormat="1" applyFont="1" applyFill="1" applyBorder="1" applyAlignment="1">
      <alignment horizontal="right" vertical="center"/>
    </xf>
    <xf numFmtId="0" fontId="69" fillId="29" borderId="1" xfId="28" applyFont="1" applyFill="1" applyBorder="1"/>
    <xf numFmtId="0" fontId="3" fillId="29" borderId="1" xfId="30" applyFont="1" applyFill="1" applyBorder="1" applyAlignment="1">
      <alignment vertical="center" wrapText="1"/>
    </xf>
    <xf numFmtId="49" fontId="3" fillId="11" borderId="1" xfId="28" applyNumberFormat="1" applyFont="1" applyFill="1" applyBorder="1" applyAlignment="1">
      <alignment horizontal="center" vertical="top"/>
    </xf>
    <xf numFmtId="0" fontId="1" fillId="11" borderId="1" xfId="28" applyFill="1" applyBorder="1" applyAlignment="1">
      <alignment wrapText="1"/>
    </xf>
    <xf numFmtId="0" fontId="21" fillId="11" borderId="1" xfId="28" applyFont="1" applyFill="1" applyBorder="1" applyAlignment="1">
      <alignment vertical="top" wrapText="1"/>
    </xf>
    <xf numFmtId="0" fontId="3" fillId="11" borderId="1" xfId="30" applyFont="1" applyFill="1" applyBorder="1" applyAlignment="1">
      <alignment horizontal="center" vertical="center"/>
    </xf>
    <xf numFmtId="166" fontId="3" fillId="11" borderId="1" xfId="15" applyNumberFormat="1" applyFont="1" applyFill="1" applyBorder="1" applyAlignment="1">
      <alignment vertical="center"/>
    </xf>
    <xf numFmtId="165" fontId="2" fillId="11" borderId="1" xfId="15" applyFont="1" applyFill="1" applyBorder="1" applyAlignment="1" applyProtection="1">
      <alignment vertical="center"/>
      <protection locked="0"/>
    </xf>
    <xf numFmtId="165" fontId="2" fillId="11" borderId="1" xfId="15" applyFont="1" applyFill="1" applyBorder="1" applyAlignment="1">
      <alignment vertical="center"/>
    </xf>
    <xf numFmtId="0" fontId="21" fillId="11" borderId="1" xfId="28" applyFont="1" applyFill="1" applyBorder="1" applyAlignment="1">
      <alignment vertical="center" wrapText="1"/>
    </xf>
    <xf numFmtId="49" fontId="3" fillId="30" borderId="1" xfId="28" applyNumberFormat="1" applyFont="1" applyFill="1" applyBorder="1" applyAlignment="1">
      <alignment horizontal="center" vertical="top"/>
    </xf>
    <xf numFmtId="0" fontId="8" fillId="30" borderId="1" xfId="30" applyFont="1" applyFill="1" applyBorder="1" applyAlignment="1">
      <alignment vertical="top" wrapText="1"/>
    </xf>
    <xf numFmtId="0" fontId="3" fillId="30" borderId="1" xfId="30" applyFont="1" applyFill="1" applyBorder="1" applyAlignment="1">
      <alignment vertical="center"/>
    </xf>
    <xf numFmtId="166" fontId="3" fillId="30" borderId="1" xfId="15" applyNumberFormat="1" applyFont="1" applyFill="1" applyBorder="1" applyAlignment="1">
      <alignment horizontal="right" vertical="center"/>
    </xf>
    <xf numFmtId="4" fontId="3" fillId="30" borderId="1" xfId="15" applyNumberFormat="1" applyFont="1" applyFill="1" applyBorder="1" applyAlignment="1" applyProtection="1">
      <alignment horizontal="right" vertical="center"/>
      <protection locked="0"/>
    </xf>
    <xf numFmtId="4" fontId="3" fillId="30" borderId="1" xfId="15" applyNumberFormat="1" applyFont="1" applyFill="1" applyBorder="1" applyAlignment="1">
      <alignment vertical="center"/>
    </xf>
    <xf numFmtId="49" fontId="8" fillId="30" borderId="1" xfId="30" applyNumberFormat="1" applyFont="1" applyFill="1" applyBorder="1" applyAlignment="1">
      <alignment horizontal="center" vertical="top"/>
    </xf>
    <xf numFmtId="0" fontId="3" fillId="30" borderId="1" xfId="30" applyFont="1" applyFill="1" applyBorder="1" applyAlignment="1">
      <alignment vertical="top" wrapText="1"/>
    </xf>
    <xf numFmtId="165" fontId="2" fillId="30" borderId="1" xfId="15" applyFont="1" applyFill="1" applyBorder="1" applyAlignment="1" applyProtection="1">
      <alignment vertical="center"/>
      <protection locked="0"/>
    </xf>
    <xf numFmtId="165" fontId="3" fillId="30" borderId="1" xfId="15" applyFont="1" applyFill="1" applyBorder="1" applyAlignment="1">
      <alignment vertical="center"/>
    </xf>
    <xf numFmtId="0" fontId="21" fillId="30" borderId="1" xfId="28" applyFont="1" applyFill="1" applyBorder="1" applyAlignment="1">
      <alignment vertical="center" wrapText="1"/>
    </xf>
    <xf numFmtId="0" fontId="21" fillId="30" borderId="1" xfId="28" applyFont="1" applyFill="1" applyBorder="1" applyAlignment="1">
      <alignment vertical="top" wrapText="1"/>
    </xf>
    <xf numFmtId="49" fontId="8" fillId="29" borderId="1" xfId="30" applyNumberFormat="1" applyFont="1" applyFill="1" applyBorder="1" applyAlignment="1">
      <alignment horizontal="center" vertical="top"/>
    </xf>
    <xf numFmtId="0" fontId="8" fillId="29" borderId="1" xfId="30" applyFont="1" applyFill="1" applyBorder="1" applyAlignment="1">
      <alignment wrapText="1"/>
    </xf>
    <xf numFmtId="0" fontId="8" fillId="29" borderId="1" xfId="30" applyFont="1" applyFill="1" applyBorder="1" applyAlignment="1">
      <alignment horizontal="center" vertical="center"/>
    </xf>
    <xf numFmtId="166" fontId="8" fillId="29" borderId="1" xfId="15" applyNumberFormat="1" applyFont="1" applyFill="1" applyBorder="1" applyAlignment="1">
      <alignment vertical="center"/>
    </xf>
    <xf numFmtId="4" fontId="8" fillId="29" borderId="1" xfId="15" applyNumberFormat="1" applyFont="1" applyFill="1" applyBorder="1" applyAlignment="1" applyProtection="1">
      <alignment vertical="center"/>
      <protection locked="0"/>
    </xf>
    <xf numFmtId="165" fontId="8" fillId="29" borderId="1" xfId="15" applyFont="1" applyFill="1" applyBorder="1" applyAlignment="1">
      <alignment vertical="center"/>
    </xf>
    <xf numFmtId="49" fontId="3" fillId="29" borderId="1" xfId="30" applyNumberFormat="1" applyFont="1" applyFill="1" applyBorder="1" applyAlignment="1">
      <alignment horizontal="center" vertical="top"/>
    </xf>
    <xf numFmtId="165" fontId="3" fillId="29" borderId="1" xfId="15" applyFont="1" applyFill="1" applyBorder="1" applyAlignment="1">
      <alignment vertical="center"/>
    </xf>
    <xf numFmtId="0" fontId="3" fillId="0" borderId="1" xfId="28" applyFont="1" applyBorder="1" applyAlignment="1">
      <alignment horizontal="center" vertical="center" wrapText="1"/>
    </xf>
    <xf numFmtId="0" fontId="63" fillId="0" borderId="1" xfId="28" applyFont="1" applyBorder="1" applyAlignment="1">
      <alignment horizontal="left" vertical="center" wrapText="1"/>
    </xf>
    <xf numFmtId="0" fontId="63" fillId="0" borderId="1" xfId="28" applyFont="1" applyBorder="1" applyAlignment="1">
      <alignment horizontal="left" wrapText="1"/>
    </xf>
    <xf numFmtId="0" fontId="3" fillId="0" borderId="1" xfId="28" applyFont="1" applyBorder="1" applyAlignment="1">
      <alignment vertical="center" wrapText="1"/>
    </xf>
    <xf numFmtId="0" fontId="2" fillId="0" borderId="1" xfId="6" applyFont="1" applyBorder="1" applyAlignment="1">
      <alignment horizontal="left" vertical="center" wrapText="1"/>
    </xf>
    <xf numFmtId="165" fontId="2" fillId="0" borderId="1" xfId="29" applyFont="1" applyBorder="1" applyAlignment="1">
      <alignment vertical="center"/>
    </xf>
    <xf numFmtId="166" fontId="3" fillId="29" borderId="1" xfId="3" applyNumberFormat="1" applyFont="1" applyFill="1" applyBorder="1" applyAlignment="1">
      <alignment horizontal="right" vertical="center"/>
    </xf>
    <xf numFmtId="0" fontId="4" fillId="29" borderId="1" xfId="1" applyFont="1" applyFill="1" applyBorder="1" applyAlignment="1">
      <alignment vertical="center"/>
    </xf>
    <xf numFmtId="166" fontId="4" fillId="29" borderId="1" xfId="3" applyNumberFormat="1" applyFont="1" applyFill="1" applyBorder="1" applyAlignment="1">
      <alignment horizontal="right" vertical="center"/>
    </xf>
    <xf numFmtId="49" fontId="3" fillId="29" borderId="1" xfId="28" applyNumberFormat="1" applyFont="1" applyFill="1" applyBorder="1" applyAlignment="1">
      <alignment horizontal="center" vertical="center"/>
    </xf>
    <xf numFmtId="0" fontId="1" fillId="29" borderId="1" xfId="28" applyFill="1" applyBorder="1" applyAlignment="1">
      <alignment vertical="center"/>
    </xf>
    <xf numFmtId="4" fontId="1" fillId="29" borderId="1" xfId="29" applyNumberFormat="1" applyFont="1" applyFill="1" applyBorder="1" applyAlignment="1">
      <alignment horizontal="right" vertical="center"/>
    </xf>
    <xf numFmtId="0" fontId="4" fillId="29" borderId="1" xfId="1" applyFont="1" applyFill="1" applyBorder="1" applyAlignment="1">
      <alignment vertical="center" wrapText="1"/>
    </xf>
    <xf numFmtId="0" fontId="3" fillId="29" borderId="1" xfId="1" applyFont="1" applyFill="1" applyBorder="1" applyAlignment="1">
      <alignment vertical="center" wrapText="1"/>
    </xf>
    <xf numFmtId="165" fontId="2" fillId="0" borderId="1" xfId="29" applyFont="1" applyBorder="1" applyAlignment="1" applyProtection="1">
      <alignment vertical="center"/>
      <protection locked="0"/>
    </xf>
    <xf numFmtId="0" fontId="3" fillId="29" borderId="1" xfId="1" applyFont="1" applyFill="1" applyBorder="1" applyAlignment="1">
      <alignment horizontal="center" vertical="center"/>
    </xf>
    <xf numFmtId="166" fontId="3" fillId="29" borderId="1" xfId="3" applyNumberFormat="1" applyFont="1" applyFill="1" applyBorder="1" applyAlignment="1">
      <alignment horizontal="center" vertical="center"/>
    </xf>
    <xf numFmtId="0" fontId="21" fillId="29" borderId="1" xfId="5" applyFont="1" applyFill="1" applyBorder="1" applyAlignment="1">
      <alignment vertical="center" wrapText="1"/>
    </xf>
    <xf numFmtId="166" fontId="3" fillId="29" borderId="1" xfId="3" applyNumberFormat="1" applyFont="1" applyFill="1" applyBorder="1" applyAlignment="1">
      <alignment vertical="center"/>
    </xf>
    <xf numFmtId="4" fontId="2" fillId="0" borderId="1" xfId="29" applyNumberFormat="1" applyFont="1" applyFill="1" applyBorder="1" applyAlignment="1">
      <alignment vertical="center"/>
    </xf>
    <xf numFmtId="0" fontId="3" fillId="0" borderId="1" xfId="1" applyFont="1" applyBorder="1" applyAlignment="1">
      <alignment horizontal="left" vertical="center" wrapText="1"/>
    </xf>
    <xf numFmtId="0" fontId="2" fillId="0" borderId="1" xfId="28" applyFont="1" applyBorder="1" applyAlignment="1">
      <alignment horizontal="center" vertical="center" wrapText="1"/>
    </xf>
    <xf numFmtId="4" fontId="2" fillId="0" borderId="1" xfId="29" applyNumberFormat="1" applyFont="1" applyBorder="1" applyAlignment="1">
      <alignment vertical="center"/>
    </xf>
    <xf numFmtId="0" fontId="2" fillId="0" borderId="1" xfId="9" applyFont="1" applyBorder="1" applyAlignment="1">
      <alignment horizontal="justify" vertical="center" wrapText="1"/>
    </xf>
    <xf numFmtId="0" fontId="2" fillId="0" borderId="1" xfId="9" applyFont="1" applyBorder="1" applyAlignment="1">
      <alignment horizontal="center" vertical="center"/>
    </xf>
    <xf numFmtId="0" fontId="2" fillId="0" borderId="1" xfId="9" applyFont="1" applyBorder="1" applyAlignment="1">
      <alignment vertical="center" wrapText="1"/>
    </xf>
    <xf numFmtId="0" fontId="2" fillId="0" borderId="1" xfId="9" applyFont="1" applyBorder="1" applyAlignment="1">
      <alignment vertical="center"/>
    </xf>
    <xf numFmtId="49" fontId="2" fillId="0" borderId="1" xfId="9" applyNumberFormat="1" applyFont="1" applyBorder="1" applyAlignment="1">
      <alignment horizontal="center" vertical="center"/>
    </xf>
    <xf numFmtId="49" fontId="2" fillId="0" borderId="1" xfId="6" applyNumberFormat="1" applyFont="1" applyBorder="1" applyAlignment="1">
      <alignment horizontal="center" vertical="center" wrapText="1"/>
    </xf>
    <xf numFmtId="49" fontId="4" fillId="0" borderId="1" xfId="18" applyNumberFormat="1" applyFont="1" applyBorder="1">
      <alignment horizontal="left" vertical="top" wrapText="1" readingOrder="1"/>
    </xf>
    <xf numFmtId="170" fontId="5" fillId="0" borderId="1" xfId="34" applyNumberFormat="1" applyFont="1" applyFill="1" applyBorder="1" applyAlignment="1" applyProtection="1">
      <alignment vertical="top" wrapText="1"/>
    </xf>
    <xf numFmtId="170" fontId="4" fillId="0" borderId="1" xfId="34" applyNumberFormat="1" applyFont="1" applyFill="1" applyBorder="1" applyAlignment="1" applyProtection="1">
      <alignment horizontal="center"/>
    </xf>
    <xf numFmtId="2" fontId="4" fillId="0" borderId="1" xfId="34" applyNumberFormat="1" applyFont="1" applyFill="1" applyBorder="1" applyAlignment="1" applyProtection="1">
      <alignment horizontal="right"/>
    </xf>
    <xf numFmtId="49" fontId="46" fillId="29" borderId="1" xfId="1" applyNumberFormat="1" applyFont="1" applyFill="1" applyBorder="1" applyAlignment="1">
      <alignment horizontal="left" vertical="top" wrapText="1"/>
    </xf>
    <xf numFmtId="170" fontId="46" fillId="29" borderId="1" xfId="34" applyNumberFormat="1" applyFont="1" applyFill="1" applyBorder="1" applyAlignment="1">
      <alignment horizontal="left" vertical="top" wrapText="1"/>
    </xf>
    <xf numFmtId="49" fontId="17" fillId="29" borderId="1" xfId="1" applyNumberFormat="1" applyFont="1" applyFill="1" applyBorder="1" applyAlignment="1">
      <alignment horizontal="left" vertical="top" wrapText="1"/>
    </xf>
    <xf numFmtId="170" fontId="4" fillId="29" borderId="1" xfId="34" applyNumberFormat="1" applyFont="1" applyFill="1" applyBorder="1" applyAlignment="1">
      <alignment horizontal="left" vertical="top" wrapText="1"/>
    </xf>
    <xf numFmtId="170" fontId="4" fillId="29" borderId="1" xfId="29" applyNumberFormat="1" applyFont="1" applyFill="1" applyBorder="1" applyAlignment="1">
      <alignment horizontal="left" vertical="top" wrapText="1"/>
    </xf>
    <xf numFmtId="170" fontId="4" fillId="29" borderId="1" xfId="34" applyNumberFormat="1" applyFont="1" applyFill="1" applyBorder="1" applyAlignment="1">
      <alignment horizontal="center" vertical="center"/>
    </xf>
    <xf numFmtId="2" fontId="4" fillId="29" borderId="1" xfId="34" applyNumberFormat="1" applyFont="1" applyFill="1" applyBorder="1" applyAlignment="1">
      <alignment horizontal="right" vertical="center"/>
    </xf>
    <xf numFmtId="2" fontId="4" fillId="29" borderId="1" xfId="34" applyNumberFormat="1" applyFont="1" applyFill="1" applyBorder="1" applyAlignment="1" applyProtection="1">
      <alignment horizontal="right" vertical="center"/>
      <protection locked="0"/>
    </xf>
    <xf numFmtId="2" fontId="4" fillId="29" borderId="1" xfId="1" applyNumberFormat="1" applyFont="1" applyFill="1" applyBorder="1" applyAlignment="1" applyProtection="1">
      <alignment horizontal="right" vertical="center" wrapText="1"/>
      <protection locked="0"/>
    </xf>
    <xf numFmtId="0" fontId="17" fillId="29" borderId="1" xfId="1" applyFont="1" applyFill="1" applyBorder="1" applyAlignment="1" applyProtection="1">
      <alignment vertical="top" wrapText="1"/>
      <protection locked="0"/>
    </xf>
    <xf numFmtId="0" fontId="4" fillId="29" borderId="1" xfId="10" applyFont="1" applyFill="1" applyBorder="1" applyProtection="1">
      <protection locked="0"/>
    </xf>
    <xf numFmtId="49" fontId="17" fillId="29" borderId="1" xfId="1" applyNumberFormat="1" applyFont="1" applyFill="1" applyBorder="1" applyAlignment="1">
      <alignment horizontal="left" vertical="center" wrapText="1"/>
    </xf>
    <xf numFmtId="0" fontId="4" fillId="29" borderId="1" xfId="1" applyFont="1" applyFill="1" applyBorder="1" applyAlignment="1">
      <alignment horizontal="left" vertical="center" wrapText="1"/>
    </xf>
    <xf numFmtId="170" fontId="4" fillId="29" borderId="1" xfId="34" applyNumberFormat="1" applyFont="1" applyFill="1" applyBorder="1" applyAlignment="1">
      <alignment horizontal="left" vertical="center" wrapText="1"/>
    </xf>
    <xf numFmtId="1" fontId="4" fillId="29" borderId="1" xfId="1" applyNumberFormat="1" applyFont="1" applyFill="1" applyBorder="1" applyAlignment="1">
      <alignment vertical="top" wrapText="1"/>
    </xf>
    <xf numFmtId="0" fontId="4" fillId="29" borderId="1" xfId="10" applyFont="1" applyFill="1" applyBorder="1" applyAlignment="1" applyProtection="1">
      <alignment vertical="top" wrapText="1"/>
      <protection locked="0"/>
    </xf>
    <xf numFmtId="0" fontId="4" fillId="29" borderId="1" xfId="26" applyNumberFormat="1" applyFont="1" applyFill="1" applyBorder="1" applyAlignment="1">
      <alignment horizontal="left" vertical="center" wrapText="1"/>
    </xf>
    <xf numFmtId="49" fontId="17" fillId="0" borderId="1" xfId="1" applyNumberFormat="1" applyFont="1" applyBorder="1" applyAlignment="1">
      <alignment horizontal="left" vertical="top" wrapText="1"/>
    </xf>
    <xf numFmtId="0" fontId="4" fillId="0" borderId="1" xfId="26" applyNumberFormat="1" applyFont="1" applyFill="1" applyBorder="1" applyAlignment="1">
      <alignment horizontal="left" vertical="center" wrapText="1"/>
    </xf>
    <xf numFmtId="49" fontId="5" fillId="0" borderId="1" xfId="18" applyNumberFormat="1" applyFont="1" applyBorder="1">
      <alignment horizontal="left" vertical="top" wrapText="1" readingOrder="1"/>
    </xf>
    <xf numFmtId="170" fontId="5" fillId="0" borderId="1" xfId="34" applyNumberFormat="1" applyFont="1" applyFill="1" applyBorder="1" applyAlignment="1">
      <alignment vertical="top" wrapText="1"/>
    </xf>
    <xf numFmtId="4" fontId="5" fillId="0" borderId="1" xfId="10" applyNumberFormat="1" applyFont="1" applyBorder="1" applyAlignment="1" applyProtection="1">
      <alignment horizontal="right"/>
      <protection locked="0"/>
    </xf>
    <xf numFmtId="0" fontId="17" fillId="0" borderId="1" xfId="1" applyFont="1" applyBorder="1" applyAlignment="1">
      <alignment vertical="top" wrapText="1"/>
    </xf>
    <xf numFmtId="170" fontId="4" fillId="0" borderId="1" xfId="34" applyNumberFormat="1" applyFont="1" applyFill="1" applyBorder="1" applyAlignment="1">
      <alignment vertical="top" wrapText="1"/>
    </xf>
    <xf numFmtId="170" fontId="5" fillId="0" borderId="1" xfId="34" applyNumberFormat="1" applyFont="1" applyBorder="1" applyAlignment="1">
      <alignment vertical="top" wrapText="1"/>
    </xf>
    <xf numFmtId="49" fontId="5" fillId="2" borderId="1" xfId="1" applyNumberFormat="1" applyFont="1" applyFill="1" applyBorder="1" applyAlignment="1">
      <alignment horizontal="left" vertical="top" wrapText="1"/>
    </xf>
    <xf numFmtId="170" fontId="5" fillId="2" borderId="1" xfId="34" applyNumberFormat="1" applyFont="1" applyFill="1" applyBorder="1" applyAlignment="1">
      <alignment vertical="top" wrapText="1"/>
    </xf>
    <xf numFmtId="49" fontId="17" fillId="2" borderId="1" xfId="1" applyNumberFormat="1" applyFont="1" applyFill="1" applyBorder="1" applyAlignment="1">
      <alignment horizontal="left" vertical="top" wrapText="1"/>
    </xf>
    <xf numFmtId="0" fontId="17" fillId="2" borderId="1" xfId="1" applyFont="1" applyFill="1" applyBorder="1" applyAlignment="1">
      <alignment vertical="top" wrapText="1"/>
    </xf>
    <xf numFmtId="0" fontId="61" fillId="2" borderId="1" xfId="12" applyFont="1" applyFill="1" applyBorder="1" applyAlignment="1">
      <alignment vertical="center" wrapText="1" readingOrder="1"/>
    </xf>
    <xf numFmtId="170" fontId="4" fillId="2" borderId="1" xfId="34" applyNumberFormat="1" applyFont="1" applyFill="1" applyBorder="1" applyAlignment="1">
      <alignment horizontal="center" vertical="center"/>
    </xf>
    <xf numFmtId="2" fontId="4" fillId="2" borderId="1" xfId="34" applyNumberFormat="1" applyFont="1" applyFill="1" applyBorder="1" applyAlignment="1">
      <alignment horizontal="right" vertical="center"/>
    </xf>
    <xf numFmtId="0" fontId="4" fillId="2" borderId="1" xfId="14" applyFont="1" applyFill="1" applyBorder="1" applyAlignment="1">
      <alignment horizontal="justify" vertical="top" wrapText="1"/>
    </xf>
    <xf numFmtId="0" fontId="72" fillId="2" borderId="1" xfId="14" applyFont="1" applyFill="1" applyBorder="1" applyAlignment="1">
      <alignment horizontal="left" vertical="center" wrapText="1"/>
    </xf>
    <xf numFmtId="2" fontId="4" fillId="2" borderId="1" xfId="34" applyNumberFormat="1" applyFont="1" applyFill="1" applyBorder="1" applyAlignment="1" applyProtection="1">
      <alignment horizontal="right"/>
      <protection locked="0"/>
    </xf>
    <xf numFmtId="0" fontId="61" fillId="2" borderId="1" xfId="14" applyFont="1" applyFill="1" applyBorder="1" applyAlignment="1">
      <alignment horizontal="left" vertical="center" wrapText="1"/>
    </xf>
    <xf numFmtId="0" fontId="4" fillId="2" borderId="1" xfId="10" applyFont="1" applyFill="1" applyBorder="1" applyAlignment="1" applyProtection="1">
      <alignment vertical="top" wrapText="1"/>
      <protection locked="0"/>
    </xf>
    <xf numFmtId="0" fontId="61" fillId="2" borderId="1" xfId="1" applyFont="1" applyFill="1" applyBorder="1" applyAlignment="1">
      <alignment horizontal="left" vertical="center" wrapText="1"/>
    </xf>
    <xf numFmtId="1" fontId="4" fillId="2" borderId="1" xfId="1" applyNumberFormat="1" applyFont="1" applyFill="1" applyBorder="1" applyAlignment="1">
      <alignment vertical="top" wrapText="1"/>
    </xf>
    <xf numFmtId="2" fontId="4" fillId="2" borderId="1" xfId="34" applyNumberFormat="1" applyFont="1" applyFill="1" applyBorder="1" applyAlignment="1" applyProtection="1">
      <alignment horizontal="right" vertical="center"/>
      <protection locked="0"/>
    </xf>
    <xf numFmtId="2" fontId="4" fillId="2" borderId="1" xfId="1" applyNumberFormat="1" applyFont="1" applyFill="1" applyBorder="1" applyAlignment="1" applyProtection="1">
      <alignment horizontal="right" vertical="center" wrapText="1"/>
      <protection locked="0"/>
    </xf>
    <xf numFmtId="0" fontId="23" fillId="2" borderId="1" xfId="1" applyFont="1" applyFill="1" applyBorder="1" applyAlignment="1" applyProtection="1">
      <alignment vertical="top" wrapText="1"/>
      <protection locked="0"/>
    </xf>
    <xf numFmtId="0" fontId="17" fillId="2" borderId="1" xfId="1" applyFont="1" applyFill="1" applyBorder="1" applyAlignment="1">
      <alignment horizontal="center" vertical="center" wrapText="1"/>
    </xf>
    <xf numFmtId="2" fontId="17" fillId="2" borderId="1" xfId="1" applyNumberFormat="1" applyFont="1" applyFill="1" applyBorder="1" applyAlignment="1">
      <alignment horizontal="right" vertical="center" wrapText="1"/>
    </xf>
    <xf numFmtId="0" fontId="17" fillId="2" borderId="1" xfId="1" applyFont="1" applyFill="1" applyBorder="1" applyAlignment="1" applyProtection="1">
      <alignment horizontal="right" vertical="center" wrapText="1"/>
      <protection locked="0"/>
    </xf>
    <xf numFmtId="0" fontId="17" fillId="2" borderId="1" xfId="1" applyFont="1" applyFill="1" applyBorder="1" applyAlignment="1" applyProtection="1">
      <alignment vertical="top" wrapText="1"/>
      <protection locked="0"/>
    </xf>
    <xf numFmtId="0" fontId="72" fillId="2" borderId="1" xfId="12" applyFont="1" applyFill="1" applyBorder="1" applyAlignment="1">
      <alignment horizontal="left" vertical="center" wrapText="1" readingOrder="1"/>
    </xf>
    <xf numFmtId="170" fontId="4" fillId="2" borderId="1" xfId="34" applyNumberFormat="1" applyFont="1" applyFill="1" applyBorder="1" applyAlignment="1">
      <alignment vertical="top" wrapText="1"/>
    </xf>
    <xf numFmtId="49" fontId="17" fillId="0" borderId="1" xfId="1" applyNumberFormat="1" applyFont="1" applyFill="1" applyBorder="1" applyAlignment="1">
      <alignment horizontal="left" vertical="top" wrapText="1"/>
    </xf>
    <xf numFmtId="0" fontId="17" fillId="0" borderId="1" xfId="1" applyFont="1" applyFill="1" applyBorder="1" applyAlignment="1">
      <alignment vertical="top" wrapText="1"/>
    </xf>
    <xf numFmtId="49" fontId="5" fillId="0" borderId="1" xfId="18" applyNumberFormat="1" applyFont="1" applyFill="1" applyBorder="1">
      <alignment horizontal="left" vertical="top" wrapText="1" readingOrder="1"/>
    </xf>
    <xf numFmtId="49" fontId="5" fillId="11" borderId="1" xfId="1" applyNumberFormat="1" applyFont="1" applyFill="1" applyBorder="1" applyAlignment="1">
      <alignment horizontal="left" vertical="top" wrapText="1"/>
    </xf>
    <xf numFmtId="170" fontId="5" fillId="11" borderId="1" xfId="34" applyNumberFormat="1" applyFont="1" applyFill="1" applyBorder="1" applyAlignment="1">
      <alignment vertical="top" wrapText="1"/>
    </xf>
    <xf numFmtId="49" fontId="17" fillId="11" borderId="1" xfId="1" applyNumberFormat="1" applyFont="1" applyFill="1" applyBorder="1" applyAlignment="1">
      <alignment horizontal="left" vertical="top" wrapText="1"/>
    </xf>
    <xf numFmtId="0" fontId="17" fillId="11" borderId="1" xfId="1" applyFont="1" applyFill="1" applyBorder="1" applyAlignment="1">
      <alignment vertical="top" wrapText="1"/>
    </xf>
    <xf numFmtId="0" fontId="61" fillId="11" borderId="1" xfId="1" applyFont="1" applyFill="1" applyBorder="1" applyAlignment="1">
      <alignment horizontal="left" vertical="center" wrapText="1"/>
    </xf>
    <xf numFmtId="170" fontId="4" fillId="11" borderId="1" xfId="34" applyNumberFormat="1" applyFont="1" applyFill="1" applyBorder="1" applyAlignment="1">
      <alignment horizontal="center" vertical="center"/>
    </xf>
    <xf numFmtId="2" fontId="4" fillId="11" borderId="1" xfId="34" applyNumberFormat="1" applyFont="1" applyFill="1" applyBorder="1" applyAlignment="1">
      <alignment horizontal="right" vertical="center"/>
    </xf>
    <xf numFmtId="165" fontId="2" fillId="11" borderId="1" xfId="29" applyFont="1" applyFill="1" applyBorder="1" applyAlignment="1" applyProtection="1">
      <alignment vertical="center"/>
      <protection locked="0"/>
    </xf>
    <xf numFmtId="165" fontId="2" fillId="11" borderId="1" xfId="29" applyFont="1" applyFill="1" applyBorder="1" applyAlignment="1">
      <alignment vertical="center"/>
    </xf>
    <xf numFmtId="0" fontId="4" fillId="11" borderId="1" xfId="14" applyFont="1" applyFill="1" applyBorder="1" applyAlignment="1">
      <alignment horizontal="justify" vertical="top" wrapText="1"/>
    </xf>
    <xf numFmtId="0" fontId="81" fillId="11" borderId="1" xfId="14" applyFont="1" applyFill="1" applyBorder="1" applyAlignment="1">
      <alignment horizontal="left" vertical="center" wrapText="1"/>
    </xf>
    <xf numFmtId="0" fontId="3" fillId="11" borderId="1" xfId="35" applyFont="1" applyFill="1" applyBorder="1" applyAlignment="1">
      <alignment horizontal="left" vertical="center" wrapText="1"/>
    </xf>
    <xf numFmtId="0" fontId="21" fillId="11" borderId="1" xfId="36" applyFont="1" applyFill="1" applyBorder="1" applyAlignment="1">
      <alignment vertical="center"/>
    </xf>
    <xf numFmtId="170" fontId="4" fillId="11" borderId="1" xfId="34" applyNumberFormat="1" applyFont="1" applyFill="1" applyBorder="1" applyAlignment="1">
      <alignment vertical="top" wrapText="1"/>
    </xf>
    <xf numFmtId="49" fontId="5" fillId="8" borderId="1" xfId="1" applyNumberFormat="1" applyFont="1" applyFill="1" applyBorder="1" applyAlignment="1">
      <alignment horizontal="left" vertical="top" wrapText="1"/>
    </xf>
    <xf numFmtId="170" fontId="5" fillId="8" borderId="1" xfId="34" applyNumberFormat="1" applyFont="1" applyFill="1" applyBorder="1" applyAlignment="1">
      <alignment vertical="top" wrapText="1"/>
    </xf>
    <xf numFmtId="49" fontId="17" fillId="8" borderId="1" xfId="1" applyNumberFormat="1" applyFont="1" applyFill="1" applyBorder="1" applyAlignment="1">
      <alignment horizontal="left" vertical="top" wrapText="1"/>
    </xf>
    <xf numFmtId="0" fontId="17" fillId="8" borderId="1" xfId="1" applyFont="1" applyFill="1" applyBorder="1" applyAlignment="1">
      <alignment vertical="top" wrapText="1"/>
    </xf>
    <xf numFmtId="170" fontId="4" fillId="8" borderId="1" xfId="34" applyNumberFormat="1" applyFont="1" applyFill="1" applyBorder="1" applyAlignment="1">
      <alignment vertical="top" wrapText="1"/>
    </xf>
    <xf numFmtId="2" fontId="4" fillId="8" borderId="1" xfId="34" applyNumberFormat="1" applyFont="1" applyFill="1" applyBorder="1" applyAlignment="1">
      <alignment horizontal="right" vertical="center"/>
    </xf>
    <xf numFmtId="165" fontId="2" fillId="8" borderId="1" xfId="29" applyFont="1" applyFill="1" applyBorder="1" applyAlignment="1" applyProtection="1">
      <alignment vertical="center"/>
      <protection locked="0"/>
    </xf>
    <xf numFmtId="165" fontId="2" fillId="8" borderId="1" xfId="29" applyFont="1" applyFill="1" applyBorder="1" applyAlignment="1">
      <alignment vertical="center"/>
    </xf>
    <xf numFmtId="170" fontId="4" fillId="11" borderId="1" xfId="34" applyNumberFormat="1" applyFont="1" applyFill="1" applyBorder="1" applyAlignment="1">
      <alignment horizontal="left" vertical="top" wrapText="1"/>
    </xf>
    <xf numFmtId="49" fontId="5" fillId="9" borderId="1" xfId="1" applyNumberFormat="1" applyFont="1" applyFill="1" applyBorder="1" applyAlignment="1">
      <alignment horizontal="left" vertical="top" wrapText="1"/>
    </xf>
    <xf numFmtId="170" fontId="5" fillId="9" borderId="1" xfId="34" applyNumberFormat="1" applyFont="1" applyFill="1" applyBorder="1" applyAlignment="1">
      <alignment vertical="top" wrapText="1"/>
    </xf>
    <xf numFmtId="49" fontId="17" fillId="9" borderId="1" xfId="1" applyNumberFormat="1" applyFont="1" applyFill="1" applyBorder="1" applyAlignment="1">
      <alignment horizontal="left" vertical="top" wrapText="1"/>
    </xf>
    <xf numFmtId="0" fontId="17" fillId="9" borderId="1" xfId="1" applyFont="1" applyFill="1" applyBorder="1" applyAlignment="1">
      <alignment vertical="top" wrapText="1"/>
    </xf>
    <xf numFmtId="0" fontId="4" fillId="9" borderId="1" xfId="10" applyFont="1" applyFill="1" applyBorder="1" applyProtection="1">
      <protection locked="0"/>
    </xf>
    <xf numFmtId="0" fontId="82" fillId="9" borderId="1" xfId="14" applyFont="1" applyFill="1" applyBorder="1" applyAlignment="1">
      <alignment horizontal="justify" vertical="top" wrapText="1"/>
    </xf>
    <xf numFmtId="172" fontId="61" fillId="9" borderId="1" xfId="27" applyNumberFormat="1" applyFont="1" applyFill="1" applyBorder="1" applyAlignment="1">
      <alignment horizontal="left" vertical="center" wrapText="1"/>
    </xf>
    <xf numFmtId="0" fontId="61" fillId="9" borderId="1" xfId="14" applyFont="1" applyFill="1" applyBorder="1" applyAlignment="1">
      <alignment horizontal="left" vertical="center" wrapText="1"/>
    </xf>
    <xf numFmtId="0" fontId="75" fillId="9" borderId="1" xfId="25" applyFont="1" applyFill="1" applyBorder="1" applyAlignment="1">
      <alignment horizontal="left" vertical="center" wrapText="1"/>
    </xf>
    <xf numFmtId="170" fontId="4" fillId="9" borderId="1" xfId="34" applyNumberFormat="1" applyFont="1" applyFill="1" applyBorder="1" applyAlignment="1">
      <alignment vertical="top" wrapText="1"/>
    </xf>
    <xf numFmtId="49" fontId="5" fillId="29" borderId="1" xfId="1" applyNumberFormat="1" applyFont="1" applyFill="1" applyBorder="1" applyAlignment="1">
      <alignment horizontal="left" vertical="top" wrapText="1"/>
    </xf>
    <xf numFmtId="170" fontId="5" fillId="29" borderId="1" xfId="34" applyNumberFormat="1" applyFont="1" applyFill="1" applyBorder="1" applyAlignment="1">
      <alignment vertical="top" wrapText="1"/>
    </xf>
    <xf numFmtId="49" fontId="4" fillId="29" borderId="1" xfId="10" applyNumberFormat="1" applyFont="1" applyFill="1" applyBorder="1" applyAlignment="1" applyProtection="1">
      <alignment horizontal="left" vertical="top"/>
      <protection locked="0"/>
    </xf>
    <xf numFmtId="0" fontId="4" fillId="29" borderId="1" xfId="10" applyFont="1" applyFill="1" applyBorder="1" applyAlignment="1" applyProtection="1">
      <alignment horizontal="left" vertical="top" wrapText="1"/>
      <protection locked="0"/>
    </xf>
    <xf numFmtId="0" fontId="4" fillId="29" borderId="1" xfId="14" applyFont="1" applyFill="1" applyBorder="1" applyAlignment="1">
      <alignment horizontal="justify" vertical="top" wrapText="1"/>
    </xf>
    <xf numFmtId="0" fontId="4" fillId="29" borderId="1" xfId="10" applyFont="1" applyFill="1" applyBorder="1" applyAlignment="1" applyProtection="1">
      <alignment vertical="center" wrapText="1"/>
      <protection locked="0"/>
    </xf>
    <xf numFmtId="0" fontId="4" fillId="29" borderId="1" xfId="10" applyFont="1" applyFill="1" applyBorder="1" applyAlignment="1" applyProtection="1">
      <alignment wrapText="1"/>
      <protection locked="0"/>
    </xf>
    <xf numFmtId="0" fontId="17" fillId="29" borderId="1" xfId="1" applyFont="1" applyFill="1" applyBorder="1" applyAlignment="1">
      <alignment vertical="top" wrapText="1"/>
    </xf>
    <xf numFmtId="0" fontId="17" fillId="29" borderId="1" xfId="1" applyFont="1" applyFill="1" applyBorder="1" applyAlignment="1">
      <alignment horizontal="center" vertical="center" wrapText="1"/>
    </xf>
    <xf numFmtId="2" fontId="17" fillId="29" borderId="1" xfId="1" applyNumberFormat="1" applyFont="1" applyFill="1" applyBorder="1" applyAlignment="1">
      <alignment horizontal="right" vertical="center" wrapText="1"/>
    </xf>
    <xf numFmtId="4" fontId="2" fillId="0" borderId="1" xfId="37" applyNumberFormat="1" applyFont="1" applyFill="1" applyBorder="1" applyAlignment="1">
      <alignment vertical="center"/>
    </xf>
    <xf numFmtId="165" fontId="2" fillId="0" borderId="1" xfId="37" applyFont="1" applyBorder="1" applyAlignment="1">
      <alignment vertical="center"/>
    </xf>
    <xf numFmtId="0" fontId="63" fillId="0" borderId="1" xfId="9" applyFont="1" applyBorder="1" applyAlignment="1">
      <alignment horizontal="justify" vertical="center" wrapText="1"/>
    </xf>
    <xf numFmtId="49" fontId="63" fillId="0" borderId="1" xfId="7" applyNumberFormat="1" applyFont="1" applyBorder="1" applyAlignment="1">
      <alignment horizontal="center" vertical="center" wrapText="1"/>
    </xf>
    <xf numFmtId="4" fontId="63" fillId="0" borderId="1" xfId="37" applyNumberFormat="1" applyFont="1" applyFill="1" applyBorder="1" applyAlignment="1">
      <alignment horizontal="right" vertical="center" wrapText="1"/>
    </xf>
    <xf numFmtId="4" fontId="2" fillId="0" borderId="1" xfId="37" applyNumberFormat="1" applyFont="1" applyBorder="1" applyAlignment="1">
      <alignment vertical="center"/>
    </xf>
    <xf numFmtId="0" fontId="21" fillId="0" borderId="1" xfId="28" applyFont="1" applyBorder="1" applyAlignment="1">
      <alignment horizontal="justify" vertical="center"/>
    </xf>
    <xf numFmtId="0" fontId="4" fillId="0" borderId="1" xfId="30" applyFont="1" applyBorder="1" applyAlignment="1">
      <alignment horizontal="left" vertical="center" wrapText="1"/>
    </xf>
    <xf numFmtId="0" fontId="63" fillId="0" borderId="1" xfId="7" applyFont="1" applyBorder="1" applyAlignment="1">
      <alignment horizontal="center" vertical="center"/>
    </xf>
    <xf numFmtId="4" fontId="63" fillId="0" borderId="1" xfId="37" applyNumberFormat="1" applyFont="1" applyFill="1" applyBorder="1" applyAlignment="1">
      <alignment vertical="center"/>
    </xf>
    <xf numFmtId="165" fontId="63" fillId="0" borderId="1" xfId="37" applyFont="1" applyFill="1" applyBorder="1" applyAlignment="1">
      <alignment vertical="center"/>
    </xf>
    <xf numFmtId="165" fontId="2" fillId="29" borderId="1" xfId="37" applyFont="1" applyFill="1" applyBorder="1" applyAlignment="1" applyProtection="1">
      <alignment vertical="center"/>
      <protection locked="0"/>
    </xf>
    <xf numFmtId="165" fontId="2" fillId="29" borderId="1" xfId="37" applyFont="1" applyFill="1" applyBorder="1" applyAlignment="1">
      <alignment vertical="center"/>
    </xf>
    <xf numFmtId="0" fontId="4" fillId="29" borderId="1" xfId="30" applyFont="1" applyFill="1" applyBorder="1" applyAlignment="1">
      <alignment vertical="center"/>
    </xf>
    <xf numFmtId="166" fontId="4" fillId="29" borderId="1" xfId="15" applyNumberFormat="1" applyFont="1" applyFill="1" applyBorder="1" applyAlignment="1">
      <alignment horizontal="right" vertical="center"/>
    </xf>
    <xf numFmtId="4" fontId="2" fillId="0" borderId="1" xfId="15" applyNumberFormat="1" applyFont="1" applyBorder="1" applyAlignment="1">
      <alignment vertical="center"/>
    </xf>
    <xf numFmtId="173" fontId="2" fillId="0" borderId="1" xfId="15" applyNumberFormat="1" applyFont="1" applyFill="1" applyBorder="1" applyAlignment="1">
      <alignment vertical="center"/>
    </xf>
    <xf numFmtId="4" fontId="2" fillId="0" borderId="1" xfId="15" applyNumberFormat="1" applyFont="1" applyFill="1" applyBorder="1" applyAlignment="1">
      <alignment vertical="center"/>
    </xf>
    <xf numFmtId="165" fontId="63" fillId="0" borderId="1" xfId="15" applyFont="1" applyFill="1" applyBorder="1" applyAlignment="1" applyProtection="1">
      <alignment horizontal="center" vertical="center" wrapText="1"/>
      <protection locked="0"/>
    </xf>
    <xf numFmtId="165" fontId="21" fillId="0" borderId="1" xfId="15" applyFont="1" applyFill="1" applyBorder="1" applyAlignment="1">
      <alignment horizontal="center" vertical="center" wrapText="1"/>
    </xf>
    <xf numFmtId="2" fontId="4" fillId="29" borderId="1" xfId="34" applyNumberFormat="1" applyFont="1" applyFill="1" applyBorder="1" applyAlignment="1">
      <alignment vertical="center"/>
    </xf>
    <xf numFmtId="165" fontId="8" fillId="29" borderId="1" xfId="15" applyFont="1" applyFill="1" applyBorder="1" applyAlignment="1" applyProtection="1">
      <alignment vertical="center"/>
      <protection locked="0"/>
    </xf>
    <xf numFmtId="0" fontId="8" fillId="29" borderId="1" xfId="30" applyFont="1" applyFill="1" applyBorder="1" applyAlignment="1">
      <alignment vertical="center"/>
    </xf>
    <xf numFmtId="166" fontId="8" fillId="29" borderId="1" xfId="15" applyNumberFormat="1" applyFont="1" applyFill="1" applyBorder="1" applyAlignment="1">
      <alignment horizontal="right" vertical="center"/>
    </xf>
    <xf numFmtId="165" fontId="8" fillId="29" borderId="1" xfId="15" applyFont="1" applyFill="1" applyBorder="1" applyAlignment="1" applyProtection="1">
      <alignment horizontal="right" vertical="center"/>
      <protection locked="0"/>
    </xf>
    <xf numFmtId="165" fontId="8" fillId="29" borderId="1" xfId="15" applyFont="1" applyFill="1" applyBorder="1" applyAlignment="1">
      <alignment horizontal="right" vertical="center"/>
    </xf>
    <xf numFmtId="0" fontId="3" fillId="29" borderId="1" xfId="30" applyFont="1" applyFill="1" applyBorder="1" applyAlignment="1">
      <alignment horizontal="center" vertical="center"/>
    </xf>
    <xf numFmtId="166" fontId="3" fillId="29" borderId="1" xfId="15" applyNumberFormat="1" applyFont="1" applyFill="1" applyBorder="1" applyAlignment="1">
      <alignment vertical="center"/>
    </xf>
    <xf numFmtId="0" fontId="8" fillId="0" borderId="1" xfId="30" applyFont="1" applyBorder="1" applyAlignment="1">
      <alignment vertical="center" wrapText="1"/>
    </xf>
    <xf numFmtId="0" fontId="5" fillId="9" borderId="26" xfId="12" applyFont="1" applyFill="1" applyBorder="1">
      <alignment horizontal="left" vertical="top" wrapText="1" readingOrder="1"/>
    </xf>
    <xf numFmtId="0" fontId="5" fillId="9" borderId="27" xfId="12" applyFont="1" applyFill="1" applyBorder="1" applyAlignment="1">
      <alignment vertical="top" wrapText="1" readingOrder="1"/>
    </xf>
    <xf numFmtId="4" fontId="4" fillId="9" borderId="27" xfId="10" applyNumberFormat="1" applyFont="1" applyFill="1" applyBorder="1" applyAlignment="1">
      <alignment horizontal="center" vertical="center"/>
    </xf>
    <xf numFmtId="2" fontId="4" fillId="9" borderId="27" xfId="10" applyNumberFormat="1" applyFont="1" applyFill="1" applyBorder="1" applyAlignment="1">
      <alignment horizontal="right" vertical="center"/>
    </xf>
    <xf numFmtId="4" fontId="4" fillId="9" borderId="27" xfId="10" applyNumberFormat="1" applyFont="1" applyFill="1" applyBorder="1" applyAlignment="1" applyProtection="1">
      <alignment horizontal="right" vertical="center"/>
      <protection locked="0"/>
    </xf>
    <xf numFmtId="49" fontId="17" fillId="0" borderId="1" xfId="11" applyNumberFormat="1" applyFont="1" applyBorder="1" applyAlignment="1">
      <alignment horizontal="left" vertical="top" wrapText="1"/>
    </xf>
    <xf numFmtId="170" fontId="4" fillId="0" borderId="1" xfId="21" applyNumberFormat="1" applyFont="1" applyBorder="1" applyAlignment="1">
      <alignment horizontal="center" vertical="center"/>
    </xf>
    <xf numFmtId="2" fontId="4" fillId="0" borderId="1" xfId="21" applyNumberFormat="1" applyFont="1" applyBorder="1" applyAlignment="1">
      <alignment horizontal="right" vertical="center"/>
    </xf>
    <xf numFmtId="2" fontId="4" fillId="0" borderId="1" xfId="21" applyNumberFormat="1" applyFont="1" applyBorder="1" applyAlignment="1" applyProtection="1">
      <alignment horizontal="right" vertical="center"/>
      <protection locked="0"/>
    </xf>
    <xf numFmtId="2" fontId="4" fillId="0" borderId="1" xfId="11" applyNumberFormat="1" applyFont="1" applyBorder="1" applyAlignment="1" applyProtection="1">
      <alignment horizontal="right" wrapText="1"/>
      <protection locked="0"/>
    </xf>
    <xf numFmtId="0" fontId="17" fillId="0" borderId="1" xfId="11" applyFont="1" applyBorder="1" applyAlignment="1">
      <alignment horizontal="center" vertical="center" wrapText="1"/>
    </xf>
    <xf numFmtId="2" fontId="17" fillId="0" borderId="1" xfId="11" applyNumberFormat="1" applyFont="1" applyBorder="1" applyAlignment="1">
      <alignment horizontal="right" vertical="center" wrapText="1"/>
    </xf>
    <xf numFmtId="0" fontId="17" fillId="0" borderId="1" xfId="11" applyFont="1" applyBorder="1" applyAlignment="1" applyProtection="1">
      <alignment horizontal="right" vertical="center" wrapText="1"/>
      <protection locked="0"/>
    </xf>
    <xf numFmtId="0" fontId="17" fillId="0" borderId="1" xfId="11" applyFont="1" applyBorder="1" applyAlignment="1" applyProtection="1">
      <alignment horizontal="right" wrapText="1"/>
      <protection locked="0"/>
    </xf>
    <xf numFmtId="170" fontId="5" fillId="0" borderId="1" xfId="21" applyNumberFormat="1" applyFont="1" applyBorder="1" applyAlignment="1">
      <alignment vertical="top" wrapText="1"/>
    </xf>
    <xf numFmtId="4" fontId="4" fillId="0" borderId="1" xfId="10" applyNumberFormat="1" applyFont="1" applyBorder="1" applyAlignment="1">
      <alignment horizontal="center" vertical="center"/>
    </xf>
    <xf numFmtId="2" fontId="4" fillId="0" borderId="1" xfId="10" applyNumberFormat="1" applyFont="1" applyBorder="1" applyAlignment="1">
      <alignment horizontal="right" vertical="center"/>
    </xf>
    <xf numFmtId="4" fontId="4" fillId="0" borderId="1" xfId="10" applyNumberFormat="1" applyFont="1" applyBorder="1" applyAlignment="1" applyProtection="1">
      <alignment horizontal="right" vertical="center"/>
      <protection locked="0"/>
    </xf>
    <xf numFmtId="165" fontId="4" fillId="9" borderId="40" xfId="2" applyFont="1" applyFill="1" applyBorder="1" applyAlignment="1">
      <alignment vertical="center"/>
    </xf>
    <xf numFmtId="49" fontId="5" fillId="9" borderId="1" xfId="11" applyNumberFormat="1" applyFont="1" applyFill="1" applyBorder="1" applyAlignment="1">
      <alignment horizontal="left" vertical="top" wrapText="1"/>
    </xf>
    <xf numFmtId="170" fontId="5" fillId="9" borderId="1" xfId="21" applyNumberFormat="1" applyFont="1" applyFill="1" applyBorder="1" applyAlignment="1">
      <alignment vertical="top" wrapText="1"/>
    </xf>
    <xf numFmtId="0" fontId="17" fillId="9" borderId="1" xfId="11" applyFont="1" applyFill="1" applyBorder="1" applyAlignment="1">
      <alignment horizontal="center" vertical="center" wrapText="1"/>
    </xf>
    <xf numFmtId="2" fontId="17" fillId="9" borderId="1" xfId="11" applyNumberFormat="1" applyFont="1" applyFill="1" applyBorder="1" applyAlignment="1">
      <alignment horizontal="right" vertical="center" wrapText="1"/>
    </xf>
    <xf numFmtId="0" fontId="17" fillId="9" borderId="1" xfId="11" applyFont="1" applyFill="1" applyBorder="1" applyAlignment="1" applyProtection="1">
      <alignment horizontal="right" vertical="center" wrapText="1"/>
      <protection locked="0"/>
    </xf>
    <xf numFmtId="0" fontId="17" fillId="9" borderId="1" xfId="11" applyFont="1" applyFill="1" applyBorder="1" applyAlignment="1" applyProtection="1">
      <alignment horizontal="right" wrapText="1"/>
      <protection locked="0"/>
    </xf>
    <xf numFmtId="49" fontId="17" fillId="9" borderId="1" xfId="11" applyNumberFormat="1" applyFont="1" applyFill="1" applyBorder="1" applyAlignment="1">
      <alignment horizontal="left" vertical="top" wrapText="1"/>
    </xf>
    <xf numFmtId="0" fontId="17" fillId="9" borderId="1" xfId="11" applyFont="1" applyFill="1" applyBorder="1" applyAlignment="1">
      <alignment vertical="top" wrapText="1"/>
    </xf>
    <xf numFmtId="0" fontId="56" fillId="9" borderId="1" xfId="5" applyFont="1" applyFill="1" applyBorder="1" applyAlignment="1">
      <alignment horizontal="left" vertical="center" wrapText="1"/>
    </xf>
    <xf numFmtId="170" fontId="4" fillId="9" borderId="1" xfId="21" applyNumberFormat="1" applyFont="1" applyFill="1" applyBorder="1" applyAlignment="1">
      <alignment horizontal="center" vertical="center"/>
    </xf>
    <xf numFmtId="2" fontId="4" fillId="9" borderId="1" xfId="21" applyNumberFormat="1" applyFont="1" applyFill="1" applyBorder="1" applyAlignment="1">
      <alignment horizontal="right" vertical="center"/>
    </xf>
    <xf numFmtId="165" fontId="4" fillId="9" borderId="1" xfId="21" applyNumberFormat="1" applyFont="1" applyFill="1" applyBorder="1" applyAlignment="1" applyProtection="1">
      <alignment horizontal="right" vertical="center"/>
      <protection locked="0"/>
    </xf>
    <xf numFmtId="0" fontId="4" fillId="9" borderId="1" xfId="14" applyFont="1" applyFill="1" applyBorder="1" applyAlignment="1">
      <alignment horizontal="justify" vertical="top" wrapText="1"/>
    </xf>
    <xf numFmtId="0" fontId="50" fillId="9" borderId="1" xfId="14" applyFont="1" applyFill="1" applyBorder="1" applyAlignment="1">
      <alignment horizontal="left" vertical="center" wrapText="1"/>
    </xf>
    <xf numFmtId="2" fontId="4" fillId="9" borderId="1" xfId="21" applyNumberFormat="1" applyFont="1" applyFill="1" applyBorder="1" applyAlignment="1" applyProtection="1">
      <alignment horizontal="right" vertical="center"/>
      <protection locked="0"/>
    </xf>
    <xf numFmtId="170" fontId="4" fillId="9" borderId="1" xfId="21" applyNumberFormat="1" applyFont="1" applyFill="1" applyBorder="1" applyAlignment="1">
      <alignment vertical="top" wrapText="1"/>
    </xf>
    <xf numFmtId="2" fontId="4" fillId="9" borderId="1" xfId="11" applyNumberFormat="1" applyFont="1" applyFill="1" applyBorder="1" applyAlignment="1" applyProtection="1">
      <alignment horizontal="right" wrapText="1"/>
      <protection locked="0"/>
    </xf>
    <xf numFmtId="0" fontId="2" fillId="0" borderId="0" xfId="1" applyFont="1" applyFill="1"/>
    <xf numFmtId="170" fontId="4" fillId="9" borderId="1" xfId="21" applyNumberFormat="1" applyFont="1" applyFill="1" applyBorder="1" applyAlignment="1">
      <alignment horizontal="left" vertical="top" wrapText="1"/>
    </xf>
    <xf numFmtId="0" fontId="4" fillId="9" borderId="1" xfId="10" applyFont="1" applyFill="1" applyBorder="1" applyAlignment="1" applyProtection="1">
      <alignment vertical="center"/>
      <protection locked="0"/>
    </xf>
    <xf numFmtId="172" fontId="56" fillId="9" borderId="1" xfId="24" applyNumberFormat="1" applyFont="1" applyFill="1" applyBorder="1" applyAlignment="1">
      <alignment horizontal="left" vertical="center" wrapText="1"/>
    </xf>
    <xf numFmtId="0" fontId="56" fillId="9" borderId="1" xfId="14" applyFont="1" applyFill="1" applyBorder="1" applyAlignment="1">
      <alignment horizontal="left" vertical="center" wrapText="1"/>
    </xf>
    <xf numFmtId="0" fontId="52" fillId="9" borderId="1" xfId="25" applyFont="1" applyFill="1" applyBorder="1" applyAlignment="1">
      <alignment horizontal="left" vertical="center" wrapText="1"/>
    </xf>
    <xf numFmtId="49" fontId="4" fillId="9" borderId="1" xfId="10" applyNumberFormat="1" applyFont="1" applyFill="1" applyBorder="1" applyAlignment="1" applyProtection="1">
      <alignment horizontal="left" vertical="top"/>
      <protection locked="0"/>
    </xf>
    <xf numFmtId="0" fontId="4" fillId="9" borderId="1" xfId="10" applyFont="1" applyFill="1" applyBorder="1" applyAlignment="1" applyProtection="1">
      <alignment vertical="top" wrapText="1"/>
      <protection locked="0"/>
    </xf>
    <xf numFmtId="4" fontId="4" fillId="9" borderId="1" xfId="10" applyNumberFormat="1" applyFont="1" applyFill="1" applyBorder="1" applyAlignment="1" applyProtection="1">
      <alignment horizontal="center" vertical="center"/>
      <protection locked="0"/>
    </xf>
    <xf numFmtId="2" fontId="4" fillId="9" borderId="1" xfId="10" applyNumberFormat="1" applyFont="1" applyFill="1" applyBorder="1" applyAlignment="1" applyProtection="1">
      <alignment horizontal="right" vertical="center"/>
      <protection locked="0"/>
    </xf>
    <xf numFmtId="4" fontId="4" fillId="9" borderId="1" xfId="10" applyNumberFormat="1" applyFont="1" applyFill="1" applyBorder="1" applyAlignment="1" applyProtection="1">
      <alignment horizontal="right" vertical="center"/>
      <protection locked="0"/>
    </xf>
    <xf numFmtId="4" fontId="4" fillId="9" borderId="1" xfId="10" applyNumberFormat="1" applyFont="1" applyFill="1" applyBorder="1" applyAlignment="1" applyProtection="1">
      <alignment horizontal="right"/>
      <protection locked="0"/>
    </xf>
    <xf numFmtId="0" fontId="4" fillId="9" borderId="1" xfId="10" applyFont="1" applyFill="1" applyBorder="1" applyAlignment="1" applyProtection="1">
      <alignment horizontal="left" vertical="top" wrapText="1"/>
      <protection locked="0"/>
    </xf>
    <xf numFmtId="0" fontId="4" fillId="9" borderId="1" xfId="10" applyFont="1" applyFill="1" applyBorder="1" applyAlignment="1" applyProtection="1">
      <alignment vertical="center" wrapText="1"/>
      <protection locked="0"/>
    </xf>
    <xf numFmtId="0" fontId="4" fillId="9" borderId="1" xfId="10" applyFont="1" applyFill="1" applyBorder="1" applyAlignment="1" applyProtection="1">
      <alignment wrapText="1"/>
      <protection locked="0"/>
    </xf>
    <xf numFmtId="0" fontId="49" fillId="9" borderId="1" xfId="14" applyFont="1" applyFill="1" applyBorder="1" applyAlignment="1">
      <alignment horizontal="left" vertical="center" wrapText="1"/>
    </xf>
    <xf numFmtId="0" fontId="4" fillId="9" borderId="1" xfId="11" applyFont="1" applyFill="1" applyBorder="1" applyAlignment="1">
      <alignment wrapText="1"/>
    </xf>
    <xf numFmtId="0" fontId="53" fillId="9" borderId="1" xfId="5" applyFont="1" applyFill="1" applyBorder="1" applyAlignment="1">
      <alignment horizontal="left" vertical="center" wrapText="1"/>
    </xf>
    <xf numFmtId="1" fontId="4" fillId="9" borderId="1" xfId="11" applyNumberFormat="1" applyFont="1" applyFill="1" applyBorder="1" applyAlignment="1">
      <alignment vertical="top" wrapText="1"/>
    </xf>
    <xf numFmtId="0" fontId="23" fillId="9" borderId="1" xfId="11" applyFont="1" applyFill="1" applyBorder="1" applyAlignment="1" applyProtection="1">
      <alignment vertical="top" wrapText="1"/>
      <protection locked="0"/>
    </xf>
    <xf numFmtId="0" fontId="17" fillId="9" borderId="1" xfId="11" applyFont="1" applyFill="1" applyBorder="1" applyAlignment="1" applyProtection="1">
      <alignment vertical="top" wrapText="1"/>
      <protection locked="0"/>
    </xf>
    <xf numFmtId="0" fontId="49" fillId="9" borderId="1" xfId="12" applyFont="1" applyFill="1" applyBorder="1" applyAlignment="1">
      <alignment horizontal="left" vertical="center" wrapText="1" readingOrder="1"/>
    </xf>
    <xf numFmtId="170" fontId="4" fillId="9" borderId="1" xfId="22" applyNumberFormat="1" applyFont="1" applyFill="1" applyBorder="1" applyAlignment="1">
      <alignment horizontal="left" vertical="top" wrapText="1"/>
    </xf>
    <xf numFmtId="0" fontId="4" fillId="9" borderId="1" xfId="5" applyFont="1" applyFill="1" applyBorder="1" applyAlignment="1">
      <alignment horizontal="left" vertical="center" wrapText="1"/>
    </xf>
    <xf numFmtId="49" fontId="17" fillId="9" borderId="1" xfId="11" applyNumberFormat="1" applyFont="1" applyFill="1" applyBorder="1" applyAlignment="1">
      <alignment horizontal="left" vertical="center" wrapText="1"/>
    </xf>
    <xf numFmtId="170" fontId="4" fillId="9" borderId="1" xfId="21" applyNumberFormat="1" applyFont="1" applyFill="1" applyBorder="1" applyAlignment="1">
      <alignment horizontal="left" vertical="center" wrapText="1"/>
    </xf>
    <xf numFmtId="0" fontId="2" fillId="9" borderId="1" xfId="1" applyFont="1" applyFill="1" applyBorder="1"/>
    <xf numFmtId="0" fontId="4" fillId="9" borderId="1" xfId="23" applyNumberFormat="1" applyFont="1" applyFill="1" applyBorder="1" applyAlignment="1">
      <alignment horizontal="left" vertical="center" wrapText="1"/>
    </xf>
    <xf numFmtId="165" fontId="4" fillId="23" borderId="1" xfId="15" applyFont="1" applyFill="1" applyBorder="1" applyAlignment="1">
      <alignment vertical="center"/>
    </xf>
    <xf numFmtId="0" fontId="17" fillId="0" borderId="1" xfId="38" applyFont="1" applyBorder="1" applyAlignment="1" applyProtection="1">
      <alignment horizontal="right" vertical="center" wrapText="1"/>
      <protection locked="0"/>
    </xf>
    <xf numFmtId="2" fontId="4" fillId="0" borderId="1" xfId="38" applyNumberFormat="1" applyFont="1" applyBorder="1" applyAlignment="1" applyProtection="1">
      <alignment horizontal="right" wrapText="1"/>
      <protection locked="0"/>
    </xf>
    <xf numFmtId="49" fontId="17" fillId="0" borderId="1" xfId="38" applyNumberFormat="1" applyFont="1" applyBorder="1" applyAlignment="1">
      <alignment horizontal="left" vertical="top" wrapText="1"/>
    </xf>
    <xf numFmtId="0" fontId="17" fillId="0" borderId="1" xfId="38" applyFont="1" applyBorder="1" applyAlignment="1" applyProtection="1">
      <alignment horizontal="right" wrapText="1"/>
      <protection locked="0"/>
    </xf>
    <xf numFmtId="170" fontId="4" fillId="0" borderId="1" xfId="34" applyNumberFormat="1" applyFont="1" applyFill="1" applyBorder="1" applyAlignment="1">
      <alignment horizontal="center" vertical="center"/>
    </xf>
    <xf numFmtId="2" fontId="4" fillId="0" borderId="1" xfId="34" applyNumberFormat="1" applyFont="1" applyFill="1" applyBorder="1" applyAlignment="1">
      <alignment horizontal="right" vertical="center"/>
    </xf>
    <xf numFmtId="2" fontId="4" fillId="0" borderId="1" xfId="34" applyNumberFormat="1" applyFont="1" applyFill="1" applyBorder="1" applyAlignment="1" applyProtection="1">
      <alignment horizontal="right" vertical="center"/>
      <protection locked="0"/>
    </xf>
    <xf numFmtId="0" fontId="17" fillId="0" borderId="1" xfId="38" applyFont="1" applyBorder="1" applyAlignment="1">
      <alignment vertical="top" wrapText="1"/>
    </xf>
    <xf numFmtId="0" fontId="17" fillId="0" borderId="1" xfId="38" applyFont="1" applyBorder="1" applyAlignment="1">
      <alignment horizontal="center" vertical="center" wrapText="1"/>
    </xf>
    <xf numFmtId="2" fontId="17" fillId="0" borderId="1" xfId="38" applyNumberFormat="1" applyFont="1" applyBorder="1" applyAlignment="1">
      <alignment horizontal="right" vertical="center" wrapText="1"/>
    </xf>
    <xf numFmtId="2" fontId="4" fillId="0" borderId="1" xfId="38" applyNumberFormat="1" applyFont="1" applyBorder="1" applyAlignment="1" applyProtection="1">
      <alignment horizontal="right" vertical="center" wrapText="1"/>
      <protection locked="0"/>
    </xf>
    <xf numFmtId="49" fontId="5" fillId="2" borderId="1" xfId="38" applyNumberFormat="1" applyFont="1" applyFill="1" applyBorder="1" applyAlignment="1">
      <alignment horizontal="left" vertical="top" wrapText="1"/>
    </xf>
    <xf numFmtId="0" fontId="17" fillId="2" borderId="1" xfId="38" applyFont="1" applyFill="1" applyBorder="1" applyAlignment="1">
      <alignment horizontal="center" vertical="center" wrapText="1"/>
    </xf>
    <xf numFmtId="2" fontId="17" fillId="2" borderId="1" xfId="38" applyNumberFormat="1" applyFont="1" applyFill="1" applyBorder="1" applyAlignment="1">
      <alignment horizontal="right" vertical="center" wrapText="1"/>
    </xf>
    <xf numFmtId="0" fontId="17" fillId="2" borderId="1" xfId="38" applyFont="1" applyFill="1" applyBorder="1" applyAlignment="1" applyProtection="1">
      <alignment horizontal="right" vertical="center" wrapText="1"/>
      <protection locked="0"/>
    </xf>
    <xf numFmtId="0" fontId="17" fillId="2" borderId="1" xfId="38" applyFont="1" applyFill="1" applyBorder="1" applyAlignment="1" applyProtection="1">
      <alignment horizontal="right" wrapText="1"/>
      <protection locked="0"/>
    </xf>
    <xf numFmtId="49" fontId="4" fillId="2" borderId="1" xfId="10" applyNumberFormat="1" applyFont="1" applyFill="1" applyBorder="1" applyAlignment="1" applyProtection="1">
      <alignment horizontal="left" vertical="top"/>
      <protection locked="0"/>
    </xf>
    <xf numFmtId="4" fontId="4" fillId="2" borderId="1" xfId="10" applyNumberFormat="1" applyFont="1" applyFill="1" applyBorder="1" applyAlignment="1" applyProtection="1">
      <alignment horizontal="center" vertical="center"/>
      <protection locked="0"/>
    </xf>
    <xf numFmtId="2" fontId="4" fillId="2" borderId="1" xfId="10" applyNumberFormat="1" applyFont="1" applyFill="1" applyBorder="1" applyAlignment="1" applyProtection="1">
      <alignment horizontal="right" vertical="center"/>
      <protection locked="0"/>
    </xf>
    <xf numFmtId="4" fontId="4" fillId="2" borderId="1" xfId="10" applyNumberFormat="1" applyFont="1" applyFill="1" applyBorder="1" applyAlignment="1" applyProtection="1">
      <alignment horizontal="right" vertical="center"/>
      <protection locked="0"/>
    </xf>
    <xf numFmtId="4" fontId="4" fillId="2" borderId="1" xfId="10" applyNumberFormat="1" applyFont="1" applyFill="1" applyBorder="1" applyAlignment="1" applyProtection="1">
      <alignment horizontal="right"/>
      <protection locked="0"/>
    </xf>
    <xf numFmtId="49" fontId="17" fillId="2" borderId="1" xfId="38" applyNumberFormat="1" applyFont="1" applyFill="1" applyBorder="1" applyAlignment="1">
      <alignment horizontal="left" vertical="top" wrapText="1"/>
    </xf>
    <xf numFmtId="0" fontId="4" fillId="2" borderId="1" xfId="10" applyFont="1" applyFill="1" applyBorder="1" applyAlignment="1" applyProtection="1">
      <alignment horizontal="left" vertical="top" wrapText="1"/>
      <protection locked="0"/>
    </xf>
    <xf numFmtId="165" fontId="4" fillId="2" borderId="1" xfId="34" applyNumberFormat="1" applyFont="1" applyFill="1" applyBorder="1" applyAlignment="1" applyProtection="1">
      <alignment horizontal="right" vertical="center"/>
      <protection locked="0"/>
    </xf>
    <xf numFmtId="165" fontId="4" fillId="2" borderId="1" xfId="15" applyFont="1" applyFill="1" applyBorder="1" applyAlignment="1">
      <alignment vertical="center"/>
    </xf>
    <xf numFmtId="2" fontId="4" fillId="2" borderId="1" xfId="38" applyNumberFormat="1" applyFont="1" applyFill="1" applyBorder="1" applyAlignment="1" applyProtection="1">
      <alignment horizontal="right" vertical="center" wrapText="1"/>
      <protection locked="0"/>
    </xf>
    <xf numFmtId="0" fontId="4" fillId="2" borderId="1" xfId="10" applyFont="1" applyFill="1" applyBorder="1" applyAlignment="1" applyProtection="1">
      <alignment vertical="center" wrapText="1"/>
      <protection locked="0"/>
    </xf>
    <xf numFmtId="0" fontId="4" fillId="2" borderId="1" xfId="10" applyFont="1" applyFill="1" applyBorder="1" applyProtection="1">
      <protection locked="0"/>
    </xf>
    <xf numFmtId="0" fontId="4" fillId="2" borderId="1" xfId="10" applyFont="1" applyFill="1" applyBorder="1" applyAlignment="1" applyProtection="1">
      <alignment wrapText="1"/>
      <protection locked="0"/>
    </xf>
    <xf numFmtId="0" fontId="17" fillId="2" borderId="1" xfId="38" applyFont="1" applyFill="1" applyBorder="1" applyAlignment="1">
      <alignment vertical="top" wrapText="1"/>
    </xf>
    <xf numFmtId="4" fontId="4" fillId="2" borderId="1" xfId="15" applyNumberFormat="1" applyFont="1" applyFill="1" applyBorder="1" applyAlignment="1">
      <alignment vertical="center"/>
    </xf>
    <xf numFmtId="49" fontId="17" fillId="2" borderId="1" xfId="38" applyNumberFormat="1" applyFont="1" applyFill="1" applyBorder="1" applyAlignment="1">
      <alignment horizontal="left" vertical="center" wrapText="1"/>
    </xf>
    <xf numFmtId="0" fontId="4" fillId="2" borderId="1" xfId="10" applyFont="1" applyFill="1" applyBorder="1" applyAlignment="1" applyProtection="1">
      <alignment vertical="center"/>
      <protection locked="0"/>
    </xf>
    <xf numFmtId="172" fontId="61" fillId="2" borderId="1" xfId="39" applyNumberFormat="1" applyFont="1" applyFill="1" applyBorder="1" applyAlignment="1">
      <alignment horizontal="left" vertical="center" wrapText="1"/>
    </xf>
    <xf numFmtId="0" fontId="75" fillId="2" borderId="1" xfId="25" applyFont="1" applyFill="1" applyBorder="1" applyAlignment="1">
      <alignment horizontal="left" vertical="center" wrapText="1"/>
    </xf>
    <xf numFmtId="170" fontId="4" fillId="2" borderId="1" xfId="34" applyNumberFormat="1" applyFont="1" applyFill="1" applyBorder="1" applyAlignment="1">
      <alignment horizontal="left" vertical="top" wrapText="1"/>
    </xf>
    <xf numFmtId="2" fontId="4" fillId="2" borderId="1" xfId="38" applyNumberFormat="1" applyFont="1" applyFill="1" applyBorder="1" applyAlignment="1" applyProtection="1">
      <alignment horizontal="right" wrapText="1"/>
      <protection locked="0"/>
    </xf>
    <xf numFmtId="0" fontId="61" fillId="2" borderId="1" xfId="30" applyFont="1" applyFill="1" applyBorder="1" applyAlignment="1">
      <alignment horizontal="left" vertical="center" wrapText="1"/>
    </xf>
    <xf numFmtId="0" fontId="81" fillId="2" borderId="1" xfId="14" applyFont="1" applyFill="1" applyBorder="1" applyAlignment="1">
      <alignment horizontal="left" vertical="center" wrapText="1"/>
    </xf>
    <xf numFmtId="1" fontId="4" fillId="2" borderId="1" xfId="38" applyNumberFormat="1" applyFont="1" applyFill="1" applyBorder="1" applyAlignment="1">
      <alignment vertical="top" wrapText="1"/>
    </xf>
    <xf numFmtId="0" fontId="23" fillId="2" borderId="1" xfId="38" applyFont="1" applyFill="1" applyBorder="1" applyAlignment="1" applyProtection="1">
      <alignment vertical="top" wrapText="1"/>
      <protection locked="0"/>
    </xf>
    <xf numFmtId="0" fontId="17" fillId="2" borderId="1" xfId="38" applyFont="1" applyFill="1" applyBorder="1" applyAlignment="1" applyProtection="1">
      <alignment vertical="top" wrapText="1"/>
      <protection locked="0"/>
    </xf>
    <xf numFmtId="49" fontId="46" fillId="2" borderId="1" xfId="38" applyNumberFormat="1" applyFont="1" applyFill="1" applyBorder="1" applyAlignment="1">
      <alignment horizontal="left" vertical="top" wrapText="1"/>
    </xf>
    <xf numFmtId="170" fontId="46" fillId="2" borderId="1" xfId="34" applyNumberFormat="1" applyFont="1" applyFill="1" applyBorder="1" applyAlignment="1">
      <alignment horizontal="left" vertical="top" wrapText="1"/>
    </xf>
    <xf numFmtId="170" fontId="47" fillId="2" borderId="1" xfId="34" applyNumberFormat="1" applyFont="1" applyFill="1" applyBorder="1" applyAlignment="1">
      <alignment horizontal="center" vertical="center"/>
    </xf>
    <xf numFmtId="2" fontId="47" fillId="2" borderId="1" xfId="34" applyNumberFormat="1" applyFont="1" applyFill="1" applyBorder="1" applyAlignment="1">
      <alignment horizontal="right" vertical="center"/>
    </xf>
    <xf numFmtId="170" fontId="48" fillId="2" borderId="1" xfId="34" applyNumberFormat="1" applyFont="1" applyFill="1" applyBorder="1" applyAlignment="1">
      <alignment horizontal="center" vertical="center"/>
    </xf>
    <xf numFmtId="2" fontId="48" fillId="2" borderId="1" xfId="34" applyNumberFormat="1" applyFont="1" applyFill="1" applyBorder="1" applyAlignment="1">
      <alignment horizontal="right" vertical="center"/>
    </xf>
    <xf numFmtId="170" fontId="4" fillId="2" borderId="1" xfId="15" applyNumberFormat="1" applyFont="1" applyFill="1" applyBorder="1" applyAlignment="1">
      <alignment horizontal="left" vertical="top" wrapText="1"/>
    </xf>
    <xf numFmtId="0" fontId="4" fillId="2" borderId="1" xfId="30" applyFont="1" applyFill="1" applyBorder="1" applyAlignment="1">
      <alignment horizontal="left" wrapText="1"/>
    </xf>
    <xf numFmtId="170" fontId="4" fillId="2" borderId="1" xfId="34" applyNumberFormat="1" applyFont="1" applyFill="1" applyBorder="1" applyAlignment="1">
      <alignment horizontal="left" vertical="center" wrapText="1"/>
    </xf>
    <xf numFmtId="0" fontId="4" fillId="2" borderId="1" xfId="26" applyNumberFormat="1" applyFont="1" applyFill="1" applyBorder="1" applyAlignment="1">
      <alignment horizontal="left" vertical="center" wrapText="1"/>
    </xf>
    <xf numFmtId="0" fontId="6" fillId="2" borderId="1" xfId="30" applyFont="1" applyFill="1" applyBorder="1" applyAlignment="1">
      <alignment horizontal="center" vertical="top"/>
    </xf>
    <xf numFmtId="0" fontId="5" fillId="2" borderId="1" xfId="30" applyFont="1" applyFill="1" applyBorder="1" applyAlignment="1">
      <alignment vertical="top"/>
    </xf>
    <xf numFmtId="0" fontId="5" fillId="2" borderId="1" xfId="30" applyFont="1" applyFill="1" applyBorder="1" applyAlignment="1">
      <alignment vertical="center"/>
    </xf>
    <xf numFmtId="166" fontId="5" fillId="2" borderId="1" xfId="15" applyNumberFormat="1" applyFont="1" applyFill="1" applyBorder="1" applyAlignment="1">
      <alignment vertical="center"/>
    </xf>
    <xf numFmtId="4" fontId="5" fillId="2" borderId="1" xfId="15" applyNumberFormat="1" applyFont="1" applyFill="1" applyBorder="1" applyAlignment="1" applyProtection="1">
      <alignment vertical="center"/>
      <protection locked="0"/>
    </xf>
    <xf numFmtId="0" fontId="17" fillId="0" borderId="1" xfId="40" applyFont="1" applyBorder="1" applyAlignment="1" applyProtection="1">
      <alignment horizontal="right" vertical="center" wrapText="1"/>
      <protection locked="0"/>
    </xf>
    <xf numFmtId="2" fontId="4" fillId="0" borderId="1" xfId="40" applyNumberFormat="1" applyFont="1" applyBorder="1" applyAlignment="1" applyProtection="1">
      <alignment horizontal="right" vertical="center" wrapText="1"/>
      <protection locked="0"/>
    </xf>
    <xf numFmtId="49" fontId="17" fillId="0" borderId="1" xfId="40" applyNumberFormat="1" applyFont="1" applyBorder="1" applyAlignment="1">
      <alignment horizontal="left" vertical="top" wrapText="1"/>
    </xf>
    <xf numFmtId="0" fontId="17" fillId="0" borderId="1" xfId="40" applyFont="1" applyBorder="1" applyAlignment="1">
      <alignment vertical="top" wrapText="1"/>
    </xf>
    <xf numFmtId="0" fontId="17" fillId="0" borderId="1" xfId="40" applyFont="1" applyBorder="1" applyAlignment="1">
      <alignment horizontal="center" vertical="center" wrapText="1"/>
    </xf>
    <xf numFmtId="2" fontId="17" fillId="0" borderId="1" xfId="40" applyNumberFormat="1" applyFont="1" applyBorder="1" applyAlignment="1">
      <alignment horizontal="right" vertical="center" wrapText="1"/>
    </xf>
    <xf numFmtId="4" fontId="5" fillId="0" borderId="1" xfId="10" applyNumberFormat="1" applyFont="1" applyBorder="1" applyAlignment="1" applyProtection="1">
      <alignment horizontal="right" vertical="center"/>
      <protection locked="0"/>
    </xf>
    <xf numFmtId="49" fontId="46" fillId="2" borderId="1" xfId="40" applyNumberFormat="1" applyFont="1" applyFill="1" applyBorder="1" applyAlignment="1">
      <alignment horizontal="left" vertical="top" wrapText="1"/>
    </xf>
    <xf numFmtId="0" fontId="17" fillId="2" borderId="1" xfId="40" applyFont="1" applyFill="1" applyBorder="1" applyAlignment="1" applyProtection="1">
      <alignment horizontal="right" vertical="center" wrapText="1"/>
      <protection locked="0"/>
    </xf>
    <xf numFmtId="49" fontId="17" fillId="2" borderId="1" xfId="40" applyNumberFormat="1" applyFont="1" applyFill="1" applyBorder="1" applyAlignment="1">
      <alignment horizontal="left" vertical="top" wrapText="1"/>
    </xf>
    <xf numFmtId="165" fontId="3" fillId="2" borderId="1" xfId="15" applyNumberFormat="1" applyFont="1" applyFill="1" applyBorder="1" applyAlignment="1">
      <alignment vertical="center"/>
    </xf>
    <xf numFmtId="4" fontId="3" fillId="2" borderId="1" xfId="15" applyNumberFormat="1" applyFont="1" applyFill="1" applyBorder="1" applyAlignment="1">
      <alignment vertical="center"/>
    </xf>
    <xf numFmtId="0" fontId="17" fillId="2" borderId="1" xfId="40" applyFont="1" applyFill="1" applyBorder="1" applyAlignment="1" applyProtection="1">
      <alignment vertical="top" wrapText="1"/>
      <protection locked="0"/>
    </xf>
    <xf numFmtId="165" fontId="3" fillId="2" borderId="1" xfId="15" applyFont="1" applyFill="1" applyBorder="1" applyAlignment="1">
      <alignment vertical="center"/>
    </xf>
    <xf numFmtId="2" fontId="4" fillId="2" borderId="1" xfId="40" applyNumberFormat="1" applyFont="1" applyFill="1" applyBorder="1" applyAlignment="1" applyProtection="1">
      <alignment horizontal="right" vertical="center" wrapText="1"/>
      <protection locked="0"/>
    </xf>
    <xf numFmtId="49" fontId="17" fillId="2" borderId="1" xfId="40" applyNumberFormat="1" applyFont="1" applyFill="1" applyBorder="1" applyAlignment="1">
      <alignment horizontal="left" vertical="center" wrapText="1"/>
    </xf>
    <xf numFmtId="0" fontId="4" fillId="2" borderId="1" xfId="30" applyFont="1" applyFill="1" applyBorder="1" applyAlignment="1">
      <alignment horizontal="left" vertical="center" wrapText="1"/>
    </xf>
    <xf numFmtId="1" fontId="4" fillId="2" borderId="1" xfId="40" applyNumberFormat="1" applyFont="1" applyFill="1" applyBorder="1" applyAlignment="1">
      <alignment vertical="top" wrapText="1"/>
    </xf>
    <xf numFmtId="0" fontId="17" fillId="2" borderId="1" xfId="40" applyFont="1" applyFill="1" applyBorder="1" applyAlignment="1">
      <alignment vertical="top" wrapText="1"/>
    </xf>
    <xf numFmtId="0" fontId="17" fillId="2" borderId="1" xfId="40" applyFont="1" applyFill="1" applyBorder="1" applyAlignment="1">
      <alignment horizontal="center" vertical="center" wrapText="1"/>
    </xf>
    <xf numFmtId="2" fontId="17" fillId="2" borderId="1" xfId="40" applyNumberFormat="1" applyFont="1" applyFill="1" applyBorder="1" applyAlignment="1">
      <alignment horizontal="right" vertical="center" wrapText="1"/>
    </xf>
    <xf numFmtId="49" fontId="5" fillId="2" borderId="1" xfId="40" applyNumberFormat="1" applyFont="1" applyFill="1" applyBorder="1" applyAlignment="1">
      <alignment horizontal="left" vertical="top" wrapText="1"/>
    </xf>
    <xf numFmtId="0" fontId="4" fillId="2" borderId="1" xfId="40" applyFont="1" applyFill="1" applyBorder="1" applyAlignment="1">
      <alignment wrapText="1"/>
    </xf>
    <xf numFmtId="0" fontId="23" fillId="2" borderId="1" xfId="40" applyFont="1" applyFill="1" applyBorder="1" applyAlignment="1" applyProtection="1">
      <alignment vertical="top" wrapText="1"/>
      <protection locked="0"/>
    </xf>
    <xf numFmtId="0" fontId="84" fillId="2" borderId="1" xfId="14" applyFont="1" applyFill="1" applyBorder="1" applyAlignment="1">
      <alignment horizontal="left" vertical="center" wrapText="1"/>
    </xf>
    <xf numFmtId="0" fontId="4" fillId="2" borderId="1" xfId="14" applyFont="1" applyFill="1" applyBorder="1" applyAlignment="1">
      <alignment horizontal="justify" vertical="justify" wrapText="1"/>
    </xf>
    <xf numFmtId="0" fontId="1" fillId="2" borderId="1" xfId="28" applyFill="1" applyBorder="1" applyAlignment="1">
      <alignment wrapText="1"/>
    </xf>
    <xf numFmtId="165" fontId="1" fillId="2" borderId="1" xfId="15" applyFont="1" applyFill="1" applyBorder="1" applyAlignment="1">
      <alignment horizontal="right"/>
    </xf>
    <xf numFmtId="165" fontId="3" fillId="2" borderId="1" xfId="15" applyFont="1" applyFill="1" applyBorder="1" applyAlignment="1" applyProtection="1">
      <alignment horizontal="right"/>
      <protection locked="0"/>
    </xf>
    <xf numFmtId="165" fontId="2" fillId="2" borderId="1" xfId="15" applyFont="1" applyFill="1" applyBorder="1" applyAlignment="1"/>
    <xf numFmtId="0" fontId="3" fillId="2" borderId="1" xfId="30" applyFont="1" applyFill="1" applyBorder="1" applyAlignment="1">
      <alignment vertical="top" wrapText="1"/>
    </xf>
    <xf numFmtId="0" fontId="3" fillId="2" borderId="1" xfId="30" applyFont="1" applyFill="1" applyBorder="1" applyAlignment="1">
      <alignment wrapText="1"/>
    </xf>
    <xf numFmtId="0" fontId="21" fillId="2" borderId="1" xfId="28" applyFont="1" applyFill="1" applyBorder="1" applyAlignment="1">
      <alignment vertical="center" wrapText="1"/>
    </xf>
    <xf numFmtId="0" fontId="21" fillId="2" borderId="1" xfId="28" applyFont="1" applyFill="1" applyBorder="1" applyAlignment="1">
      <alignment vertical="top" wrapText="1"/>
    </xf>
    <xf numFmtId="0" fontId="101" fillId="2" borderId="1" xfId="28" applyFont="1" applyFill="1" applyBorder="1" applyAlignment="1">
      <alignment wrapText="1"/>
    </xf>
    <xf numFmtId="0" fontId="101" fillId="0" borderId="1" xfId="28" applyFont="1" applyBorder="1" applyAlignment="1">
      <alignment wrapText="1"/>
    </xf>
    <xf numFmtId="0" fontId="101" fillId="2" borderId="1" xfId="28" applyFont="1" applyFill="1" applyBorder="1" applyAlignment="1">
      <alignment vertical="top" wrapText="1"/>
    </xf>
    <xf numFmtId="4" fontId="1" fillId="2" borderId="1" xfId="15" applyNumberFormat="1" applyFont="1" applyFill="1" applyBorder="1" applyAlignment="1">
      <alignment horizontal="center"/>
    </xf>
    <xf numFmtId="4" fontId="3" fillId="2" borderId="1" xfId="15" applyNumberFormat="1" applyFont="1" applyFill="1" applyBorder="1" applyAlignment="1" applyProtection="1">
      <alignment horizontal="center"/>
      <protection locked="0"/>
    </xf>
    <xf numFmtId="165" fontId="2" fillId="2" borderId="1" xfId="15" applyFont="1" applyFill="1" applyBorder="1" applyAlignment="1">
      <alignment horizontal="center"/>
    </xf>
    <xf numFmtId="0" fontId="21" fillId="2" borderId="1" xfId="28" applyFont="1" applyFill="1" applyBorder="1"/>
    <xf numFmtId="0" fontId="69" fillId="2" borderId="1" xfId="28" applyFont="1" applyFill="1" applyBorder="1"/>
    <xf numFmtId="4" fontId="69" fillId="2" borderId="1" xfId="15" applyNumberFormat="1" applyFont="1" applyFill="1" applyBorder="1" applyAlignment="1">
      <alignment horizontal="right"/>
    </xf>
    <xf numFmtId="4" fontId="8" fillId="2" borderId="1" xfId="15" applyNumberFormat="1" applyFont="1" applyFill="1" applyBorder="1" applyAlignment="1">
      <alignment horizontal="right"/>
    </xf>
    <xf numFmtId="0" fontId="21" fillId="2" borderId="1" xfId="28" applyFont="1" applyFill="1" applyBorder="1" applyAlignment="1">
      <alignment vertical="center"/>
    </xf>
    <xf numFmtId="0" fontId="1" fillId="2" borderId="1" xfId="28" applyFill="1" applyBorder="1" applyAlignment="1">
      <alignment vertical="top" wrapText="1"/>
    </xf>
    <xf numFmtId="0" fontId="21" fillId="2" borderId="1" xfId="28" applyFont="1" applyFill="1" applyBorder="1" applyAlignment="1">
      <alignment horizontal="justify" vertical="top" wrapText="1"/>
    </xf>
    <xf numFmtId="0" fontId="2" fillId="2" borderId="0" xfId="6" applyFont="1" applyFill="1"/>
    <xf numFmtId="165" fontId="2" fillId="0" borderId="0" xfId="39" applyFont="1" applyAlignment="1"/>
    <xf numFmtId="0" fontId="1" fillId="2" borderId="1" xfId="28" applyFill="1" applyBorder="1" applyAlignment="1">
      <alignment vertical="center"/>
    </xf>
    <xf numFmtId="0" fontId="17" fillId="2" borderId="1" xfId="0" applyFont="1" applyFill="1" applyBorder="1" applyAlignment="1">
      <alignment vertical="center" wrapText="1"/>
    </xf>
    <xf numFmtId="0" fontId="1" fillId="2" borderId="1" xfId="28" applyFill="1" applyBorder="1" applyAlignment="1">
      <alignment vertical="center" wrapText="1"/>
    </xf>
    <xf numFmtId="0" fontId="2" fillId="0" borderId="0" xfId="6" applyFont="1" applyFill="1"/>
    <xf numFmtId="0" fontId="17" fillId="0" borderId="0" xfId="0" applyFont="1" applyFill="1" applyBorder="1" applyAlignment="1">
      <alignment vertical="center" wrapText="1"/>
    </xf>
    <xf numFmtId="0" fontId="2" fillId="0" borderId="0" xfId="6" applyFont="1" applyFill="1" applyBorder="1"/>
    <xf numFmtId="165" fontId="4" fillId="9" borderId="1" xfId="39" applyFont="1" applyFill="1" applyBorder="1" applyAlignment="1" applyProtection="1">
      <alignment horizontal="right" vertical="center"/>
      <protection locked="0"/>
    </xf>
    <xf numFmtId="165" fontId="4" fillId="9" borderId="1" xfId="39" applyFont="1" applyFill="1" applyBorder="1" applyAlignment="1">
      <alignment vertical="center"/>
    </xf>
    <xf numFmtId="0" fontId="17" fillId="9" borderId="1" xfId="0" applyFont="1" applyFill="1" applyBorder="1" applyAlignment="1">
      <alignment vertical="center" wrapText="1"/>
    </xf>
    <xf numFmtId="0" fontId="17" fillId="9" borderId="1" xfId="0" applyFont="1" applyFill="1" applyBorder="1" applyAlignment="1">
      <alignment vertical="top" wrapText="1"/>
    </xf>
    <xf numFmtId="0" fontId="3" fillId="2" borderId="1" xfId="30" applyFont="1" applyFill="1" applyBorder="1" applyAlignment="1">
      <alignment horizontal="center" vertical="center"/>
    </xf>
    <xf numFmtId="166" fontId="3" fillId="2" borderId="1" xfId="15" applyNumberFormat="1" applyFont="1" applyFill="1" applyBorder="1" applyAlignment="1">
      <alignment vertical="center"/>
    </xf>
    <xf numFmtId="0" fontId="3" fillId="2" borderId="1" xfId="1" applyFont="1" applyFill="1" applyBorder="1" applyAlignment="1">
      <alignment vertical="top" wrapText="1"/>
    </xf>
    <xf numFmtId="0" fontId="3" fillId="2" borderId="1" xfId="1" applyFont="1" applyFill="1" applyBorder="1" applyAlignment="1">
      <alignment vertical="center"/>
    </xf>
    <xf numFmtId="166" fontId="3" fillId="2" borderId="1" xfId="3" applyNumberFormat="1" applyFont="1" applyFill="1" applyBorder="1" applyAlignment="1">
      <alignment horizontal="right" vertical="center"/>
    </xf>
    <xf numFmtId="0" fontId="3" fillId="2" borderId="1" xfId="1" applyFont="1" applyFill="1" applyBorder="1" applyAlignment="1">
      <alignment wrapText="1"/>
    </xf>
    <xf numFmtId="165" fontId="3" fillId="2" borderId="1" xfId="15" applyFont="1" applyFill="1" applyBorder="1" applyAlignment="1" applyProtection="1">
      <alignment vertical="center"/>
      <protection locked="0"/>
    </xf>
    <xf numFmtId="165" fontId="2" fillId="0" borderId="1" xfId="15" applyFont="1" applyBorder="1" applyAlignment="1" applyProtection="1">
      <alignment vertical="center"/>
      <protection locked="0"/>
    </xf>
    <xf numFmtId="165" fontId="2" fillId="0" borderId="0" xfId="15" applyFont="1" applyFill="1" applyBorder="1" applyAlignment="1">
      <alignment vertical="center"/>
    </xf>
    <xf numFmtId="165" fontId="6" fillId="0" borderId="0" xfId="15" applyFont="1" applyFill="1" applyBorder="1" applyAlignment="1">
      <alignment vertical="center"/>
    </xf>
    <xf numFmtId="165" fontId="2" fillId="0" borderId="1" xfId="15" applyFont="1" applyFill="1" applyBorder="1" applyAlignment="1" applyProtection="1">
      <alignment vertical="center" wrapText="1"/>
      <protection locked="0"/>
    </xf>
    <xf numFmtId="165" fontId="63" fillId="0" borderId="1" xfId="15" applyFont="1" applyFill="1" applyBorder="1" applyAlignment="1">
      <alignment vertical="center"/>
    </xf>
    <xf numFmtId="165" fontId="68" fillId="0" borderId="1" xfId="15" applyFont="1" applyBorder="1" applyAlignment="1">
      <alignment horizontal="center" vertical="center"/>
    </xf>
    <xf numFmtId="165" fontId="63" fillId="0" borderId="1" xfId="15" applyFont="1" applyFill="1" applyBorder="1" applyAlignment="1" applyProtection="1">
      <alignment vertical="center" wrapText="1"/>
      <protection locked="0"/>
    </xf>
    <xf numFmtId="4" fontId="3" fillId="29" borderId="1" xfId="15" applyNumberFormat="1" applyFont="1" applyFill="1" applyBorder="1" applyAlignment="1">
      <alignment horizontal="right" vertical="center"/>
    </xf>
    <xf numFmtId="4" fontId="3" fillId="0" borderId="1" xfId="15" applyNumberFormat="1" applyFont="1" applyFill="1" applyBorder="1" applyAlignment="1">
      <alignment horizontal="right" vertical="center"/>
    </xf>
    <xf numFmtId="4" fontId="8" fillId="0" borderId="1" xfId="15" applyNumberFormat="1" applyFont="1" applyFill="1" applyBorder="1" applyAlignment="1">
      <alignment horizontal="right" vertical="center"/>
    </xf>
    <xf numFmtId="4" fontId="3" fillId="2" borderId="1" xfId="15" applyNumberFormat="1" applyFont="1" applyFill="1" applyBorder="1" applyAlignment="1">
      <alignment horizontal="right" vertical="center"/>
    </xf>
    <xf numFmtId="4" fontId="8" fillId="29" borderId="1" xfId="15" applyNumberFormat="1" applyFont="1" applyFill="1" applyBorder="1" applyAlignment="1">
      <alignment horizontal="right" vertical="center"/>
    </xf>
    <xf numFmtId="4" fontId="3" fillId="11" borderId="1" xfId="15" applyNumberFormat="1" applyFont="1" applyFill="1" applyBorder="1" applyAlignment="1">
      <alignment horizontal="right" vertical="center"/>
    </xf>
    <xf numFmtId="4" fontId="8" fillId="30" borderId="1" xfId="15" applyNumberFormat="1" applyFont="1" applyFill="1" applyBorder="1" applyAlignment="1">
      <alignment horizontal="right" vertical="center"/>
    </xf>
    <xf numFmtId="165" fontId="6" fillId="0" borderId="10" xfId="15" applyFont="1" applyFill="1" applyBorder="1" applyAlignment="1">
      <alignment vertical="center"/>
    </xf>
    <xf numFmtId="0" fontId="6" fillId="23" borderId="1" xfId="30" applyFont="1" applyFill="1" applyBorder="1" applyAlignment="1">
      <alignment horizontal="center" vertical="top"/>
    </xf>
    <xf numFmtId="0" fontId="5" fillId="23" borderId="1" xfId="30" applyFont="1" applyFill="1" applyBorder="1" applyAlignment="1">
      <alignment vertical="top"/>
    </xf>
    <xf numFmtId="0" fontId="5" fillId="23" borderId="1" xfId="30" applyFont="1" applyFill="1" applyBorder="1" applyAlignment="1">
      <alignment horizontal="center" vertical="center"/>
    </xf>
    <xf numFmtId="166" fontId="5" fillId="23" borderId="1" xfId="15" applyNumberFormat="1" applyFont="1" applyFill="1" applyBorder="1" applyAlignment="1">
      <alignment vertical="center"/>
    </xf>
    <xf numFmtId="4" fontId="5" fillId="23" borderId="1" xfId="15" applyNumberFormat="1" applyFont="1" applyFill="1" applyBorder="1" applyAlignment="1" applyProtection="1">
      <alignment vertical="center"/>
      <protection locked="0"/>
    </xf>
    <xf numFmtId="0" fontId="3" fillId="0" borderId="1" xfId="28" applyFont="1" applyBorder="1" applyAlignment="1">
      <alignment vertical="center"/>
    </xf>
    <xf numFmtId="175" fontId="3" fillId="0" borderId="1" xfId="28" applyNumberFormat="1" applyFont="1" applyBorder="1" applyAlignment="1">
      <alignment vertical="center"/>
    </xf>
    <xf numFmtId="0" fontId="21" fillId="0" borderId="0" xfId="28" applyFont="1" applyFill="1" applyBorder="1" applyAlignment="1">
      <alignment vertical="center" wrapText="1"/>
    </xf>
    <xf numFmtId="174" fontId="2" fillId="0" borderId="0" xfId="6" applyNumberFormat="1" applyFont="1" applyFill="1"/>
    <xf numFmtId="4" fontId="2" fillId="0" borderId="0" xfId="6" applyNumberFormat="1" applyFont="1" applyFill="1"/>
    <xf numFmtId="176" fontId="2" fillId="0" borderId="0" xfId="6" applyNumberFormat="1" applyFont="1" applyFill="1"/>
    <xf numFmtId="9" fontId="2" fillId="0" borderId="0" xfId="6" applyNumberFormat="1" applyFont="1" applyFill="1"/>
    <xf numFmtId="166" fontId="2" fillId="0" borderId="0" xfId="6" applyNumberFormat="1" applyFont="1" applyFill="1"/>
    <xf numFmtId="165" fontId="4" fillId="0" borderId="1" xfId="39" applyFont="1" applyFill="1" applyBorder="1" applyAlignment="1" applyProtection="1">
      <alignment vertical="center"/>
      <protection locked="0"/>
    </xf>
    <xf numFmtId="165" fontId="4" fillId="0" borderId="1" xfId="39" applyFont="1" applyFill="1" applyBorder="1" applyAlignment="1">
      <alignment vertical="center"/>
    </xf>
    <xf numFmtId="1" fontId="8" fillId="9" borderId="1" xfId="28" applyNumberFormat="1" applyFont="1" applyFill="1" applyBorder="1" applyAlignment="1">
      <alignment horizontal="left" vertical="top"/>
    </xf>
    <xf numFmtId="0" fontId="83" fillId="9" borderId="1" xfId="28" applyFont="1" applyFill="1" applyBorder="1" applyAlignment="1">
      <alignment horizontal="left" vertical="top" wrapText="1"/>
    </xf>
    <xf numFmtId="0" fontId="3" fillId="9" borderId="1" xfId="7" applyFont="1" applyFill="1" applyBorder="1" applyAlignment="1">
      <alignment horizontal="left" vertical="center"/>
    </xf>
    <xf numFmtId="177" fontId="3" fillId="9" borderId="1" xfId="7" applyNumberFormat="1" applyFont="1" applyFill="1" applyBorder="1" applyAlignment="1">
      <alignment horizontal="right" vertical="center"/>
    </xf>
    <xf numFmtId="49" fontId="3" fillId="9" borderId="1" xfId="1" applyNumberFormat="1" applyFont="1" applyFill="1" applyBorder="1" applyAlignment="1">
      <alignment horizontal="center" vertical="top"/>
    </xf>
    <xf numFmtId="0" fontId="83" fillId="9" borderId="1" xfId="28" applyFont="1" applyFill="1" applyBorder="1" applyAlignment="1">
      <alignment horizontal="left"/>
    </xf>
    <xf numFmtId="1" fontId="3" fillId="9" borderId="1" xfId="28" applyNumberFormat="1" applyFont="1" applyFill="1" applyBorder="1" applyAlignment="1">
      <alignment horizontal="left" vertical="top"/>
    </xf>
    <xf numFmtId="0" fontId="3" fillId="9" borderId="1" xfId="28" applyFont="1" applyFill="1" applyBorder="1" applyAlignment="1">
      <alignment horizontal="left" vertical="top" wrapText="1"/>
    </xf>
    <xf numFmtId="165" fontId="2" fillId="9" borderId="1" xfId="29" applyFont="1" applyFill="1" applyBorder="1" applyAlignment="1" applyProtection="1">
      <alignment vertical="center"/>
      <protection locked="0"/>
    </xf>
    <xf numFmtId="165" fontId="2" fillId="9" borderId="1" xfId="29" applyFont="1" applyFill="1" applyBorder="1" applyAlignment="1">
      <alignment vertical="center"/>
    </xf>
    <xf numFmtId="1" fontId="3" fillId="9" borderId="1" xfId="28" applyNumberFormat="1" applyFont="1" applyFill="1" applyBorder="1" applyAlignment="1">
      <alignment horizontal="left"/>
    </xf>
    <xf numFmtId="49" fontId="3" fillId="9" borderId="1" xfId="7" applyNumberFormat="1" applyFont="1" applyFill="1" applyBorder="1" applyAlignment="1">
      <alignment horizontal="left" vertical="center" wrapText="1"/>
    </xf>
    <xf numFmtId="165" fontId="2" fillId="0" borderId="0" xfId="39" applyFont="1" applyAlignment="1">
      <alignment vertical="center"/>
    </xf>
    <xf numFmtId="49" fontId="8" fillId="9" borderId="1" xfId="1" applyNumberFormat="1" applyFont="1" applyFill="1" applyBorder="1" applyAlignment="1">
      <alignment horizontal="center" vertical="top"/>
    </xf>
    <xf numFmtId="0" fontId="5" fillId="9" borderId="1" xfId="1" applyFont="1" applyFill="1" applyBorder="1" applyAlignment="1">
      <alignment wrapText="1"/>
    </xf>
    <xf numFmtId="165" fontId="4" fillId="9" borderId="1" xfId="2" applyFont="1" applyFill="1" applyBorder="1" applyAlignment="1">
      <alignment vertical="center" wrapText="1"/>
    </xf>
    <xf numFmtId="49" fontId="3" fillId="9" borderId="1" xfId="28" applyNumberFormat="1" applyFont="1" applyFill="1" applyBorder="1" applyAlignment="1">
      <alignment horizontal="center" vertical="top"/>
    </xf>
    <xf numFmtId="0" fontId="101" fillId="9" borderId="1" xfId="28" applyFont="1" applyFill="1" applyBorder="1" applyAlignment="1">
      <alignment wrapText="1"/>
    </xf>
    <xf numFmtId="0" fontId="8" fillId="9" borderId="1" xfId="30" applyFont="1" applyFill="1" applyBorder="1" applyAlignment="1">
      <alignment vertical="center"/>
    </xf>
    <xf numFmtId="166" fontId="8" fillId="9" borderId="1" xfId="15" applyNumberFormat="1" applyFont="1" applyFill="1" applyBorder="1" applyAlignment="1">
      <alignment horizontal="right" vertical="center"/>
    </xf>
    <xf numFmtId="165" fontId="8" fillId="9" borderId="1" xfId="15" applyFont="1" applyFill="1" applyBorder="1" applyAlignment="1" applyProtection="1">
      <alignment horizontal="right" vertical="center"/>
      <protection locked="0"/>
    </xf>
    <xf numFmtId="165" fontId="8" fillId="9" borderId="1" xfId="15" applyFont="1" applyFill="1" applyBorder="1" applyAlignment="1">
      <alignment horizontal="right" vertical="center"/>
    </xf>
    <xf numFmtId="0" fontId="21" fillId="9" borderId="1" xfId="28" applyFont="1" applyFill="1" applyBorder="1" applyAlignment="1">
      <alignment vertical="center" wrapText="1"/>
    </xf>
    <xf numFmtId="0" fontId="3" fillId="9" borderId="1" xfId="30" applyFont="1" applyFill="1" applyBorder="1" applyAlignment="1">
      <alignment horizontal="center" vertical="center"/>
    </xf>
    <xf numFmtId="166" fontId="3" fillId="9" borderId="1" xfId="15" applyNumberFormat="1" applyFont="1" applyFill="1" applyBorder="1" applyAlignment="1">
      <alignment vertical="center"/>
    </xf>
    <xf numFmtId="165" fontId="8" fillId="9" borderId="1" xfId="15" applyFont="1" applyFill="1" applyBorder="1" applyAlignment="1" applyProtection="1">
      <alignment vertical="center"/>
      <protection locked="0"/>
    </xf>
    <xf numFmtId="165" fontId="8" fillId="9" borderId="1" xfId="15" applyFont="1" applyFill="1" applyBorder="1" applyAlignment="1">
      <alignment vertical="center"/>
    </xf>
    <xf numFmtId="0" fontId="3" fillId="9" borderId="1" xfId="30" applyFont="1" applyFill="1" applyBorder="1" applyAlignment="1">
      <alignment vertical="center"/>
    </xf>
    <xf numFmtId="166" fontId="3" fillId="9" borderId="1" xfId="15" applyNumberFormat="1" applyFont="1" applyFill="1" applyBorder="1" applyAlignment="1">
      <alignment horizontal="right" vertical="center"/>
    </xf>
    <xf numFmtId="4" fontId="2" fillId="0" borderId="1" xfId="32" applyNumberFormat="1" applyFont="1" applyFill="1" applyBorder="1" applyAlignment="1">
      <alignment vertical="center"/>
    </xf>
    <xf numFmtId="4" fontId="63" fillId="0" borderId="1" xfId="32" applyNumberFormat="1" applyFont="1" applyFill="1" applyBorder="1" applyAlignment="1">
      <alignment horizontal="right" vertical="center" wrapText="1"/>
    </xf>
    <xf numFmtId="49" fontId="2" fillId="0" borderId="1" xfId="9" applyNumberFormat="1" applyFont="1" applyBorder="1" applyAlignment="1">
      <alignment horizontal="center" vertical="center" wrapText="1"/>
    </xf>
    <xf numFmtId="0" fontId="4" fillId="0" borderId="1" xfId="1" applyFont="1" applyBorder="1" applyAlignment="1">
      <alignment horizontal="left" vertical="center" wrapText="1"/>
    </xf>
    <xf numFmtId="4" fontId="63" fillId="0" borderId="1" xfId="32" applyNumberFormat="1" applyFont="1" applyFill="1" applyBorder="1" applyAlignment="1">
      <alignment vertical="center"/>
    </xf>
    <xf numFmtId="0" fontId="63" fillId="0" borderId="1" xfId="6" applyFont="1" applyBorder="1" applyAlignment="1">
      <alignment vertical="center" wrapText="1"/>
    </xf>
    <xf numFmtId="4" fontId="63" fillId="0" borderId="1" xfId="29" applyNumberFormat="1" applyFont="1" applyFill="1" applyBorder="1" applyAlignment="1">
      <alignment vertical="center" wrapText="1"/>
    </xf>
    <xf numFmtId="165" fontId="63" fillId="0" borderId="1" xfId="29" applyFont="1" applyFill="1" applyBorder="1" applyAlignment="1" applyProtection="1">
      <alignment vertical="center" wrapText="1"/>
      <protection locked="0"/>
    </xf>
    <xf numFmtId="165" fontId="63" fillId="0" borderId="1" xfId="29" applyFont="1" applyFill="1" applyBorder="1" applyAlignment="1">
      <alignment horizontal="right" vertical="center" wrapText="1"/>
    </xf>
    <xf numFmtId="165" fontId="63" fillId="0" borderId="1" xfId="29" applyFont="1" applyFill="1" applyBorder="1" applyAlignment="1" applyProtection="1">
      <alignment horizontal="center" vertical="center" wrapText="1"/>
      <protection locked="0"/>
    </xf>
    <xf numFmtId="4" fontId="69" fillId="2" borderId="1" xfId="29" applyNumberFormat="1" applyFont="1" applyFill="1" applyBorder="1" applyAlignment="1">
      <alignment horizontal="right" vertical="center"/>
    </xf>
    <xf numFmtId="4" fontId="8" fillId="2" borderId="1" xfId="29" applyNumberFormat="1" applyFont="1" applyFill="1" applyBorder="1" applyAlignment="1">
      <alignment horizontal="right" vertical="center"/>
    </xf>
    <xf numFmtId="0" fontId="69" fillId="0" borderId="1" xfId="28" applyFont="1" applyBorder="1" applyAlignment="1">
      <alignment vertical="center"/>
    </xf>
    <xf numFmtId="4" fontId="69" fillId="0" borderId="1" xfId="29" applyNumberFormat="1" applyFont="1" applyFill="1" applyBorder="1" applyAlignment="1">
      <alignment horizontal="right" vertical="center"/>
    </xf>
    <xf numFmtId="4" fontId="8" fillId="0" borderId="1" xfId="29" applyNumberFormat="1" applyFont="1" applyFill="1" applyBorder="1" applyAlignment="1">
      <alignment horizontal="right" vertical="center"/>
    </xf>
    <xf numFmtId="0" fontId="69" fillId="2" borderId="1" xfId="28" applyFont="1" applyFill="1" applyBorder="1" applyAlignment="1">
      <alignment vertical="center"/>
    </xf>
    <xf numFmtId="0" fontId="8" fillId="0" borderId="1" xfId="1" applyFont="1" applyBorder="1" applyAlignment="1">
      <alignment vertical="center" wrapText="1"/>
    </xf>
    <xf numFmtId="4" fontId="69" fillId="0" borderId="1" xfId="32" applyNumberFormat="1" applyFont="1" applyFill="1" applyBorder="1" applyAlignment="1">
      <alignment horizontal="right" vertical="center"/>
    </xf>
    <xf numFmtId="0" fontId="2" fillId="0" borderId="1" xfId="6" applyFont="1" applyBorder="1" applyAlignment="1">
      <alignment horizontal="center" vertical="center"/>
    </xf>
    <xf numFmtId="165" fontId="2" fillId="0" borderId="1" xfId="15" applyFont="1" applyBorder="1" applyAlignment="1">
      <alignment vertical="center"/>
    </xf>
    <xf numFmtId="165" fontId="2" fillId="0" borderId="1" xfId="15" applyFont="1" applyFill="1" applyBorder="1" applyAlignment="1">
      <alignment horizontal="center" vertical="center"/>
    </xf>
    <xf numFmtId="4" fontId="63" fillId="0" borderId="1" xfId="15" applyNumberFormat="1" applyFont="1" applyFill="1" applyBorder="1" applyAlignment="1">
      <alignment horizontal="right" vertical="center" wrapText="1"/>
    </xf>
    <xf numFmtId="0" fontId="2" fillId="0" borderId="1" xfId="6" applyFont="1" applyBorder="1" applyAlignment="1">
      <alignment vertical="center"/>
    </xf>
    <xf numFmtId="4" fontId="63" fillId="0" borderId="1" xfId="15" applyNumberFormat="1" applyFont="1" applyFill="1" applyBorder="1" applyAlignment="1">
      <alignment vertical="center"/>
    </xf>
    <xf numFmtId="4" fontId="63" fillId="0" borderId="1" xfId="15" applyNumberFormat="1" applyFont="1" applyBorder="1" applyAlignment="1">
      <alignment vertical="center"/>
    </xf>
    <xf numFmtId="4" fontId="63" fillId="0" borderId="1" xfId="15" applyNumberFormat="1" applyFont="1" applyFill="1" applyBorder="1" applyAlignment="1">
      <alignment vertical="center" wrapText="1"/>
    </xf>
    <xf numFmtId="165" fontId="63" fillId="0" borderId="1" xfId="15" applyFont="1" applyFill="1" applyBorder="1" applyAlignment="1">
      <alignment horizontal="right" vertical="center" wrapText="1"/>
    </xf>
    <xf numFmtId="165" fontId="1" fillId="2" borderId="1" xfId="15" applyFont="1" applyFill="1" applyBorder="1" applyAlignment="1">
      <alignment horizontal="right" vertical="center"/>
    </xf>
    <xf numFmtId="165" fontId="3" fillId="2" borderId="1" xfId="15" applyFont="1" applyFill="1" applyBorder="1" applyAlignment="1" applyProtection="1">
      <alignment horizontal="right" vertical="center"/>
      <protection locked="0"/>
    </xf>
    <xf numFmtId="4" fontId="69" fillId="0" borderId="1" xfId="15" applyNumberFormat="1" applyFont="1" applyFill="1" applyBorder="1" applyAlignment="1">
      <alignment horizontal="right" vertical="center"/>
    </xf>
    <xf numFmtId="0" fontId="1" fillId="0" borderId="1" xfId="28" applyBorder="1" applyAlignment="1">
      <alignment vertical="center"/>
    </xf>
    <xf numFmtId="165" fontId="1" fillId="0" borderId="1" xfId="15" applyFont="1" applyFill="1" applyBorder="1" applyAlignment="1">
      <alignment horizontal="right" vertical="center"/>
    </xf>
    <xf numFmtId="4" fontId="1" fillId="2" borderId="1" xfId="15" applyNumberFormat="1" applyFont="1" applyFill="1" applyBorder="1" applyAlignment="1">
      <alignment horizontal="center" vertical="center"/>
    </xf>
    <xf numFmtId="4" fontId="3" fillId="2" borderId="1" xfId="15" applyNumberFormat="1" applyFont="1" applyFill="1" applyBorder="1" applyAlignment="1" applyProtection="1">
      <alignment horizontal="center" vertical="center"/>
      <protection locked="0"/>
    </xf>
    <xf numFmtId="165" fontId="2" fillId="2" borderId="1" xfId="15" applyFont="1" applyFill="1" applyBorder="1" applyAlignment="1">
      <alignment horizontal="center" vertical="center"/>
    </xf>
    <xf numFmtId="4" fontId="69" fillId="2" borderId="1" xfId="15" applyNumberFormat="1" applyFont="1" applyFill="1" applyBorder="1" applyAlignment="1">
      <alignment horizontal="right" vertical="center"/>
    </xf>
    <xf numFmtId="4" fontId="8" fillId="2" borderId="1" xfId="15" applyNumberFormat="1" applyFont="1" applyFill="1" applyBorder="1" applyAlignment="1">
      <alignment horizontal="right" vertical="center"/>
    </xf>
    <xf numFmtId="0" fontId="85" fillId="0" borderId="1" xfId="28" applyFont="1" applyBorder="1" applyAlignment="1">
      <alignment vertical="center"/>
    </xf>
    <xf numFmtId="4" fontId="85" fillId="0" borderId="1" xfId="15" applyNumberFormat="1" applyFont="1" applyFill="1" applyBorder="1" applyAlignment="1">
      <alignment horizontal="right" vertical="center"/>
    </xf>
    <xf numFmtId="0" fontId="6" fillId="0" borderId="10" xfId="6" applyFont="1" applyBorder="1" applyAlignment="1">
      <alignment horizontal="center" vertical="center"/>
    </xf>
    <xf numFmtId="4" fontId="6" fillId="0" borderId="10" xfId="15" applyNumberFormat="1" applyFont="1" applyBorder="1" applyAlignment="1">
      <alignment vertical="center"/>
    </xf>
    <xf numFmtId="165" fontId="6" fillId="0" borderId="10" xfId="15" applyFont="1" applyBorder="1" applyAlignment="1">
      <alignment vertical="center"/>
    </xf>
    <xf numFmtId="165" fontId="2" fillId="0" borderId="1" xfId="15" applyFont="1" applyBorder="1" applyAlignment="1">
      <alignment horizontal="center" vertical="center"/>
    </xf>
    <xf numFmtId="165" fontId="63" fillId="0" borderId="1" xfId="15" applyFont="1" applyFill="1" applyBorder="1" applyAlignment="1" applyProtection="1">
      <alignment vertical="center"/>
      <protection locked="0"/>
    </xf>
    <xf numFmtId="0" fontId="66" fillId="0" borderId="1" xfId="28" applyFont="1" applyBorder="1" applyAlignment="1">
      <alignment horizontal="center" vertical="center" wrapText="1"/>
    </xf>
    <xf numFmtId="0" fontId="6" fillId="0" borderId="0" xfId="6" applyFont="1" applyAlignment="1">
      <alignment horizontal="center" vertical="center"/>
    </xf>
    <xf numFmtId="4" fontId="6" fillId="0" borderId="0" xfId="15" applyNumberFormat="1" applyFont="1" applyBorder="1" applyAlignment="1">
      <alignment vertical="center"/>
    </xf>
    <xf numFmtId="0" fontId="2" fillId="0" borderId="10" xfId="6" applyFont="1" applyBorder="1" applyAlignment="1">
      <alignment vertical="center"/>
    </xf>
    <xf numFmtId="4" fontId="2" fillId="0" borderId="10" xfId="15" applyNumberFormat="1" applyFont="1" applyBorder="1" applyAlignment="1">
      <alignment vertical="center"/>
    </xf>
    <xf numFmtId="165" fontId="2" fillId="0" borderId="10" xfId="15" applyFont="1" applyFill="1" applyBorder="1" applyAlignment="1">
      <alignment vertical="center"/>
    </xf>
    <xf numFmtId="165" fontId="2" fillId="0" borderId="10" xfId="15" applyFont="1" applyBorder="1" applyAlignment="1">
      <alignment vertical="center"/>
    </xf>
    <xf numFmtId="0" fontId="6" fillId="0" borderId="1" xfId="6" applyFont="1" applyBorder="1" applyAlignment="1">
      <alignment horizontal="center" vertical="center"/>
    </xf>
    <xf numFmtId="4" fontId="6" fillId="0" borderId="1" xfId="15" applyNumberFormat="1" applyFont="1" applyBorder="1" applyAlignment="1">
      <alignment vertical="center"/>
    </xf>
    <xf numFmtId="165" fontId="6" fillId="0" borderId="1" xfId="15" applyFont="1" applyFill="1" applyBorder="1" applyAlignment="1">
      <alignment vertical="center"/>
    </xf>
    <xf numFmtId="165" fontId="6" fillId="0" borderId="1" xfId="15" applyFont="1" applyBorder="1" applyAlignment="1">
      <alignment vertical="center"/>
    </xf>
    <xf numFmtId="4" fontId="1" fillId="2" borderId="1" xfId="15" applyNumberFormat="1" applyFont="1" applyFill="1" applyBorder="1" applyAlignment="1">
      <alignment horizontal="right" vertical="center"/>
    </xf>
    <xf numFmtId="4" fontId="2" fillId="0" borderId="1" xfId="15" applyNumberFormat="1" applyFont="1" applyBorder="1" applyAlignment="1">
      <alignment vertical="center" wrapText="1"/>
    </xf>
    <xf numFmtId="4" fontId="2" fillId="0" borderId="0" xfId="15" applyNumberFormat="1" applyFont="1" applyAlignment="1">
      <alignment vertical="center"/>
    </xf>
    <xf numFmtId="0" fontId="2" fillId="0" borderId="0" xfId="6" applyFont="1" applyAlignment="1">
      <alignment vertical="center"/>
    </xf>
    <xf numFmtId="165" fontId="2" fillId="0" borderId="0" xfId="15" applyFont="1" applyBorder="1" applyAlignment="1">
      <alignment vertical="center"/>
    </xf>
    <xf numFmtId="165" fontId="6" fillId="0" borderId="0" xfId="15" applyFont="1" applyFill="1" applyBorder="1" applyAlignment="1">
      <alignment horizontal="right" vertical="center"/>
    </xf>
    <xf numFmtId="4" fontId="6" fillId="0" borderId="0" xfId="15" applyNumberFormat="1" applyFont="1" applyBorder="1" applyAlignment="1">
      <alignment horizontal="left" vertical="center"/>
    </xf>
    <xf numFmtId="0" fontId="2" fillId="0" borderId="5" xfId="6" applyFont="1" applyBorder="1" applyAlignment="1">
      <alignment vertical="center"/>
    </xf>
    <xf numFmtId="4" fontId="2" fillId="0" borderId="5" xfId="15" applyNumberFormat="1" applyFont="1" applyBorder="1" applyAlignment="1">
      <alignment vertical="center"/>
    </xf>
    <xf numFmtId="165" fontId="2" fillId="0" borderId="5" xfId="15" applyFont="1" applyFill="1" applyBorder="1" applyAlignment="1">
      <alignment vertical="center"/>
    </xf>
    <xf numFmtId="165" fontId="2" fillId="0" borderId="5" xfId="15" applyFont="1" applyBorder="1" applyAlignment="1">
      <alignment vertical="center"/>
    </xf>
    <xf numFmtId="4" fontId="2" fillId="0" borderId="1" xfId="6" applyNumberFormat="1" applyFont="1" applyBorder="1" applyAlignment="1">
      <alignment vertical="center"/>
    </xf>
    <xf numFmtId="2" fontId="2" fillId="0" borderId="1" xfId="6" applyNumberFormat="1" applyFont="1" applyBorder="1" applyAlignment="1">
      <alignment vertical="center"/>
    </xf>
    <xf numFmtId="175" fontId="3" fillId="0" borderId="1" xfId="28" applyNumberFormat="1" applyFont="1" applyBorder="1" applyAlignment="1">
      <alignment horizontal="center" vertical="center"/>
    </xf>
    <xf numFmtId="175" fontId="3" fillId="0" borderId="1" xfId="30" applyNumberFormat="1" applyFont="1" applyBorder="1" applyAlignment="1">
      <alignment vertical="center"/>
    </xf>
    <xf numFmtId="2" fontId="4" fillId="0" borderId="1" xfId="34" applyNumberFormat="1" applyFont="1" applyFill="1" applyBorder="1" applyAlignment="1" applyProtection="1">
      <alignment horizontal="right" vertical="center"/>
    </xf>
    <xf numFmtId="4" fontId="6" fillId="0" borderId="0" xfId="15" applyNumberFormat="1" applyFont="1" applyFill="1" applyBorder="1" applyAlignment="1">
      <alignment vertical="center"/>
    </xf>
    <xf numFmtId="165" fontId="2" fillId="0" borderId="1" xfId="15" applyFont="1" applyFill="1" applyBorder="1" applyAlignment="1">
      <alignment vertical="center" wrapText="1"/>
    </xf>
    <xf numFmtId="165" fontId="21" fillId="0" borderId="1" xfId="15" applyFont="1" applyFill="1" applyBorder="1" applyAlignment="1" applyProtection="1">
      <alignment horizontal="center" vertical="center" wrapText="1"/>
      <protection locked="0"/>
    </xf>
    <xf numFmtId="4" fontId="69" fillId="29" borderId="1" xfId="15" applyNumberFormat="1" applyFont="1" applyFill="1" applyBorder="1" applyAlignment="1">
      <alignment horizontal="right" vertical="center"/>
    </xf>
    <xf numFmtId="4" fontId="1" fillId="29" borderId="1" xfId="15" applyNumberFormat="1" applyFont="1" applyFill="1" applyBorder="1" applyAlignment="1">
      <alignment horizontal="right" vertical="center"/>
    </xf>
    <xf numFmtId="4" fontId="1" fillId="0" borderId="1" xfId="15" applyNumberFormat="1" applyFont="1" applyFill="1" applyBorder="1" applyAlignment="1">
      <alignment horizontal="right" vertical="center"/>
    </xf>
    <xf numFmtId="165" fontId="2" fillId="0" borderId="0" xfId="37" applyFont="1" applyFill="1" applyBorder="1" applyAlignment="1">
      <alignment vertical="center"/>
    </xf>
    <xf numFmtId="4" fontId="2" fillId="0" borderId="0" xfId="37" applyNumberFormat="1" applyFont="1" applyAlignment="1">
      <alignment vertical="center"/>
    </xf>
    <xf numFmtId="165" fontId="2" fillId="0" borderId="0" xfId="37" applyFont="1" applyFill="1" applyAlignment="1">
      <alignment vertical="center"/>
    </xf>
    <xf numFmtId="165" fontId="2" fillId="0" borderId="0" xfId="37" applyFont="1" applyAlignment="1">
      <alignment vertical="center"/>
    </xf>
    <xf numFmtId="4" fontId="6" fillId="0" borderId="0" xfId="37" applyNumberFormat="1" applyFont="1" applyFill="1" applyBorder="1" applyAlignment="1">
      <alignment vertical="center"/>
    </xf>
    <xf numFmtId="165" fontId="6" fillId="0" borderId="0" xfId="37" applyFont="1" applyFill="1" applyBorder="1" applyAlignment="1">
      <alignment vertical="center"/>
    </xf>
    <xf numFmtId="165" fontId="2" fillId="0" borderId="0" xfId="37" applyFont="1" applyBorder="1" applyAlignment="1">
      <alignment vertical="center"/>
    </xf>
    <xf numFmtId="173" fontId="2" fillId="0" borderId="1" xfId="37" applyNumberFormat="1" applyFont="1" applyFill="1" applyBorder="1" applyAlignment="1">
      <alignment vertical="center"/>
    </xf>
    <xf numFmtId="4" fontId="2" fillId="0" borderId="1" xfId="37" applyNumberFormat="1" applyFont="1" applyBorder="1" applyAlignment="1">
      <alignment vertical="center" wrapText="1"/>
    </xf>
    <xf numFmtId="165" fontId="2" fillId="0" borderId="1" xfId="37" applyFont="1" applyFill="1" applyBorder="1" applyAlignment="1">
      <alignment vertical="center" wrapText="1"/>
    </xf>
    <xf numFmtId="165" fontId="68" fillId="0" borderId="1" xfId="37" applyFont="1" applyBorder="1" applyAlignment="1">
      <alignment horizontal="center" vertical="center"/>
    </xf>
    <xf numFmtId="165" fontId="2" fillId="0" borderId="1" xfId="37" applyFont="1" applyBorder="1" applyAlignment="1">
      <alignment horizontal="center" vertical="center"/>
    </xf>
    <xf numFmtId="4" fontId="63" fillId="0" borderId="1" xfId="37" applyNumberFormat="1" applyFont="1" applyFill="1" applyBorder="1" applyAlignment="1">
      <alignment vertical="center" wrapText="1"/>
    </xf>
    <xf numFmtId="165" fontId="63" fillId="0" borderId="1" xfId="37" applyFont="1" applyFill="1" applyBorder="1" applyAlignment="1" applyProtection="1">
      <alignment vertical="center" wrapText="1"/>
      <protection locked="0"/>
    </xf>
    <xf numFmtId="165" fontId="63" fillId="0" borderId="1" xfId="37" applyFont="1" applyFill="1" applyBorder="1" applyAlignment="1">
      <alignment horizontal="right" vertical="center" wrapText="1"/>
    </xf>
    <xf numFmtId="165" fontId="63" fillId="0" borderId="1" xfId="37" applyFont="1" applyFill="1" applyBorder="1" applyAlignment="1" applyProtection="1">
      <alignment horizontal="center" vertical="center" wrapText="1"/>
      <protection locked="0"/>
    </xf>
    <xf numFmtId="165" fontId="63" fillId="0" borderId="1" xfId="37" applyFont="1" applyFill="1" applyBorder="1" applyAlignment="1">
      <alignment horizontal="center" vertical="center" wrapText="1"/>
    </xf>
    <xf numFmtId="165" fontId="2" fillId="0" borderId="1" xfId="37" applyFont="1" applyBorder="1" applyAlignment="1" applyProtection="1">
      <alignment vertical="center"/>
      <protection locked="0"/>
    </xf>
    <xf numFmtId="4" fontId="1" fillId="29" borderId="1" xfId="37" applyNumberFormat="1" applyFont="1" applyFill="1" applyBorder="1" applyAlignment="1">
      <alignment horizontal="right" vertical="center"/>
    </xf>
    <xf numFmtId="4" fontId="3" fillId="29" borderId="1" xfId="37" applyNumberFormat="1" applyFont="1" applyFill="1" applyBorder="1" applyAlignment="1">
      <alignment horizontal="right" vertical="center"/>
    </xf>
    <xf numFmtId="4" fontId="1" fillId="0" borderId="1" xfId="37" applyNumberFormat="1" applyFont="1" applyFill="1" applyBorder="1" applyAlignment="1">
      <alignment horizontal="right" vertical="center"/>
    </xf>
    <xf numFmtId="4" fontId="3" fillId="0" borderId="1" xfId="37" applyNumberFormat="1" applyFont="1" applyFill="1" applyBorder="1" applyAlignment="1">
      <alignment horizontal="right" vertical="center"/>
    </xf>
    <xf numFmtId="4" fontId="69" fillId="0" borderId="1" xfId="37" applyNumberFormat="1" applyFont="1" applyFill="1" applyBorder="1" applyAlignment="1">
      <alignment horizontal="right" vertical="center"/>
    </xf>
    <xf numFmtId="4" fontId="8" fillId="0" borderId="1" xfId="37" applyNumberFormat="1" applyFont="1" applyFill="1" applyBorder="1" applyAlignment="1">
      <alignment horizontal="right" vertical="center"/>
    </xf>
    <xf numFmtId="4" fontId="69" fillId="29" borderId="1" xfId="37" applyNumberFormat="1" applyFont="1" applyFill="1" applyBorder="1" applyAlignment="1">
      <alignment horizontal="right" vertical="center"/>
    </xf>
    <xf numFmtId="4" fontId="8" fillId="29" borderId="1" xfId="37" applyNumberFormat="1" applyFont="1" applyFill="1" applyBorder="1" applyAlignment="1">
      <alignment horizontal="right" vertical="center"/>
    </xf>
    <xf numFmtId="4" fontId="6" fillId="0" borderId="10" xfId="37" applyNumberFormat="1" applyFont="1" applyBorder="1" applyAlignment="1">
      <alignment vertical="center"/>
    </xf>
    <xf numFmtId="165" fontId="6" fillId="0" borderId="10" xfId="37" applyFont="1" applyFill="1" applyBorder="1" applyAlignment="1">
      <alignment vertical="center"/>
    </xf>
    <xf numFmtId="165" fontId="6" fillId="0" borderId="10" xfId="37" applyFont="1" applyBorder="1" applyAlignment="1">
      <alignment vertical="center"/>
    </xf>
    <xf numFmtId="165" fontId="2" fillId="0" borderId="0" xfId="29" applyFont="1" applyFill="1" applyBorder="1" applyAlignment="1">
      <alignment vertical="center"/>
    </xf>
    <xf numFmtId="4" fontId="2" fillId="0" borderId="0" xfId="29" applyNumberFormat="1" applyFont="1" applyAlignment="1">
      <alignment vertical="center"/>
    </xf>
    <xf numFmtId="165" fontId="2" fillId="0" borderId="0" xfId="29" applyFont="1" applyFill="1" applyAlignment="1">
      <alignment vertical="center"/>
    </xf>
    <xf numFmtId="165" fontId="2" fillId="0" borderId="0" xfId="29" applyFont="1" applyAlignment="1">
      <alignment vertical="center"/>
    </xf>
    <xf numFmtId="4" fontId="6" fillId="0" borderId="0" xfId="29" applyNumberFormat="1" applyFont="1" applyFill="1" applyBorder="1" applyAlignment="1">
      <alignment vertical="center"/>
    </xf>
    <xf numFmtId="165" fontId="6" fillId="0" borderId="0" xfId="29" applyFont="1" applyFill="1" applyBorder="1" applyAlignment="1">
      <alignment vertical="center"/>
    </xf>
    <xf numFmtId="165" fontId="2" fillId="0" borderId="0" xfId="29" applyFont="1" applyBorder="1" applyAlignment="1">
      <alignment vertical="center"/>
    </xf>
    <xf numFmtId="4" fontId="2" fillId="0" borderId="1" xfId="29" applyNumberFormat="1" applyFont="1" applyBorder="1" applyAlignment="1">
      <alignment vertical="center" wrapText="1"/>
    </xf>
    <xf numFmtId="165" fontId="2" fillId="0" borderId="1" xfId="29" applyFont="1" applyFill="1" applyBorder="1" applyAlignment="1">
      <alignment vertical="center" wrapText="1"/>
    </xf>
    <xf numFmtId="4" fontId="63" fillId="0" borderId="1" xfId="29" applyNumberFormat="1" applyFont="1" applyFill="1" applyBorder="1" applyAlignment="1">
      <alignment vertical="center"/>
    </xf>
    <xf numFmtId="165" fontId="68" fillId="0" borderId="1" xfId="29" applyFont="1" applyBorder="1" applyAlignment="1">
      <alignment horizontal="center" vertical="center"/>
    </xf>
    <xf numFmtId="165" fontId="2" fillId="0" borderId="1" xfId="29" applyFont="1" applyBorder="1" applyAlignment="1">
      <alignment horizontal="center" vertical="center"/>
    </xf>
    <xf numFmtId="4" fontId="8" fillId="29" borderId="1" xfId="29" applyNumberFormat="1" applyFont="1" applyFill="1" applyBorder="1" applyAlignment="1">
      <alignment horizontal="right" vertical="center"/>
    </xf>
    <xf numFmtId="0" fontId="17" fillId="0" borderId="1" xfId="28" applyFont="1" applyBorder="1" applyAlignment="1" applyProtection="1">
      <alignment horizontal="right" vertical="center" wrapText="1"/>
      <protection locked="0"/>
    </xf>
    <xf numFmtId="2" fontId="4" fillId="0" borderId="1" xfId="28" applyNumberFormat="1" applyFont="1" applyBorder="1" applyAlignment="1" applyProtection="1">
      <alignment horizontal="right" vertical="center" wrapText="1"/>
      <protection locked="0"/>
    </xf>
    <xf numFmtId="2" fontId="47" fillId="29" borderId="1" xfId="34" applyNumberFormat="1" applyFont="1" applyFill="1" applyBorder="1" applyAlignment="1">
      <alignment horizontal="right" vertical="center"/>
    </xf>
    <xf numFmtId="0" fontId="17" fillId="29" borderId="1" xfId="1" applyFont="1" applyFill="1" applyBorder="1" applyAlignment="1" applyProtection="1">
      <alignment horizontal="right" vertical="center" wrapText="1"/>
      <protection locked="0"/>
    </xf>
    <xf numFmtId="2" fontId="48" fillId="29" borderId="1" xfId="34" applyNumberFormat="1" applyFont="1" applyFill="1" applyBorder="1" applyAlignment="1">
      <alignment horizontal="right" vertical="center"/>
    </xf>
    <xf numFmtId="0" fontId="4" fillId="29" borderId="1" xfId="10" applyFont="1" applyFill="1" applyBorder="1" applyAlignment="1" applyProtection="1">
      <alignment vertical="center"/>
      <protection locked="0"/>
    </xf>
    <xf numFmtId="2" fontId="4" fillId="29" borderId="1" xfId="34" applyNumberFormat="1" applyFont="1" applyFill="1" applyBorder="1" applyAlignment="1" applyProtection="1">
      <alignment vertical="center"/>
      <protection locked="0"/>
    </xf>
    <xf numFmtId="2" fontId="4" fillId="29" borderId="1" xfId="10" applyNumberFormat="1" applyFont="1" applyFill="1" applyBorder="1" applyAlignment="1" applyProtection="1">
      <alignment horizontal="right" vertical="center"/>
      <protection locked="0"/>
    </xf>
    <xf numFmtId="4" fontId="4" fillId="29" borderId="1" xfId="10" applyNumberFormat="1" applyFont="1" applyFill="1" applyBorder="1" applyAlignment="1" applyProtection="1">
      <alignment horizontal="right" vertical="center"/>
      <protection locked="0"/>
    </xf>
    <xf numFmtId="165" fontId="2" fillId="29" borderId="1" xfId="29" applyNumberFormat="1" applyFont="1" applyFill="1" applyBorder="1" applyAlignment="1">
      <alignment vertical="center"/>
    </xf>
    <xf numFmtId="2" fontId="17" fillId="0" borderId="1" xfId="1" applyNumberFormat="1" applyFont="1" applyBorder="1" applyAlignment="1">
      <alignment horizontal="right" vertical="center" wrapText="1"/>
    </xf>
    <xf numFmtId="0" fontId="17" fillId="0" borderId="1" xfId="1" applyFont="1" applyBorder="1" applyAlignment="1" applyProtection="1">
      <alignment horizontal="right" vertical="center" wrapText="1"/>
      <protection locked="0"/>
    </xf>
    <xf numFmtId="2" fontId="4" fillId="0" borderId="1" xfId="1" applyNumberFormat="1" applyFont="1" applyBorder="1" applyAlignment="1" applyProtection="1">
      <alignment horizontal="right" vertical="center" wrapText="1"/>
      <protection locked="0"/>
    </xf>
    <xf numFmtId="2" fontId="17" fillId="0" borderId="1" xfId="1" applyNumberFormat="1" applyFont="1" applyFill="1" applyBorder="1" applyAlignment="1">
      <alignment horizontal="right" vertical="center" wrapText="1"/>
    </xf>
    <xf numFmtId="0" fontId="17" fillId="0" borderId="1" xfId="1" applyFont="1" applyFill="1" applyBorder="1" applyAlignment="1" applyProtection="1">
      <alignment horizontal="right" vertical="center" wrapText="1"/>
      <protection locked="0"/>
    </xf>
    <xf numFmtId="2" fontId="4" fillId="0" borderId="1" xfId="10" applyNumberFormat="1" applyFont="1" applyFill="1" applyBorder="1" applyAlignment="1">
      <alignment horizontal="right" vertical="center"/>
    </xf>
    <xf numFmtId="4" fontId="4" fillId="0" borderId="1" xfId="10" applyNumberFormat="1" applyFont="1" applyFill="1" applyBorder="1" applyAlignment="1" applyProtection="1">
      <alignment horizontal="right" vertical="center"/>
      <protection locked="0"/>
    </xf>
    <xf numFmtId="4" fontId="5" fillId="0" borderId="1" xfId="10" applyNumberFormat="1" applyFont="1" applyFill="1" applyBorder="1" applyAlignment="1" applyProtection="1">
      <alignment horizontal="right" vertical="center"/>
      <protection locked="0"/>
    </xf>
    <xf numFmtId="2" fontId="17" fillId="11" borderId="1" xfId="1" applyNumberFormat="1" applyFont="1" applyFill="1" applyBorder="1" applyAlignment="1">
      <alignment horizontal="right" vertical="center" wrapText="1"/>
    </xf>
    <xf numFmtId="0" fontId="17" fillId="11" borderId="1" xfId="1" applyFont="1" applyFill="1" applyBorder="1" applyAlignment="1" applyProtection="1">
      <alignment horizontal="right" vertical="center" wrapText="1"/>
      <protection locked="0"/>
    </xf>
    <xf numFmtId="2" fontId="4" fillId="11" borderId="1" xfId="34" applyNumberFormat="1" applyFont="1" applyFill="1" applyBorder="1" applyAlignment="1" applyProtection="1">
      <alignment horizontal="right" vertical="center"/>
      <protection locked="0"/>
    </xf>
    <xf numFmtId="2" fontId="4" fillId="11" borderId="1" xfId="1" applyNumberFormat="1" applyFont="1" applyFill="1" applyBorder="1" applyAlignment="1" applyProtection="1">
      <alignment horizontal="right" vertical="center" wrapText="1"/>
      <protection locked="0"/>
    </xf>
    <xf numFmtId="2" fontId="17" fillId="8" borderId="1" xfId="1" applyNumberFormat="1" applyFont="1" applyFill="1" applyBorder="1" applyAlignment="1">
      <alignment horizontal="right" vertical="center" wrapText="1"/>
    </xf>
    <xf numFmtId="0" fontId="17" fillId="8" borderId="1" xfId="1" applyFont="1" applyFill="1" applyBorder="1" applyAlignment="1" applyProtection="1">
      <alignment horizontal="right" vertical="center" wrapText="1"/>
      <protection locked="0"/>
    </xf>
    <xf numFmtId="2" fontId="4" fillId="8" borderId="1" xfId="34" applyNumberFormat="1" applyFont="1" applyFill="1" applyBorder="1" applyAlignment="1" applyProtection="1">
      <alignment horizontal="right" vertical="center"/>
      <protection locked="0"/>
    </xf>
    <xf numFmtId="2" fontId="4" fillId="8" borderId="1" xfId="1" applyNumberFormat="1" applyFont="1" applyFill="1" applyBorder="1" applyAlignment="1" applyProtection="1">
      <alignment horizontal="right" vertical="center" wrapText="1"/>
      <protection locked="0"/>
    </xf>
    <xf numFmtId="2" fontId="17" fillId="9" borderId="1" xfId="1" applyNumberFormat="1" applyFont="1" applyFill="1" applyBorder="1" applyAlignment="1">
      <alignment horizontal="right" vertical="center" wrapText="1"/>
    </xf>
    <xf numFmtId="0" fontId="17" fillId="9" borderId="1" xfId="1" applyFont="1" applyFill="1" applyBorder="1" applyAlignment="1" applyProtection="1">
      <alignment horizontal="right" vertical="center" wrapText="1"/>
      <protection locked="0"/>
    </xf>
    <xf numFmtId="2" fontId="4" fillId="9" borderId="1" xfId="34" applyNumberFormat="1" applyFont="1" applyFill="1" applyBorder="1" applyAlignment="1">
      <alignment horizontal="right" vertical="center"/>
    </xf>
    <xf numFmtId="2" fontId="4" fillId="9" borderId="1" xfId="34" applyNumberFormat="1" applyFont="1" applyFill="1" applyBorder="1" applyAlignment="1" applyProtection="1">
      <alignment horizontal="right" vertical="center"/>
      <protection locked="0"/>
    </xf>
    <xf numFmtId="2" fontId="4" fillId="9" borderId="1" xfId="1" applyNumberFormat="1" applyFont="1" applyFill="1" applyBorder="1" applyAlignment="1" applyProtection="1">
      <alignment horizontal="right" vertical="center" wrapText="1"/>
      <protection locked="0"/>
    </xf>
    <xf numFmtId="2" fontId="4" fillId="0" borderId="0" xfId="10" applyNumberFormat="1" applyFont="1" applyAlignment="1" applyProtection="1">
      <alignment horizontal="right" vertical="center"/>
      <protection locked="0"/>
    </xf>
    <xf numFmtId="0" fontId="2" fillId="0" borderId="0" xfId="9" applyFont="1" applyAlignment="1">
      <alignment vertical="center"/>
    </xf>
    <xf numFmtId="0" fontId="6" fillId="0" borderId="0" xfId="9" applyFont="1" applyAlignment="1">
      <alignment horizontal="center" vertical="center"/>
    </xf>
    <xf numFmtId="0" fontId="2" fillId="0" borderId="0" xfId="9" applyFont="1" applyAlignment="1">
      <alignment horizontal="center" vertical="center"/>
    </xf>
    <xf numFmtId="170" fontId="4" fillId="0" borderId="1" xfId="34" applyNumberFormat="1" applyFont="1" applyFill="1" applyBorder="1" applyAlignment="1" applyProtection="1">
      <alignment horizontal="center" vertical="center"/>
    </xf>
    <xf numFmtId="170" fontId="47" fillId="29" borderId="1" xfId="34" applyNumberFormat="1" applyFont="1" applyFill="1" applyBorder="1" applyAlignment="1">
      <alignment horizontal="center" vertical="center"/>
    </xf>
    <xf numFmtId="170" fontId="48" fillId="29" borderId="1" xfId="34" applyNumberFormat="1" applyFont="1" applyFill="1" applyBorder="1" applyAlignment="1">
      <alignment horizontal="center" vertical="center"/>
    </xf>
    <xf numFmtId="4" fontId="4" fillId="29" borderId="1" xfId="10" applyNumberFormat="1" applyFont="1" applyFill="1" applyBorder="1" applyAlignment="1" applyProtection="1">
      <alignment horizontal="center" vertical="center"/>
      <protection locked="0"/>
    </xf>
    <xf numFmtId="0" fontId="17" fillId="0" borderId="1" xfId="1" applyFont="1" applyBorder="1" applyAlignment="1">
      <alignment horizontal="center" vertical="center" wrapText="1"/>
    </xf>
    <xf numFmtId="0" fontId="17" fillId="0" borderId="1" xfId="1" applyFont="1" applyFill="1" applyBorder="1" applyAlignment="1">
      <alignment horizontal="center" vertical="center" wrapText="1"/>
    </xf>
    <xf numFmtId="4" fontId="4" fillId="0" borderId="1" xfId="10" applyNumberFormat="1" applyFont="1" applyFill="1" applyBorder="1" applyAlignment="1">
      <alignment horizontal="center" vertical="center"/>
    </xf>
    <xf numFmtId="0" fontId="17" fillId="11"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170" fontId="4" fillId="8" borderId="1" xfId="34" applyNumberFormat="1" applyFont="1" applyFill="1" applyBorder="1" applyAlignment="1">
      <alignment horizontal="center" vertical="center"/>
    </xf>
    <xf numFmtId="0" fontId="17" fillId="9" borderId="1" xfId="1" applyFont="1" applyFill="1" applyBorder="1" applyAlignment="1">
      <alignment horizontal="center" vertical="center" wrapText="1"/>
    </xf>
    <xf numFmtId="170" fontId="4" fillId="9" borderId="1" xfId="34" applyNumberFormat="1" applyFont="1" applyFill="1" applyBorder="1" applyAlignment="1">
      <alignment horizontal="center" vertical="center"/>
    </xf>
    <xf numFmtId="4" fontId="63" fillId="0" borderId="1" xfId="29" applyNumberFormat="1" applyFont="1" applyFill="1" applyBorder="1" applyAlignment="1">
      <alignment horizontal="right" vertical="center" wrapText="1"/>
    </xf>
    <xf numFmtId="165" fontId="63" fillId="0" borderId="1" xfId="29" applyFont="1" applyFill="1" applyBorder="1" applyAlignment="1">
      <alignment vertical="center"/>
    </xf>
    <xf numFmtId="4" fontId="3" fillId="29" borderId="1" xfId="29" applyNumberFormat="1" applyFont="1" applyFill="1" applyBorder="1" applyAlignment="1">
      <alignment horizontal="right" vertical="center"/>
    </xf>
    <xf numFmtId="4" fontId="69" fillId="29" borderId="1" xfId="29" applyNumberFormat="1" applyFont="1" applyFill="1" applyBorder="1" applyAlignment="1">
      <alignment horizontal="right" vertical="center"/>
    </xf>
    <xf numFmtId="0" fontId="69" fillId="29" borderId="1" xfId="28" applyFont="1" applyFill="1" applyBorder="1" applyAlignment="1">
      <alignment vertical="center"/>
    </xf>
    <xf numFmtId="0" fontId="1" fillId="11" borderId="1" xfId="28" applyFill="1" applyBorder="1" applyAlignment="1">
      <alignment vertical="center"/>
    </xf>
    <xf numFmtId="4" fontId="1" fillId="11" borderId="1" xfId="15" applyNumberFormat="1" applyFont="1" applyFill="1" applyBorder="1" applyAlignment="1">
      <alignment horizontal="right" vertical="center"/>
    </xf>
    <xf numFmtId="0" fontId="8" fillId="30" borderId="1" xfId="30" applyFont="1" applyFill="1" applyBorder="1" applyAlignment="1">
      <alignment vertical="center" wrapText="1"/>
    </xf>
    <xf numFmtId="4" fontId="69" fillId="30" borderId="1" xfId="15" applyNumberFormat="1" applyFont="1" applyFill="1" applyBorder="1" applyAlignment="1">
      <alignment horizontal="right" vertical="center"/>
    </xf>
    <xf numFmtId="0" fontId="6" fillId="0" borderId="10" xfId="9" applyFont="1" applyBorder="1" applyAlignment="1">
      <alignment horizontal="center" vertical="center"/>
    </xf>
    <xf numFmtId="175" fontId="3" fillId="0" borderId="0" xfId="28" applyNumberFormat="1" applyFont="1" applyAlignment="1">
      <alignment vertical="center"/>
    </xf>
    <xf numFmtId="4" fontId="3" fillId="0" borderId="0" xfId="28" applyNumberFormat="1" applyFont="1" applyAlignment="1">
      <alignment vertical="center"/>
    </xf>
    <xf numFmtId="4" fontId="3" fillId="0" borderId="1" xfId="28" applyNumberFormat="1" applyFont="1" applyBorder="1" applyAlignment="1">
      <alignment vertical="center"/>
    </xf>
    <xf numFmtId="165" fontId="3" fillId="0" borderId="1" xfId="28" applyNumberFormat="1" applyFont="1" applyBorder="1" applyAlignment="1">
      <alignment horizontal="right" vertical="center"/>
    </xf>
    <xf numFmtId="165" fontId="3" fillId="0" borderId="1" xfId="28" applyNumberFormat="1" applyFont="1" applyBorder="1" applyAlignment="1" applyProtection="1">
      <alignment vertical="center"/>
      <protection locked="0"/>
    </xf>
    <xf numFmtId="165" fontId="3" fillId="0" borderId="1" xfId="28" applyNumberFormat="1" applyFont="1" applyBorder="1" applyAlignment="1">
      <alignment vertical="center"/>
    </xf>
    <xf numFmtId="175" fontId="3" fillId="0" borderId="1" xfId="28" applyNumberFormat="1" applyFont="1" applyBorder="1" applyAlignment="1">
      <alignment horizontal="right" vertical="center"/>
    </xf>
    <xf numFmtId="4" fontId="3" fillId="0" borderId="1" xfId="28" applyNumberFormat="1" applyFont="1" applyBorder="1" applyAlignment="1">
      <alignment horizontal="right" vertical="center"/>
    </xf>
    <xf numFmtId="175" fontId="71" fillId="0" borderId="1" xfId="28" applyNumberFormat="1" applyFont="1" applyBorder="1" applyAlignment="1">
      <alignment horizontal="right" vertical="center"/>
    </xf>
    <xf numFmtId="0" fontId="3" fillId="0" borderId="14" xfId="28" applyFont="1" applyBorder="1" applyAlignment="1">
      <alignment vertical="center"/>
    </xf>
    <xf numFmtId="175" fontId="3" fillId="0" borderId="12" xfId="28" applyNumberFormat="1" applyFont="1" applyBorder="1" applyAlignment="1">
      <alignment horizontal="right" vertical="center"/>
    </xf>
    <xf numFmtId="4" fontId="3" fillId="0" borderId="14" xfId="28" applyNumberFormat="1" applyFont="1" applyBorder="1" applyAlignment="1">
      <alignment vertical="center"/>
    </xf>
    <xf numFmtId="37" fontId="3" fillId="0" borderId="1" xfId="28" applyNumberFormat="1" applyFont="1" applyBorder="1" applyAlignment="1">
      <alignment vertical="center"/>
    </xf>
    <xf numFmtId="179" fontId="3" fillId="0" borderId="1" xfId="28" applyNumberFormat="1" applyFont="1" applyBorder="1" applyAlignment="1">
      <alignment vertical="center"/>
    </xf>
    <xf numFmtId="179" fontId="8" fillId="0" borderId="25" xfId="28" applyNumberFormat="1" applyFont="1" applyBorder="1" applyAlignment="1">
      <alignment vertical="center"/>
    </xf>
    <xf numFmtId="0" fontId="3" fillId="0" borderId="7" xfId="28" applyFont="1" applyBorder="1" applyAlignment="1">
      <alignment vertical="center"/>
    </xf>
    <xf numFmtId="175" fontId="3" fillId="0" borderId="7" xfId="28" applyNumberFormat="1" applyFont="1" applyBorder="1" applyAlignment="1">
      <alignment vertical="center"/>
    </xf>
    <xf numFmtId="4" fontId="3" fillId="0" borderId="7" xfId="28" applyNumberFormat="1" applyFont="1" applyBorder="1" applyAlignment="1">
      <alignment vertical="center"/>
    </xf>
    <xf numFmtId="165" fontId="3" fillId="0" borderId="7" xfId="28" applyNumberFormat="1" applyFont="1" applyBorder="1" applyAlignment="1">
      <alignment horizontal="right" vertical="center"/>
    </xf>
    <xf numFmtId="0" fontId="87" fillId="0" borderId="3" xfId="28" applyFont="1" applyBorder="1" applyAlignment="1">
      <alignment vertical="center"/>
    </xf>
    <xf numFmtId="175" fontId="87" fillId="0" borderId="3" xfId="28" applyNumberFormat="1" applyFont="1" applyBorder="1" applyAlignment="1">
      <alignment vertical="center"/>
    </xf>
    <xf numFmtId="4" fontId="87" fillId="0" borderId="3" xfId="28" applyNumberFormat="1" applyFont="1" applyBorder="1" applyAlignment="1">
      <alignment vertical="center"/>
    </xf>
    <xf numFmtId="165" fontId="87" fillId="0" borderId="2" xfId="28" applyNumberFormat="1" applyFont="1" applyBorder="1" applyAlignment="1">
      <alignment horizontal="right" vertical="center"/>
    </xf>
    <xf numFmtId="0" fontId="87" fillId="0" borderId="0" xfId="28" applyFont="1" applyAlignment="1">
      <alignment vertical="center"/>
    </xf>
    <xf numFmtId="175" fontId="87" fillId="0" borderId="0" xfId="28" applyNumberFormat="1" applyFont="1" applyAlignment="1">
      <alignment vertical="center"/>
    </xf>
    <xf numFmtId="4" fontId="87" fillId="0" borderId="0" xfId="28" applyNumberFormat="1" applyFont="1" applyAlignment="1">
      <alignment vertical="center"/>
    </xf>
    <xf numFmtId="165" fontId="87" fillId="0" borderId="12" xfId="28" applyNumberFormat="1" applyFont="1" applyBorder="1" applyAlignment="1">
      <alignment horizontal="right" vertical="center"/>
    </xf>
    <xf numFmtId="4" fontId="3" fillId="9" borderId="1" xfId="28" applyNumberFormat="1" applyFont="1" applyFill="1" applyBorder="1" applyAlignment="1">
      <alignment vertical="center"/>
    </xf>
    <xf numFmtId="179" fontId="3" fillId="9" borderId="1" xfId="28" applyNumberFormat="1" applyFont="1" applyFill="1" applyBorder="1" applyAlignment="1">
      <alignment vertical="center"/>
    </xf>
    <xf numFmtId="4" fontId="3" fillId="2" borderId="1" xfId="28" applyNumberFormat="1" applyFont="1" applyFill="1" applyBorder="1" applyAlignment="1">
      <alignment vertical="center"/>
    </xf>
    <xf numFmtId="179" fontId="3" fillId="2" borderId="1" xfId="28" applyNumberFormat="1" applyFont="1" applyFill="1" applyBorder="1" applyAlignment="1">
      <alignment vertical="center"/>
    </xf>
    <xf numFmtId="4" fontId="3" fillId="29" borderId="1" xfId="28" applyNumberFormat="1" applyFont="1" applyFill="1" applyBorder="1" applyAlignment="1">
      <alignment vertical="center"/>
    </xf>
    <xf numFmtId="179" fontId="3" fillId="29" borderId="1" xfId="28" applyNumberFormat="1" applyFont="1" applyFill="1" applyBorder="1" applyAlignment="1">
      <alignment vertical="center"/>
    </xf>
    <xf numFmtId="179" fontId="3" fillId="0" borderId="0" xfId="28" applyNumberFormat="1" applyFont="1" applyAlignment="1">
      <alignment vertical="center"/>
    </xf>
    <xf numFmtId="0" fontId="1" fillId="0" borderId="0" xfId="28" applyAlignment="1">
      <alignment vertical="center"/>
    </xf>
    <xf numFmtId="0" fontId="5" fillId="18" borderId="3" xfId="5" applyFont="1" applyFill="1" applyBorder="1" applyAlignment="1">
      <alignment horizontal="left" vertical="center" wrapText="1"/>
    </xf>
    <xf numFmtId="0" fontId="5" fillId="18" borderId="2" xfId="5" applyFont="1" applyFill="1" applyBorder="1" applyAlignment="1">
      <alignment horizontal="left" vertical="center" wrapText="1"/>
    </xf>
    <xf numFmtId="0" fontId="5" fillId="18" borderId="4" xfId="5" applyFont="1" applyFill="1" applyBorder="1" applyAlignment="1">
      <alignment horizontal="left" vertical="center" wrapText="1"/>
    </xf>
    <xf numFmtId="0" fontId="5" fillId="18" borderId="3" xfId="5" applyFont="1" applyFill="1" applyBorder="1" applyAlignment="1">
      <alignment horizontal="right" vertical="center" wrapText="1"/>
    </xf>
    <xf numFmtId="0" fontId="5" fillId="18" borderId="2" xfId="5" applyFont="1" applyFill="1" applyBorder="1" applyAlignment="1">
      <alignment horizontal="right" vertical="center" wrapText="1"/>
    </xf>
    <xf numFmtId="0" fontId="5" fillId="18" borderId="3" xfId="4" applyFont="1" applyFill="1" applyBorder="1" applyAlignment="1">
      <alignment horizontal="left" vertical="center" wrapText="1"/>
    </xf>
    <xf numFmtId="0" fontId="5" fillId="18" borderId="2" xfId="4" applyFont="1" applyFill="1" applyBorder="1" applyAlignment="1">
      <alignment horizontal="left" vertical="center" wrapText="1"/>
    </xf>
    <xf numFmtId="0" fontId="2" fillId="0" borderId="13"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5" xfId="1" applyFont="1" applyBorder="1" applyAlignment="1">
      <alignment horizontal="center" vertical="center" wrapText="1"/>
    </xf>
    <xf numFmtId="0" fontId="5" fillId="19" borderId="3" xfId="28" applyFont="1" applyFill="1" applyBorder="1" applyAlignment="1">
      <alignment horizontal="center" vertical="center"/>
    </xf>
    <xf numFmtId="0" fontId="5" fillId="19" borderId="3" xfId="28" applyFont="1" applyFill="1" applyBorder="1" applyAlignment="1">
      <alignment horizontal="left" vertical="center"/>
    </xf>
    <xf numFmtId="0" fontId="6" fillId="0" borderId="0" xfId="6" applyFont="1" applyAlignment="1">
      <alignment horizontal="left" vertical="center"/>
    </xf>
    <xf numFmtId="0" fontId="2" fillId="0" borderId="1" xfId="30" applyFont="1" applyBorder="1" applyAlignment="1">
      <alignment horizontal="center" vertical="center" wrapText="1"/>
    </xf>
    <xf numFmtId="49" fontId="2" fillId="0" borderId="13" xfId="1" applyNumberFormat="1" applyFont="1" applyBorder="1" applyAlignment="1">
      <alignment horizontal="center" vertical="center" wrapText="1"/>
    </xf>
    <xf numFmtId="49" fontId="3" fillId="0" borderId="1" xfId="1" applyNumberFormat="1" applyFont="1" applyFill="1" applyBorder="1" applyAlignment="1">
      <alignment horizontal="center" vertical="top"/>
    </xf>
    <xf numFmtId="0" fontId="1" fillId="0" borderId="0" xfId="1" applyFill="1"/>
    <xf numFmtId="49" fontId="8" fillId="18" borderId="1" xfId="1" applyNumberFormat="1" applyFont="1" applyFill="1" applyBorder="1" applyAlignment="1">
      <alignment horizontal="center" vertical="top"/>
    </xf>
    <xf numFmtId="0" fontId="23" fillId="18" borderId="1" xfId="17" applyFont="1" applyFill="1" applyBorder="1" applyAlignment="1">
      <alignment vertical="center" wrapText="1"/>
    </xf>
    <xf numFmtId="0" fontId="4" fillId="18" borderId="1" xfId="1" applyFont="1" applyFill="1" applyBorder="1" applyAlignment="1">
      <alignment vertical="center"/>
    </xf>
    <xf numFmtId="166" fontId="4" fillId="18" borderId="1" xfId="3" applyNumberFormat="1" applyFont="1" applyFill="1" applyBorder="1" applyAlignment="1">
      <alignment horizontal="right" vertical="center"/>
    </xf>
    <xf numFmtId="165" fontId="4" fillId="18" borderId="1" xfId="2" applyFont="1" applyFill="1" applyBorder="1" applyAlignment="1" applyProtection="1">
      <alignment horizontal="right" vertical="center"/>
      <protection locked="0"/>
    </xf>
    <xf numFmtId="165" fontId="4" fillId="18" borderId="1" xfId="2" applyFont="1" applyFill="1" applyBorder="1" applyAlignment="1">
      <alignment vertical="center"/>
    </xf>
    <xf numFmtId="49" fontId="3" fillId="18" borderId="1" xfId="1" applyNumberFormat="1" applyFont="1" applyFill="1" applyBorder="1" applyAlignment="1">
      <alignment horizontal="center" vertical="top"/>
    </xf>
    <xf numFmtId="0" fontId="17" fillId="18" borderId="1" xfId="17" applyFont="1" applyFill="1" applyBorder="1" applyAlignment="1">
      <alignment vertical="center" wrapText="1"/>
    </xf>
    <xf numFmtId="0" fontId="5" fillId="18" borderId="1" xfId="1" applyFont="1" applyFill="1" applyBorder="1" applyAlignment="1">
      <alignment vertical="center"/>
    </xf>
    <xf numFmtId="166" fontId="5" fillId="18" borderId="1" xfId="3" applyNumberFormat="1" applyFont="1" applyFill="1" applyBorder="1" applyAlignment="1">
      <alignment horizontal="right" vertical="center"/>
    </xf>
    <xf numFmtId="165" fontId="5" fillId="18" borderId="1" xfId="2" applyFont="1" applyFill="1" applyBorder="1" applyAlignment="1" applyProtection="1">
      <alignment horizontal="right" vertical="center"/>
      <protection locked="0"/>
    </xf>
    <xf numFmtId="165" fontId="5" fillId="18" borderId="1" xfId="2" applyFont="1" applyFill="1" applyBorder="1" applyAlignment="1">
      <alignment vertical="center"/>
    </xf>
    <xf numFmtId="0" fontId="8" fillId="18" borderId="1" xfId="1" applyFont="1" applyFill="1" applyBorder="1" applyAlignment="1">
      <alignment horizontal="center" vertical="center"/>
    </xf>
    <xf numFmtId="0" fontId="5" fillId="18" borderId="1" xfId="1" applyFont="1" applyFill="1" applyBorder="1" applyAlignment="1">
      <alignment horizontal="justify" vertical="center" wrapText="1"/>
    </xf>
    <xf numFmtId="0" fontId="4" fillId="18" borderId="1" xfId="1" applyFont="1" applyFill="1" applyBorder="1" applyAlignment="1">
      <alignment horizontal="center" vertical="center"/>
    </xf>
    <xf numFmtId="166" fontId="4" fillId="18" borderId="1" xfId="3" applyNumberFormat="1" applyFont="1" applyFill="1" applyBorder="1" applyAlignment="1">
      <alignment vertical="center"/>
    </xf>
    <xf numFmtId="165" fontId="4" fillId="18" borderId="1" xfId="2" applyFont="1" applyFill="1" applyBorder="1" applyAlignment="1" applyProtection="1">
      <alignment vertical="center"/>
      <protection locked="0"/>
    </xf>
    <xf numFmtId="0" fontId="4" fillId="18" borderId="1" xfId="17" applyFont="1" applyFill="1" applyBorder="1" applyAlignment="1">
      <alignment horizontal="center" vertical="center"/>
    </xf>
    <xf numFmtId="49" fontId="3" fillId="18" borderId="13" xfId="51" applyNumberFormat="1" applyFont="1" applyFill="1" applyBorder="1" applyAlignment="1">
      <alignment vertical="top"/>
    </xf>
    <xf numFmtId="0" fontId="104" fillId="7" borderId="1" xfId="8" applyFont="1" applyFill="1" applyBorder="1" applyAlignment="1">
      <alignment horizontal="left" vertical="top" wrapText="1"/>
    </xf>
    <xf numFmtId="0" fontId="5" fillId="7" borderId="1" xfId="1" applyFont="1" applyFill="1" applyBorder="1" applyAlignment="1">
      <alignment vertical="center"/>
    </xf>
    <xf numFmtId="166" fontId="5" fillId="7" borderId="1" xfId="3" applyNumberFormat="1" applyFont="1" applyFill="1" applyBorder="1" applyAlignment="1">
      <alignment horizontal="right" vertical="center"/>
    </xf>
    <xf numFmtId="165" fontId="5" fillId="7" borderId="1" xfId="2" applyFont="1" applyFill="1" applyBorder="1" applyAlignment="1" applyProtection="1">
      <alignment horizontal="right" vertical="center"/>
      <protection locked="0"/>
    </xf>
    <xf numFmtId="165" fontId="5" fillId="7" borderId="1" xfId="2" applyFont="1" applyFill="1" applyBorder="1" applyAlignment="1">
      <alignment vertical="center"/>
    </xf>
    <xf numFmtId="0" fontId="105" fillId="7" borderId="1" xfId="8" applyFont="1" applyFill="1" applyBorder="1" applyAlignment="1">
      <alignment horizontal="left" vertical="top" wrapText="1"/>
    </xf>
    <xf numFmtId="0" fontId="105" fillId="7" borderId="1" xfId="8" applyFont="1" applyFill="1" applyBorder="1" applyAlignment="1">
      <alignment horizontal="justify" vertical="top" wrapText="1"/>
    </xf>
    <xf numFmtId="49" fontId="8" fillId="7" borderId="1" xfId="30" applyNumberFormat="1" applyFont="1" applyFill="1" applyBorder="1" applyAlignment="1">
      <alignment horizontal="center" vertical="center"/>
    </xf>
    <xf numFmtId="0" fontId="5" fillId="7" borderId="1" xfId="30" applyFont="1" applyFill="1" applyBorder="1" applyAlignment="1">
      <alignment vertical="top" wrapText="1"/>
    </xf>
    <xf numFmtId="0" fontId="3" fillId="7" borderId="1" xfId="7" applyFont="1" applyFill="1" applyBorder="1" applyAlignment="1">
      <alignment horizontal="center" vertical="center"/>
    </xf>
    <xf numFmtId="175" fontId="3" fillId="7" borderId="1" xfId="28" applyNumberFormat="1" applyFont="1" applyFill="1" applyBorder="1" applyAlignment="1">
      <alignment vertical="center"/>
    </xf>
    <xf numFmtId="165" fontId="3" fillId="7" borderId="1" xfId="15" applyFont="1" applyFill="1" applyBorder="1" applyAlignment="1" applyProtection="1">
      <alignment vertical="center"/>
      <protection locked="0"/>
    </xf>
    <xf numFmtId="4" fontId="3" fillId="7" borderId="1" xfId="15" applyNumberFormat="1" applyFont="1" applyFill="1" applyBorder="1" applyAlignment="1">
      <alignment vertical="center"/>
    </xf>
    <xf numFmtId="0" fontId="2" fillId="7" borderId="1" xfId="30" applyFont="1" applyFill="1" applyBorder="1" applyAlignment="1">
      <alignment horizontal="center" vertical="top"/>
    </xf>
    <xf numFmtId="0" fontId="3" fillId="7" borderId="1" xfId="28" applyFont="1" applyFill="1" applyBorder="1" applyAlignment="1">
      <alignment horizontal="left" vertical="top" wrapText="1"/>
    </xf>
    <xf numFmtId="165" fontId="3" fillId="7" borderId="1" xfId="15" applyFont="1" applyFill="1" applyBorder="1" applyAlignment="1">
      <alignment vertical="center"/>
    </xf>
    <xf numFmtId="0" fontId="21" fillId="7" borderId="0" xfId="28" applyFont="1" applyFill="1"/>
    <xf numFmtId="0" fontId="106" fillId="7" borderId="1" xfId="28" applyFont="1" applyFill="1" applyBorder="1" applyAlignment="1">
      <alignment vertical="center"/>
    </xf>
    <xf numFmtId="0" fontId="6" fillId="7" borderId="1" xfId="7" applyFont="1" applyFill="1" applyBorder="1" applyAlignment="1">
      <alignment horizontal="center" vertical="center"/>
    </xf>
    <xf numFmtId="175" fontId="6" fillId="7" borderId="1" xfId="28" applyNumberFormat="1" applyFont="1" applyFill="1" applyBorder="1" applyAlignment="1">
      <alignment vertical="center"/>
    </xf>
    <xf numFmtId="0" fontId="6" fillId="7" borderId="1" xfId="1" applyFont="1" applyFill="1" applyBorder="1" applyAlignment="1">
      <alignment horizontal="center" vertical="center"/>
    </xf>
    <xf numFmtId="0" fontId="10" fillId="7" borderId="1" xfId="1" applyFont="1" applyFill="1" applyBorder="1" applyAlignment="1">
      <alignment vertical="center" wrapText="1"/>
    </xf>
    <xf numFmtId="164" fontId="66" fillId="7" borderId="1" xfId="1" applyNumberFormat="1" applyFont="1" applyFill="1" applyBorder="1" applyAlignment="1">
      <alignment vertical="center"/>
    </xf>
    <xf numFmtId="164" fontId="66" fillId="7" borderId="1" xfId="3" applyNumberFormat="1" applyFont="1" applyFill="1" applyBorder="1" applyAlignment="1">
      <alignment vertical="center"/>
    </xf>
    <xf numFmtId="164" fontId="66" fillId="7" borderId="1" xfId="3" applyNumberFormat="1" applyFont="1" applyFill="1" applyBorder="1" applyAlignment="1" applyProtection="1">
      <alignment vertical="center"/>
      <protection locked="0"/>
    </xf>
    <xf numFmtId="0" fontId="8" fillId="7" borderId="1" xfId="1" applyFont="1" applyFill="1" applyBorder="1" applyAlignment="1">
      <alignment horizontal="center" vertical="center"/>
    </xf>
    <xf numFmtId="0" fontId="3" fillId="7" borderId="1" xfId="43" applyFont="1" applyFill="1" applyBorder="1" applyAlignment="1">
      <alignment horizontal="left" vertical="top" wrapText="1"/>
    </xf>
    <xf numFmtId="164" fontId="2" fillId="7" borderId="1" xfId="7" applyNumberFormat="1" applyFont="1" applyFill="1" applyBorder="1" applyAlignment="1">
      <alignment horizontal="center" vertical="center"/>
    </xf>
    <xf numFmtId="164" fontId="2" fillId="7" borderId="1" xfId="1" applyNumberFormat="1" applyFont="1" applyFill="1" applyBorder="1" applyAlignment="1">
      <alignment vertical="center"/>
    </xf>
    <xf numFmtId="164" fontId="2" fillId="7" borderId="1" xfId="3" applyNumberFormat="1" applyFont="1" applyFill="1" applyBorder="1" applyAlignment="1" applyProtection="1">
      <alignment vertical="center"/>
      <protection locked="0"/>
    </xf>
    <xf numFmtId="164" fontId="2" fillId="7" borderId="1" xfId="3" applyNumberFormat="1" applyFont="1" applyFill="1" applyBorder="1" applyAlignment="1">
      <alignment vertical="center"/>
    </xf>
    <xf numFmtId="0" fontId="3" fillId="7" borderId="1" xfId="44" applyFont="1" applyFill="1" applyBorder="1" applyAlignment="1">
      <alignment horizontal="left" vertical="top" wrapText="1"/>
    </xf>
    <xf numFmtId="0" fontId="3" fillId="7" borderId="1" xfId="45" applyFont="1" applyFill="1" applyBorder="1" applyAlignment="1">
      <alignment horizontal="left" vertical="top" wrapText="1"/>
    </xf>
    <xf numFmtId="0" fontId="3" fillId="7" borderId="1" xfId="35" applyFont="1" applyFill="1" applyBorder="1" applyAlignment="1">
      <alignment horizontal="left" vertical="top" wrapText="1"/>
    </xf>
    <xf numFmtId="0" fontId="3" fillId="7" borderId="1" xfId="46" applyFont="1" applyFill="1" applyBorder="1" applyAlignment="1">
      <alignment horizontal="left" vertical="top" wrapText="1"/>
    </xf>
    <xf numFmtId="0" fontId="21" fillId="7" borderId="0" xfId="36" applyFont="1" applyFill="1"/>
    <xf numFmtId="0" fontId="106" fillId="7" borderId="1" xfId="36" applyFont="1" applyFill="1" applyBorder="1"/>
    <xf numFmtId="164" fontId="6" fillId="7" borderId="1" xfId="7" applyNumberFormat="1" applyFont="1" applyFill="1" applyBorder="1" applyAlignment="1">
      <alignment horizontal="center" vertical="center"/>
    </xf>
    <xf numFmtId="4" fontId="8" fillId="2" borderId="4" xfId="17" applyNumberFormat="1" applyFont="1" applyFill="1" applyBorder="1" applyAlignment="1" applyProtection="1">
      <alignment vertical="center"/>
      <protection locked="0"/>
    </xf>
    <xf numFmtId="49" fontId="24" fillId="0" borderId="1" xfId="17" applyNumberFormat="1" applyFont="1" applyBorder="1" applyAlignment="1">
      <alignment horizontal="center" vertical="center" wrapText="1"/>
    </xf>
    <xf numFmtId="165" fontId="4" fillId="0" borderId="1" xfId="17" applyNumberFormat="1" applyFont="1" applyBorder="1" applyAlignment="1" applyProtection="1">
      <alignment vertical="center"/>
      <protection locked="0"/>
    </xf>
    <xf numFmtId="0" fontId="4" fillId="0" borderId="1" xfId="17" applyFont="1" applyBorder="1" applyAlignment="1">
      <alignment horizontal="left" vertical="top" wrapText="1"/>
    </xf>
    <xf numFmtId="165" fontId="5" fillId="18" borderId="2" xfId="2" applyNumberFormat="1" applyFont="1" applyFill="1" applyBorder="1" applyAlignment="1">
      <alignment horizontal="center" vertical="center"/>
    </xf>
    <xf numFmtId="4" fontId="5" fillId="3" borderId="1" xfId="5" applyNumberFormat="1" applyFont="1" applyFill="1" applyBorder="1" applyAlignment="1">
      <alignment horizontal="center" vertical="center"/>
    </xf>
    <xf numFmtId="4" fontId="5" fillId="3" borderId="1" xfId="4" applyNumberFormat="1" applyFont="1" applyFill="1" applyBorder="1" applyAlignment="1">
      <alignment horizontal="center" vertical="center"/>
    </xf>
    <xf numFmtId="49" fontId="5" fillId="3" borderId="1" xfId="4" applyNumberFormat="1" applyFont="1" applyFill="1" applyBorder="1" applyAlignment="1">
      <alignment horizontal="left" vertical="center"/>
    </xf>
    <xf numFmtId="165" fontId="5" fillId="18" borderId="2" xfId="2" applyNumberFormat="1" applyFont="1" applyFill="1" applyBorder="1" applyAlignment="1">
      <alignment horizontal="right" vertical="center"/>
    </xf>
    <xf numFmtId="165" fontId="5" fillId="3" borderId="2" xfId="2" applyNumberFormat="1" applyFont="1" applyFill="1" applyBorder="1" applyAlignment="1">
      <alignment horizontal="right" vertical="center"/>
    </xf>
    <xf numFmtId="4" fontId="14" fillId="3" borderId="1" xfId="4" applyNumberFormat="1" applyFont="1" applyFill="1" applyBorder="1" applyAlignment="1">
      <alignment horizontal="center" vertical="center"/>
    </xf>
    <xf numFmtId="166" fontId="5" fillId="18" borderId="3" xfId="4" applyNumberFormat="1" applyFont="1" applyFill="1" applyBorder="1" applyAlignment="1">
      <alignment vertical="center"/>
    </xf>
    <xf numFmtId="0" fontId="4" fillId="18" borderId="3" xfId="4" applyFont="1" applyFill="1" applyBorder="1" applyAlignment="1">
      <alignment vertical="center"/>
    </xf>
    <xf numFmtId="166" fontId="4" fillId="18" borderId="3" xfId="4" applyNumberFormat="1" applyFont="1" applyFill="1" applyBorder="1" applyAlignment="1">
      <alignment vertical="center"/>
    </xf>
    <xf numFmtId="165" fontId="5" fillId="18" borderId="2" xfId="4" applyNumberFormat="1" applyFont="1" applyFill="1" applyBorder="1" applyAlignment="1">
      <alignment horizontal="center" vertical="center"/>
    </xf>
    <xf numFmtId="166" fontId="5" fillId="18" borderId="3" xfId="4" applyNumberFormat="1" applyFont="1" applyFill="1" applyBorder="1" applyAlignment="1">
      <alignment horizontal="left" vertical="center"/>
    </xf>
    <xf numFmtId="166" fontId="5" fillId="18" borderId="3" xfId="4" applyNumberFormat="1" applyFont="1" applyFill="1" applyBorder="1" applyAlignment="1">
      <alignment horizontal="right" vertical="center"/>
    </xf>
    <xf numFmtId="49" fontId="3" fillId="2" borderId="4" xfId="28" quotePrefix="1" applyNumberFormat="1" applyFont="1" applyFill="1" applyBorder="1" applyAlignment="1">
      <alignment horizontal="center" vertical="center"/>
    </xf>
    <xf numFmtId="0" fontId="4" fillId="2" borderId="4" xfId="28" applyFont="1" applyFill="1" applyBorder="1" applyAlignment="1">
      <alignment vertical="center" wrapText="1"/>
    </xf>
    <xf numFmtId="0" fontId="4" fillId="2" borderId="3" xfId="28" applyFont="1" applyFill="1" applyBorder="1" applyAlignment="1">
      <alignment vertical="center" wrapText="1"/>
    </xf>
    <xf numFmtId="166" fontId="4" fillId="2" borderId="3" xfId="28" applyNumberFormat="1" applyFont="1" applyFill="1" applyBorder="1" applyAlignment="1">
      <alignment vertical="center" wrapText="1"/>
    </xf>
    <xf numFmtId="4" fontId="5" fillId="2" borderId="2" xfId="28" applyNumberFormat="1" applyFont="1" applyFill="1" applyBorder="1" applyAlignment="1" applyProtection="1">
      <alignment horizontal="right" vertical="center"/>
      <protection locked="0"/>
    </xf>
    <xf numFmtId="165" fontId="5" fillId="2" borderId="2" xfId="29" applyFont="1" applyFill="1" applyBorder="1" applyAlignment="1" applyProtection="1">
      <alignment horizontal="center" vertical="center"/>
    </xf>
    <xf numFmtId="49" fontId="8" fillId="3" borderId="1" xfId="28" quotePrefix="1" applyNumberFormat="1" applyFont="1" applyFill="1" applyBorder="1" applyAlignment="1">
      <alignment horizontal="left" vertical="center"/>
    </xf>
    <xf numFmtId="0" fontId="5" fillId="3" borderId="4" xfId="28" applyFont="1" applyFill="1" applyBorder="1" applyAlignment="1">
      <alignment horizontal="left" vertical="center" wrapText="1"/>
    </xf>
    <xf numFmtId="0" fontId="4" fillId="3" borderId="3" xfId="28" applyFont="1" applyFill="1" applyBorder="1" applyAlignment="1">
      <alignment horizontal="center" vertical="center" wrapText="1"/>
    </xf>
    <xf numFmtId="166" fontId="4" fillId="3" borderId="3" xfId="28" applyNumberFormat="1" applyFont="1" applyFill="1" applyBorder="1" applyAlignment="1">
      <alignment horizontal="center" vertical="center" wrapText="1"/>
    </xf>
    <xf numFmtId="4" fontId="5" fillId="3" borderId="2" xfId="28" applyNumberFormat="1" applyFont="1" applyFill="1" applyBorder="1" applyAlignment="1" applyProtection="1">
      <alignment horizontal="center" vertical="center"/>
      <protection locked="0"/>
    </xf>
    <xf numFmtId="165" fontId="5" fillId="3" borderId="1" xfId="29" applyNumberFormat="1" applyFont="1" applyFill="1" applyBorder="1" applyAlignment="1" applyProtection="1">
      <alignment horizontal="center" vertical="center"/>
    </xf>
    <xf numFmtId="49" fontId="8" fillId="3" borderId="1" xfId="17" applyNumberFormat="1" applyFont="1" applyFill="1" applyBorder="1" applyAlignment="1">
      <alignment horizontal="left" vertical="center"/>
    </xf>
    <xf numFmtId="0" fontId="14" fillId="3" borderId="4" xfId="17" applyFont="1" applyFill="1" applyBorder="1" applyAlignment="1">
      <alignment horizontal="left" vertical="center" wrapText="1"/>
    </xf>
    <xf numFmtId="182" fontId="5" fillId="18" borderId="1" xfId="2" applyNumberFormat="1" applyFont="1" applyFill="1" applyBorder="1" applyAlignment="1" applyProtection="1">
      <alignment horizontal="center" vertical="center"/>
    </xf>
    <xf numFmtId="4" fontId="5" fillId="3" borderId="1" xfId="17" applyNumberFormat="1" applyFont="1" applyFill="1" applyBorder="1" applyAlignment="1">
      <alignment horizontal="center" vertical="center"/>
    </xf>
    <xf numFmtId="0" fontId="5" fillId="19" borderId="3" xfId="28" applyFont="1" applyFill="1" applyBorder="1" applyAlignment="1">
      <alignment horizontal="left" vertical="center"/>
    </xf>
    <xf numFmtId="0" fontId="12" fillId="0" borderId="1" xfId="1" applyFont="1" applyFill="1" applyBorder="1" applyAlignment="1">
      <alignment horizontal="center" vertical="top"/>
    </xf>
    <xf numFmtId="0" fontId="12" fillId="0" borderId="1" xfId="1" applyFont="1" applyFill="1" applyBorder="1" applyAlignment="1">
      <alignment wrapText="1"/>
    </xf>
    <xf numFmtId="0" fontId="9" fillId="0" borderId="1" xfId="1" applyFont="1" applyFill="1" applyBorder="1" applyAlignment="1">
      <alignment horizontal="center" vertical="center"/>
    </xf>
    <xf numFmtId="0" fontId="92" fillId="2" borderId="1" xfId="1" applyFont="1" applyFill="1" applyBorder="1" applyAlignment="1">
      <alignment wrapText="1"/>
    </xf>
    <xf numFmtId="0" fontId="91" fillId="2" borderId="1" xfId="1" applyFont="1" applyFill="1" applyBorder="1" applyAlignment="1">
      <alignment horizontal="center" vertical="center"/>
    </xf>
    <xf numFmtId="166" fontId="91" fillId="2" borderId="1" xfId="3" applyNumberFormat="1" applyFont="1" applyFill="1" applyBorder="1" applyAlignment="1">
      <alignment vertical="center"/>
    </xf>
    <xf numFmtId="4" fontId="91" fillId="2" borderId="1" xfId="3" applyNumberFormat="1" applyFont="1" applyFill="1" applyBorder="1" applyAlignment="1" applyProtection="1">
      <alignment vertical="center"/>
      <protection locked="0"/>
    </xf>
    <xf numFmtId="0" fontId="92" fillId="2" borderId="1" xfId="1" applyFont="1" applyFill="1" applyBorder="1" applyAlignment="1">
      <alignment horizontal="center" vertical="center"/>
    </xf>
    <xf numFmtId="49" fontId="8" fillId="18" borderId="1" xfId="28" quotePrefix="1" applyNumberFormat="1" applyFont="1" applyFill="1" applyBorder="1" applyAlignment="1">
      <alignment vertical="center"/>
    </xf>
    <xf numFmtId="0" fontId="8" fillId="18" borderId="1" xfId="28" applyFont="1" applyFill="1" applyBorder="1" applyAlignment="1">
      <alignment vertical="center"/>
    </xf>
    <xf numFmtId="0" fontId="3" fillId="18" borderId="1" xfId="28" applyFont="1" applyFill="1" applyBorder="1" applyAlignment="1">
      <alignment vertical="center"/>
    </xf>
    <xf numFmtId="166" fontId="3" fillId="18" borderId="1" xfId="28" applyNumberFormat="1" applyFont="1" applyFill="1" applyBorder="1" applyAlignment="1">
      <alignment vertical="center"/>
    </xf>
    <xf numFmtId="4" fontId="8" fillId="18" borderId="4" xfId="28" applyNumberFormat="1" applyFont="1" applyFill="1" applyBorder="1" applyAlignment="1" applyProtection="1">
      <alignment vertical="center"/>
      <protection locked="0"/>
    </xf>
    <xf numFmtId="165" fontId="8" fillId="18" borderId="1" xfId="29" applyFont="1" applyFill="1" applyBorder="1" applyAlignment="1" applyProtection="1">
      <alignment vertical="center"/>
    </xf>
    <xf numFmtId="0" fontId="6" fillId="18" borderId="1" xfId="1" applyFont="1" applyFill="1" applyBorder="1" applyAlignment="1">
      <alignment horizontal="center" vertical="center" wrapText="1"/>
    </xf>
    <xf numFmtId="0" fontId="5" fillId="18" borderId="1" xfId="1" applyFont="1" applyFill="1" applyBorder="1" applyAlignment="1">
      <alignment horizontal="center" vertical="center" wrapText="1"/>
    </xf>
    <xf numFmtId="166" fontId="5" fillId="18" borderId="1" xfId="15" applyNumberFormat="1" applyFont="1" applyFill="1" applyBorder="1" applyAlignment="1">
      <alignment vertical="center"/>
    </xf>
    <xf numFmtId="4" fontId="5" fillId="18" borderId="1" xfId="15" applyNumberFormat="1" applyFont="1" applyFill="1" applyBorder="1" applyAlignment="1" applyProtection="1">
      <alignment horizontal="center" vertical="center" wrapText="1"/>
      <protection locked="0"/>
    </xf>
    <xf numFmtId="4" fontId="5" fillId="18" borderId="1" xfId="15" applyNumberFormat="1" applyFont="1" applyFill="1" applyBorder="1" applyAlignment="1">
      <alignment horizontal="center" vertical="center"/>
    </xf>
    <xf numFmtId="0" fontId="6" fillId="18" borderId="1" xfId="30" applyFont="1" applyFill="1" applyBorder="1" applyAlignment="1">
      <alignment horizontal="center" vertical="center" wrapText="1"/>
    </xf>
    <xf numFmtId="0" fontId="5" fillId="18" borderId="1" xfId="30" applyFont="1" applyFill="1" applyBorder="1" applyAlignment="1">
      <alignment horizontal="center" vertical="center" wrapText="1"/>
    </xf>
    <xf numFmtId="0" fontId="5" fillId="18" borderId="1" xfId="30" applyFont="1" applyFill="1" applyBorder="1" applyAlignment="1">
      <alignment horizontal="justify" vertical="center" wrapText="1"/>
    </xf>
    <xf numFmtId="165" fontId="8" fillId="18" borderId="1" xfId="15" applyFont="1" applyFill="1" applyBorder="1" applyAlignment="1" applyProtection="1">
      <alignment vertical="center"/>
    </xf>
    <xf numFmtId="166" fontId="5" fillId="18" borderId="1" xfId="3" applyNumberFormat="1" applyFont="1" applyFill="1" applyBorder="1" applyAlignment="1">
      <alignment vertical="center"/>
    </xf>
    <xf numFmtId="4" fontId="5" fillId="18" borderId="1" xfId="3" applyNumberFormat="1" applyFont="1" applyFill="1" applyBorder="1" applyAlignment="1" applyProtection="1">
      <alignment horizontal="center" vertical="center" wrapText="1"/>
      <protection locked="0"/>
    </xf>
    <xf numFmtId="4" fontId="5" fillId="18" borderId="1" xfId="3" applyNumberFormat="1" applyFont="1" applyFill="1" applyBorder="1" applyAlignment="1">
      <alignment horizontal="center" vertical="center"/>
    </xf>
    <xf numFmtId="4" fontId="5" fillId="18" borderId="1" xfId="5" applyNumberFormat="1" applyFont="1" applyFill="1" applyBorder="1" applyAlignment="1">
      <alignment horizontal="left" vertical="center" wrapText="1"/>
    </xf>
    <xf numFmtId="165" fontId="5" fillId="2" borderId="1" xfId="2" applyNumberFormat="1" applyFont="1" applyFill="1" applyBorder="1" applyAlignment="1">
      <alignment horizontal="center" vertical="center"/>
    </xf>
    <xf numFmtId="165" fontId="5" fillId="18" borderId="1" xfId="2" applyNumberFormat="1" applyFont="1" applyFill="1" applyBorder="1" applyAlignment="1">
      <alignment horizontal="center" vertical="center"/>
    </xf>
    <xf numFmtId="4" fontId="5" fillId="18" borderId="1" xfId="5" applyNumberFormat="1" applyFont="1" applyFill="1" applyBorder="1" applyAlignment="1">
      <alignment horizontal="right" vertical="center" wrapText="1"/>
    </xf>
    <xf numFmtId="166" fontId="7" fillId="0" borderId="0" xfId="4" applyNumberFormat="1"/>
    <xf numFmtId="0" fontId="3" fillId="11" borderId="11" xfId="5" applyFill="1" applyBorder="1"/>
    <xf numFmtId="0" fontId="4" fillId="11" borderId="10" xfId="5" applyFont="1" applyFill="1" applyBorder="1"/>
    <xf numFmtId="0" fontId="4" fillId="11" borderId="10" xfId="5" applyFont="1" applyFill="1" applyBorder="1" applyAlignment="1">
      <alignment vertical="center"/>
    </xf>
    <xf numFmtId="0" fontId="4" fillId="11" borderId="9" xfId="5" applyFont="1" applyFill="1" applyBorder="1" applyAlignment="1">
      <alignment vertical="center"/>
    </xf>
    <xf numFmtId="0" fontId="8" fillId="11" borderId="8" xfId="5" applyFont="1" applyFill="1" applyBorder="1"/>
    <xf numFmtId="0" fontId="4" fillId="11" borderId="7" xfId="5" applyFont="1" applyFill="1" applyBorder="1"/>
    <xf numFmtId="0" fontId="4" fillId="11" borderId="6" xfId="5" applyFont="1" applyFill="1" applyBorder="1" applyAlignment="1">
      <alignment vertical="center"/>
    </xf>
    <xf numFmtId="0" fontId="4" fillId="11" borderId="7" xfId="5" applyFont="1" applyFill="1" applyBorder="1" applyAlignment="1">
      <alignment vertical="center"/>
    </xf>
    <xf numFmtId="0" fontId="4" fillId="11" borderId="0" xfId="5" applyFont="1" applyFill="1" applyBorder="1" applyAlignment="1">
      <alignment vertical="center"/>
    </xf>
    <xf numFmtId="0" fontId="3" fillId="11" borderId="15" xfId="5" applyFill="1" applyBorder="1"/>
    <xf numFmtId="0" fontId="4" fillId="11" borderId="0" xfId="5" applyFont="1" applyFill="1" applyBorder="1"/>
    <xf numFmtId="0" fontId="4" fillId="11" borderId="12" xfId="5" applyFont="1" applyFill="1" applyBorder="1" applyAlignment="1">
      <alignment vertical="center"/>
    </xf>
    <xf numFmtId="0" fontId="3" fillId="11" borderId="11" xfId="31" applyFill="1" applyBorder="1"/>
    <xf numFmtId="0" fontId="4" fillId="11" borderId="10" xfId="31" applyFont="1" applyFill="1" applyBorder="1"/>
    <xf numFmtId="0" fontId="4" fillId="11" borderId="10" xfId="31" applyFont="1" applyFill="1" applyBorder="1" applyAlignment="1">
      <alignment vertical="center"/>
    </xf>
    <xf numFmtId="0" fontId="4" fillId="11" borderId="9" xfId="31" applyFont="1" applyFill="1" applyBorder="1" applyAlignment="1">
      <alignment vertical="center"/>
    </xf>
    <xf numFmtId="0" fontId="8" fillId="11" borderId="8" xfId="31" applyFont="1" applyFill="1" applyBorder="1"/>
    <xf numFmtId="0" fontId="4" fillId="11" borderId="7" xfId="31" applyFont="1" applyFill="1" applyBorder="1"/>
    <xf numFmtId="0" fontId="4" fillId="11" borderId="6" xfId="31" applyFont="1" applyFill="1" applyBorder="1" applyAlignment="1">
      <alignment vertical="center"/>
    </xf>
    <xf numFmtId="0" fontId="4" fillId="11" borderId="7" xfId="31" applyFont="1" applyFill="1" applyBorder="1" applyAlignment="1">
      <alignment vertical="center"/>
    </xf>
    <xf numFmtId="49" fontId="3" fillId="2" borderId="1" xfId="1" applyNumberFormat="1" applyFont="1" applyFill="1" applyBorder="1" applyAlignment="1">
      <alignment horizontal="center" vertical="top"/>
    </xf>
    <xf numFmtId="165" fontId="4" fillId="2" borderId="1" xfId="39" applyFont="1" applyFill="1" applyBorder="1" applyAlignment="1" applyProtection="1">
      <alignment horizontal="right" vertical="center"/>
      <protection locked="0"/>
    </xf>
    <xf numFmtId="165" fontId="4" fillId="2" borderId="1" xfId="39" applyFont="1" applyFill="1" applyBorder="1" applyAlignment="1">
      <alignment vertical="center"/>
    </xf>
    <xf numFmtId="0" fontId="17" fillId="2" borderId="1" xfId="0" applyFont="1" applyFill="1" applyBorder="1" applyAlignment="1">
      <alignment vertical="top" wrapText="1"/>
    </xf>
    <xf numFmtId="0" fontId="2" fillId="2" borderId="1" xfId="1" applyFont="1" applyFill="1" applyBorder="1" applyAlignment="1">
      <alignment horizontal="center" vertical="top"/>
    </xf>
    <xf numFmtId="165" fontId="4" fillId="2" borderId="1" xfId="39" applyFont="1" applyFill="1" applyBorder="1" applyAlignment="1" applyProtection="1">
      <alignment vertical="center"/>
      <protection locked="0"/>
    </xf>
    <xf numFmtId="0" fontId="2" fillId="2" borderId="1" xfId="1" applyFont="1" applyFill="1" applyBorder="1" applyAlignment="1">
      <alignment horizontal="center" vertical="center"/>
    </xf>
    <xf numFmtId="49" fontId="17" fillId="0" borderId="1" xfId="7" applyNumberFormat="1" applyFont="1" applyFill="1" applyBorder="1" applyAlignment="1">
      <alignment horizontal="left" vertical="top" wrapText="1"/>
    </xf>
    <xf numFmtId="0" fontId="17" fillId="0" borderId="1" xfId="7" applyFont="1" applyFill="1" applyBorder="1" applyAlignment="1">
      <alignment horizontal="center" vertical="center"/>
    </xf>
    <xf numFmtId="165" fontId="8" fillId="18" borderId="1" xfId="37" applyFont="1" applyFill="1" applyBorder="1" applyAlignment="1" applyProtection="1">
      <alignment vertical="center"/>
    </xf>
    <xf numFmtId="0" fontId="8" fillId="21" borderId="4" xfId="28" applyFont="1" applyFill="1" applyBorder="1" applyAlignment="1">
      <alignment horizontal="left" vertical="center"/>
    </xf>
    <xf numFmtId="0" fontId="8" fillId="21" borderId="1" xfId="28" applyFont="1" applyFill="1" applyBorder="1" applyAlignment="1">
      <alignment horizontal="left" vertical="center" wrapText="1"/>
    </xf>
    <xf numFmtId="0" fontId="8" fillId="18" borderId="1" xfId="28" applyFont="1" applyFill="1" applyBorder="1" applyAlignment="1">
      <alignment horizontal="left" vertical="center"/>
    </xf>
    <xf numFmtId="0" fontId="5" fillId="18" borderId="1" xfId="30" applyFont="1" applyFill="1" applyBorder="1" applyAlignment="1">
      <alignment horizontal="left" vertical="center" wrapText="1"/>
    </xf>
    <xf numFmtId="0" fontId="11" fillId="21" borderId="1" xfId="30" applyFont="1" applyFill="1" applyBorder="1" applyAlignment="1">
      <alignment horizontal="left" vertical="center"/>
    </xf>
    <xf numFmtId="0" fontId="11" fillId="0" borderId="1" xfId="30" applyFont="1" applyBorder="1" applyAlignment="1">
      <alignment horizontal="left" vertical="center"/>
    </xf>
    <xf numFmtId="0" fontId="6" fillId="21" borderId="1" xfId="30" applyFont="1" applyFill="1" applyBorder="1" applyAlignment="1">
      <alignment horizontal="left" vertical="center"/>
    </xf>
    <xf numFmtId="0" fontId="5" fillId="22" borderId="1" xfId="30" applyFont="1" applyFill="1" applyBorder="1" applyAlignment="1">
      <alignment horizontal="left" vertical="center" wrapText="1"/>
    </xf>
    <xf numFmtId="0" fontId="2" fillId="0" borderId="1" xfId="9" applyFont="1" applyBorder="1" applyAlignment="1">
      <alignment horizontal="left" vertical="center" wrapText="1"/>
    </xf>
    <xf numFmtId="0" fontId="63" fillId="0" borderId="1" xfId="9" applyFont="1" applyBorder="1" applyAlignment="1">
      <alignment horizontal="left" vertical="center" wrapText="1"/>
    </xf>
    <xf numFmtId="0" fontId="21" fillId="0" borderId="1" xfId="28" applyFont="1" applyBorder="1" applyAlignment="1">
      <alignment horizontal="left" vertical="center"/>
    </xf>
    <xf numFmtId="0" fontId="3" fillId="0" borderId="1" xfId="6" applyFont="1" applyBorder="1" applyAlignment="1">
      <alignment horizontal="left" vertical="center" wrapText="1"/>
    </xf>
    <xf numFmtId="0" fontId="101" fillId="29" borderId="1" xfId="28" applyFont="1" applyFill="1" applyBorder="1" applyAlignment="1">
      <alignment horizontal="left" vertical="center" wrapText="1"/>
    </xf>
    <xf numFmtId="0" fontId="21" fillId="29" borderId="1" xfId="28" applyFont="1" applyFill="1" applyBorder="1" applyAlignment="1">
      <alignment horizontal="left" vertical="center" wrapText="1"/>
    </xf>
    <xf numFmtId="0" fontId="21" fillId="0" borderId="1" xfId="28" applyFont="1" applyBorder="1" applyAlignment="1">
      <alignment horizontal="left" vertical="center" wrapText="1"/>
    </xf>
    <xf numFmtId="0" fontId="6" fillId="21" borderId="1" xfId="30" applyFont="1" applyFill="1" applyBorder="1" applyAlignment="1">
      <alignment horizontal="left" vertical="center" wrapText="1"/>
    </xf>
    <xf numFmtId="0" fontId="2" fillId="0" borderId="0" xfId="6" applyFont="1" applyAlignment="1">
      <alignment horizontal="left" vertical="center" wrapText="1"/>
    </xf>
    <xf numFmtId="0" fontId="4" fillId="0" borderId="0" xfId="30" applyFont="1" applyAlignment="1">
      <alignment horizontal="left" vertical="center" wrapText="1"/>
    </xf>
    <xf numFmtId="0" fontId="4" fillId="11" borderId="10" xfId="31" applyFont="1" applyFill="1" applyBorder="1" applyAlignment="1">
      <alignment horizontal="left" vertical="center"/>
    </xf>
    <xf numFmtId="0" fontId="4" fillId="11" borderId="7" xfId="31" applyFont="1" applyFill="1" applyBorder="1" applyAlignment="1">
      <alignment horizontal="left" vertical="center"/>
    </xf>
    <xf numFmtId="0" fontId="6" fillId="0" borderId="0" xfId="9" applyFont="1" applyAlignment="1">
      <alignment horizontal="left" vertical="center" wrapText="1"/>
    </xf>
    <xf numFmtId="0" fontId="2" fillId="0" borderId="0" xfId="9" applyFont="1" applyAlignment="1">
      <alignment horizontal="left" vertical="center" wrapText="1"/>
    </xf>
    <xf numFmtId="0" fontId="2" fillId="0" borderId="1" xfId="30" applyFont="1" applyBorder="1" applyAlignment="1">
      <alignment horizontal="left" vertical="center" wrapText="1"/>
    </xf>
    <xf numFmtId="0" fontId="3" fillId="0" borderId="1" xfId="31" applyBorder="1" applyAlignment="1">
      <alignment horizontal="left" vertical="center" wrapText="1"/>
    </xf>
    <xf numFmtId="0" fontId="12" fillId="21" borderId="1" xfId="30" applyFont="1" applyFill="1" applyBorder="1" applyAlignment="1">
      <alignment horizontal="left" vertical="center" wrapText="1"/>
    </xf>
    <xf numFmtId="0" fontId="63" fillId="0" borderId="1" xfId="28" applyFont="1" applyBorder="1" applyAlignment="1">
      <alignment horizontal="left" vertical="center"/>
    </xf>
    <xf numFmtId="0" fontId="63" fillId="0" borderId="1" xfId="6" applyFont="1" applyBorder="1" applyAlignment="1">
      <alignment horizontal="left" vertical="center" wrapText="1"/>
    </xf>
    <xf numFmtId="0" fontId="8" fillId="0" borderId="1" xfId="6" applyFont="1" applyBorder="1" applyAlignment="1">
      <alignment horizontal="left" vertical="center" wrapText="1"/>
    </xf>
    <xf numFmtId="0" fontId="6" fillId="0" borderId="1" xfId="6" applyFont="1" applyBorder="1" applyAlignment="1">
      <alignment horizontal="left" vertical="center" wrapText="1"/>
    </xf>
    <xf numFmtId="0" fontId="3" fillId="29" borderId="1" xfId="30" applyFont="1" applyFill="1" applyBorder="1" applyAlignment="1">
      <alignment horizontal="left" vertical="center" wrapText="1"/>
    </xf>
    <xf numFmtId="0" fontId="1" fillId="0" borderId="1" xfId="28" applyBorder="1" applyAlignment="1">
      <alignment horizontal="left" vertical="center" wrapText="1"/>
    </xf>
    <xf numFmtId="0" fontId="69" fillId="0" borderId="1" xfId="28" applyFont="1" applyBorder="1" applyAlignment="1">
      <alignment horizontal="left" vertical="center" wrapText="1"/>
    </xf>
    <xf numFmtId="0" fontId="3" fillId="0" borderId="1" xfId="30" applyFont="1" applyBorder="1" applyAlignment="1">
      <alignment horizontal="left" vertical="center" wrapText="1"/>
    </xf>
    <xf numFmtId="0" fontId="8" fillId="0" borderId="1" xfId="30" applyFont="1" applyBorder="1" applyAlignment="1">
      <alignment horizontal="left" vertical="center" wrapText="1"/>
    </xf>
    <xf numFmtId="0" fontId="6" fillId="0" borderId="10" xfId="9" applyFont="1" applyBorder="1" applyAlignment="1">
      <alignment horizontal="left" vertical="center" wrapText="1"/>
    </xf>
    <xf numFmtId="0" fontId="69" fillId="9" borderId="1" xfId="28" applyFont="1" applyFill="1" applyBorder="1" applyAlignment="1">
      <alignment wrapText="1"/>
    </xf>
    <xf numFmtId="0" fontId="69" fillId="9" borderId="1" xfId="28" applyFont="1" applyFill="1" applyBorder="1"/>
    <xf numFmtId="4" fontId="69" fillId="9" borderId="1" xfId="15" applyNumberFormat="1" applyFont="1" applyFill="1" applyBorder="1" applyAlignment="1">
      <alignment horizontal="right" vertical="center"/>
    </xf>
    <xf numFmtId="4" fontId="8" fillId="9" borderId="1" xfId="15" applyNumberFormat="1" applyFont="1" applyFill="1" applyBorder="1" applyAlignment="1">
      <alignment horizontal="right" vertical="center"/>
    </xf>
    <xf numFmtId="49" fontId="8" fillId="18" borderId="1" xfId="31" quotePrefix="1" applyNumberFormat="1" applyFont="1" applyFill="1" applyBorder="1" applyAlignment="1">
      <alignment horizontal="left"/>
    </xf>
    <xf numFmtId="0" fontId="5" fillId="18" borderId="1" xfId="31" applyFont="1" applyFill="1" applyBorder="1"/>
    <xf numFmtId="0" fontId="4" fillId="18" borderId="1" xfId="31" applyFont="1" applyFill="1" applyBorder="1" applyAlignment="1">
      <alignment vertical="center"/>
    </xf>
    <xf numFmtId="166" fontId="4" fillId="18" borderId="1" xfId="31" applyNumberFormat="1" applyFont="1" applyFill="1" applyBorder="1" applyAlignment="1">
      <alignment vertical="center"/>
    </xf>
    <xf numFmtId="4" fontId="5" fillId="18" borderId="4" xfId="31" applyNumberFormat="1" applyFont="1" applyFill="1" applyBorder="1" applyAlignment="1" applyProtection="1">
      <alignment horizontal="right" vertical="center"/>
      <protection locked="0"/>
    </xf>
    <xf numFmtId="165" fontId="5" fillId="18" borderId="1" xfId="15" applyFont="1" applyFill="1" applyBorder="1" applyAlignment="1" applyProtection="1">
      <alignment horizontal="right" vertical="center"/>
    </xf>
    <xf numFmtId="0" fontId="6" fillId="0" borderId="1" xfId="30" applyFont="1" applyFill="1" applyBorder="1" applyAlignment="1">
      <alignment horizontal="center" vertical="top"/>
    </xf>
    <xf numFmtId="0" fontId="5" fillId="0" borderId="1" xfId="30" applyFont="1" applyFill="1" applyBorder="1" applyAlignment="1">
      <alignment vertical="top"/>
    </xf>
    <xf numFmtId="0" fontId="5" fillId="0" borderId="1" xfId="30" applyFont="1" applyFill="1" applyBorder="1" applyAlignment="1">
      <alignment horizontal="center" vertical="center"/>
    </xf>
    <xf numFmtId="4" fontId="5" fillId="0" borderId="1" xfId="15" applyNumberFormat="1" applyFont="1" applyFill="1" applyBorder="1" applyAlignment="1" applyProtection="1">
      <alignment vertical="center"/>
      <protection locked="0"/>
    </xf>
    <xf numFmtId="0" fontId="24" fillId="0" borderId="1" xfId="0" applyFont="1" applyBorder="1" applyAlignment="1">
      <alignment vertical="center" wrapText="1"/>
    </xf>
    <xf numFmtId="165" fontId="66" fillId="0" borderId="1" xfId="2" applyFont="1" applyBorder="1" applyAlignment="1" applyProtection="1">
      <alignment vertical="center"/>
      <protection locked="0"/>
    </xf>
    <xf numFmtId="0" fontId="4" fillId="0" borderId="15" xfId="35" applyFont="1" applyBorder="1" applyAlignment="1">
      <alignment horizontal="left" vertical="top" wrapText="1"/>
    </xf>
    <xf numFmtId="0" fontId="108" fillId="0" borderId="15" xfId="11" applyFont="1" applyBorder="1" applyAlignment="1">
      <alignment horizontal="center" vertical="center"/>
    </xf>
    <xf numFmtId="4" fontId="108" fillId="0" borderId="15" xfId="11" applyNumberFormat="1" applyFont="1" applyBorder="1" applyAlignment="1">
      <alignment horizontal="right" vertical="center"/>
    </xf>
    <xf numFmtId="0" fontId="92" fillId="21" borderId="1" xfId="30" applyFont="1" applyFill="1" applyBorder="1" applyAlignment="1">
      <alignment horizontal="center" vertical="center"/>
    </xf>
    <xf numFmtId="0" fontId="92" fillId="21" borderId="1" xfId="30" applyFont="1" applyFill="1" applyBorder="1" applyAlignment="1">
      <alignment vertical="center" wrapText="1"/>
    </xf>
    <xf numFmtId="165" fontId="5" fillId="0" borderId="1" xfId="15" applyFont="1" applyFill="1" applyBorder="1" applyAlignment="1" applyProtection="1">
      <alignment horizontal="right" vertical="center"/>
    </xf>
    <xf numFmtId="49" fontId="8" fillId="0" borderId="1" xfId="51" quotePrefix="1" applyNumberFormat="1" applyFont="1" applyFill="1" applyBorder="1" applyAlignment="1">
      <alignment vertical="center"/>
    </xf>
    <xf numFmtId="0" fontId="8" fillId="0" borderId="1" xfId="51" applyFont="1" applyFill="1" applyBorder="1" applyAlignment="1">
      <alignment vertical="center"/>
    </xf>
    <xf numFmtId="0" fontId="3" fillId="0" borderId="1" xfId="51" applyFont="1" applyFill="1" applyBorder="1" applyAlignment="1">
      <alignment vertical="center"/>
    </xf>
    <xf numFmtId="166" fontId="3" fillId="0" borderId="1" xfId="51" applyNumberFormat="1" applyFont="1" applyFill="1" applyBorder="1" applyAlignment="1">
      <alignment vertical="center"/>
    </xf>
    <xf numFmtId="4" fontId="8" fillId="0" borderId="4" xfId="51" applyNumberFormat="1" applyFont="1" applyFill="1" applyBorder="1" applyAlignment="1" applyProtection="1">
      <alignment vertical="center"/>
      <protection locked="0"/>
    </xf>
    <xf numFmtId="164" fontId="8" fillId="0" borderId="1" xfId="2" applyNumberFormat="1" applyFont="1" applyFill="1" applyBorder="1" applyAlignment="1" applyProtection="1">
      <alignment vertical="center"/>
    </xf>
    <xf numFmtId="0" fontId="6" fillId="0" borderId="1" xfId="1" applyFont="1" applyFill="1" applyBorder="1" applyAlignment="1">
      <alignment horizontal="center" vertical="center"/>
    </xf>
    <xf numFmtId="0" fontId="5" fillId="0" borderId="1" xfId="1" applyFont="1" applyFill="1" applyBorder="1" applyAlignment="1">
      <alignment vertical="center"/>
    </xf>
    <xf numFmtId="164" fontId="5" fillId="0" borderId="1" xfId="3" applyNumberFormat="1" applyFont="1" applyFill="1" applyBorder="1" applyAlignment="1" applyProtection="1">
      <alignment vertical="center"/>
      <protection locked="0"/>
    </xf>
    <xf numFmtId="164" fontId="5" fillId="0" borderId="1" xfId="2" applyNumberFormat="1" applyFont="1" applyFill="1" applyBorder="1" applyAlignment="1">
      <alignment vertical="center"/>
    </xf>
    <xf numFmtId="0" fontId="5" fillId="0" borderId="11" xfId="1" applyFont="1" applyFill="1" applyBorder="1" applyAlignment="1">
      <alignment horizontal="justify" vertical="center" wrapText="1"/>
    </xf>
    <xf numFmtId="0" fontId="4" fillId="0" borderId="10" xfId="1" applyFont="1" applyFill="1" applyBorder="1" applyAlignment="1">
      <alignment horizontal="center" vertical="center"/>
    </xf>
    <xf numFmtId="166" fontId="4" fillId="0" borderId="10" xfId="3" applyNumberFormat="1" applyFont="1" applyFill="1" applyBorder="1" applyAlignment="1">
      <alignment vertical="center"/>
    </xf>
    <xf numFmtId="164" fontId="4" fillId="0" borderId="10" xfId="3" applyNumberFormat="1" applyFont="1" applyFill="1" applyBorder="1" applyAlignment="1" applyProtection="1">
      <alignment vertical="center"/>
      <protection locked="0"/>
    </xf>
    <xf numFmtId="164" fontId="5" fillId="0" borderId="9" xfId="2" applyNumberFormat="1" applyFont="1" applyFill="1" applyBorder="1" applyAlignment="1">
      <alignment vertical="center"/>
    </xf>
    <xf numFmtId="49" fontId="5" fillId="2" borderId="39" xfId="18" applyNumberFormat="1" applyFont="1" applyFill="1" applyBorder="1" applyAlignment="1">
      <alignment horizontal="center" vertical="center" wrapText="1"/>
    </xf>
    <xf numFmtId="0" fontId="5" fillId="2" borderId="40" xfId="5" applyFont="1" applyFill="1" applyBorder="1" applyAlignment="1">
      <alignment horizontal="left" vertical="top" wrapText="1"/>
    </xf>
    <xf numFmtId="4" fontId="4" fillId="2" borderId="26" xfId="5" applyNumberFormat="1" applyFont="1" applyFill="1" applyBorder="1" applyAlignment="1">
      <alignment horizontal="center"/>
    </xf>
    <xf numFmtId="2" fontId="4" fillId="2" borderId="41" xfId="5" applyNumberFormat="1" applyFont="1" applyFill="1" applyBorder="1" applyAlignment="1">
      <alignment horizontal="center"/>
    </xf>
    <xf numFmtId="165" fontId="4" fillId="2" borderId="42" xfId="5" applyNumberFormat="1" applyFont="1" applyFill="1" applyBorder="1" applyAlignment="1" applyProtection="1">
      <alignment horizontal="right"/>
      <protection locked="0"/>
    </xf>
    <xf numFmtId="165" fontId="5" fillId="2" borderId="40" xfId="5" applyNumberFormat="1" applyFont="1" applyFill="1" applyBorder="1" applyAlignment="1" applyProtection="1">
      <alignment horizontal="right"/>
      <protection locked="0"/>
    </xf>
    <xf numFmtId="170" fontId="5" fillId="2" borderId="43" xfId="2" applyNumberFormat="1" applyFont="1" applyFill="1" applyBorder="1" applyAlignment="1" applyProtection="1">
      <alignment horizontal="left" vertical="center" wrapText="1"/>
    </xf>
    <xf numFmtId="4" fontId="4" fillId="2" borderId="26" xfId="5" applyNumberFormat="1" applyFont="1" applyFill="1" applyBorder="1" applyAlignment="1">
      <alignment horizontal="center" vertical="center"/>
    </xf>
    <xf numFmtId="2" fontId="4" fillId="2" borderId="41" xfId="5" applyNumberFormat="1" applyFont="1" applyFill="1" applyBorder="1" applyAlignment="1">
      <alignment horizontal="center" vertical="center"/>
    </xf>
    <xf numFmtId="165" fontId="4" fillId="2" borderId="43" xfId="5" applyNumberFormat="1" applyFont="1" applyFill="1" applyBorder="1" applyAlignment="1" applyProtection="1">
      <alignment horizontal="center" vertical="center"/>
      <protection locked="0"/>
    </xf>
    <xf numFmtId="165" fontId="5" fillId="2" borderId="28" xfId="5" applyNumberFormat="1" applyFont="1" applyFill="1" applyBorder="1" applyAlignment="1" applyProtection="1">
      <alignment horizontal="right" vertical="center"/>
      <protection locked="0"/>
    </xf>
    <xf numFmtId="49" fontId="5" fillId="2" borderId="26" xfId="18" applyNumberFormat="1" applyFont="1" applyFill="1" applyBorder="1" applyAlignment="1">
      <alignment horizontal="center" vertical="center" wrapText="1"/>
    </xf>
    <xf numFmtId="0" fontId="8" fillId="2" borderId="45" xfId="51" applyFont="1" applyFill="1" applyBorder="1" applyAlignment="1">
      <alignment horizontal="left" vertical="top" wrapText="1"/>
    </xf>
    <xf numFmtId="164" fontId="4" fillId="2" borderId="43" xfId="5" applyNumberFormat="1" applyFont="1" applyFill="1" applyBorder="1" applyAlignment="1" applyProtection="1">
      <alignment horizontal="center" vertical="center"/>
      <protection locked="0"/>
    </xf>
    <xf numFmtId="164" fontId="5" fillId="2" borderId="28" xfId="5" applyNumberFormat="1" applyFont="1" applyFill="1" applyBorder="1" applyAlignment="1" applyProtection="1">
      <alignment horizontal="right" vertical="center"/>
    </xf>
    <xf numFmtId="49" fontId="5" fillId="2" borderId="45" xfId="18" applyNumberFormat="1" applyFont="1" applyFill="1" applyBorder="1" applyAlignment="1">
      <alignment horizontal="center" vertical="center" wrapText="1"/>
    </xf>
    <xf numFmtId="0" fontId="8" fillId="2" borderId="28" xfId="51" applyFont="1" applyFill="1" applyBorder="1" applyAlignment="1">
      <alignment horizontal="left" vertical="top" wrapText="1"/>
    </xf>
    <xf numFmtId="170" fontId="5" fillId="2" borderId="43" xfId="2" applyNumberFormat="1" applyFont="1" applyFill="1" applyBorder="1" applyAlignment="1">
      <alignment horizontal="left" vertical="center" wrapText="1"/>
    </xf>
    <xf numFmtId="164" fontId="8" fillId="2" borderId="42" xfId="51" applyNumberFormat="1" applyFont="1" applyFill="1" applyBorder="1"/>
    <xf numFmtId="49" fontId="5" fillId="0" borderId="12" xfId="18" applyNumberFormat="1" applyFont="1" applyFill="1" applyBorder="1" applyAlignment="1">
      <alignment horizontal="center" vertical="center" wrapText="1"/>
    </xf>
    <xf numFmtId="170" fontId="5" fillId="0" borderId="15" xfId="2" applyNumberFormat="1" applyFont="1" applyFill="1" applyBorder="1" applyAlignment="1">
      <alignment horizontal="left" vertical="center" wrapText="1"/>
    </xf>
    <xf numFmtId="4" fontId="4" fillId="0" borderId="0" xfId="5" applyNumberFormat="1" applyFont="1" applyFill="1" applyBorder="1" applyAlignment="1">
      <alignment horizontal="center" vertical="center"/>
    </xf>
    <xf numFmtId="2" fontId="4" fillId="0" borderId="0" xfId="5" applyNumberFormat="1" applyFont="1" applyFill="1" applyBorder="1" applyAlignment="1">
      <alignment horizontal="center" vertical="center"/>
    </xf>
    <xf numFmtId="164" fontId="4" fillId="0" borderId="0" xfId="5" applyNumberFormat="1" applyFont="1" applyFill="1" applyBorder="1" applyAlignment="1" applyProtection="1">
      <alignment horizontal="center" vertical="center"/>
      <protection locked="0"/>
    </xf>
    <xf numFmtId="164" fontId="8" fillId="0" borderId="12" xfId="51" applyNumberFormat="1" applyFont="1" applyFill="1" applyBorder="1"/>
    <xf numFmtId="0" fontId="107" fillId="11" borderId="1" xfId="1" applyFont="1" applyFill="1" applyBorder="1" applyAlignment="1">
      <alignment horizontal="center" vertical="top"/>
    </xf>
    <xf numFmtId="0" fontId="107" fillId="11" borderId="35" xfId="1" applyFont="1" applyFill="1" applyBorder="1" applyAlignment="1">
      <alignment vertical="top"/>
    </xf>
    <xf numFmtId="0" fontId="107" fillId="11" borderId="17" xfId="1" applyFont="1" applyFill="1" applyBorder="1" applyAlignment="1">
      <alignment vertical="top"/>
    </xf>
    <xf numFmtId="0" fontId="12" fillId="11" borderId="17" xfId="1" applyFont="1" applyFill="1" applyBorder="1" applyAlignment="1">
      <alignment vertical="top"/>
    </xf>
    <xf numFmtId="164" fontId="8" fillId="11" borderId="42" xfId="51" applyNumberFormat="1" applyFont="1" applyFill="1" applyBorder="1"/>
    <xf numFmtId="164" fontId="5" fillId="2" borderId="28" xfId="5" applyNumberFormat="1" applyFont="1" applyFill="1" applyBorder="1" applyAlignment="1" applyProtection="1">
      <alignment horizontal="center" vertical="center"/>
    </xf>
    <xf numFmtId="165" fontId="5" fillId="2" borderId="28" xfId="5" applyNumberFormat="1" applyFont="1" applyFill="1" applyBorder="1" applyAlignment="1" applyProtection="1">
      <alignment horizontal="right" vertical="center"/>
    </xf>
    <xf numFmtId="0" fontId="109" fillId="2" borderId="1" xfId="1" applyFont="1" applyFill="1" applyBorder="1" applyAlignment="1">
      <alignment horizontal="center" vertical="center"/>
    </xf>
    <xf numFmtId="0" fontId="109" fillId="2" borderId="1" xfId="1" applyFont="1" applyFill="1" applyBorder="1" applyAlignment="1">
      <alignment vertical="center"/>
    </xf>
    <xf numFmtId="49" fontId="5" fillId="0" borderId="0" xfId="18" applyNumberFormat="1" applyFont="1" applyBorder="1" applyAlignment="1">
      <alignment horizontal="center" vertical="center" wrapText="1"/>
    </xf>
    <xf numFmtId="0" fontId="8" fillId="12" borderId="0" xfId="5" applyFont="1" applyFill="1" applyBorder="1" applyAlignment="1">
      <alignment horizontal="left" vertical="center" wrapText="1"/>
    </xf>
    <xf numFmtId="4" fontId="4" fillId="12" borderId="0" xfId="5" applyNumberFormat="1" applyFont="1" applyFill="1" applyBorder="1" applyAlignment="1">
      <alignment horizontal="center" vertical="center"/>
    </xf>
    <xf numFmtId="2" fontId="4" fillId="12" borderId="0" xfId="5" applyNumberFormat="1" applyFont="1" applyFill="1" applyBorder="1" applyAlignment="1">
      <alignment horizontal="center" vertical="center"/>
    </xf>
    <xf numFmtId="164" fontId="4" fillId="12" borderId="0" xfId="5" applyNumberFormat="1" applyFont="1" applyFill="1" applyBorder="1" applyAlignment="1" applyProtection="1">
      <alignment horizontal="center" vertical="center"/>
      <protection locked="0"/>
    </xf>
    <xf numFmtId="164" fontId="5" fillId="12" borderId="0" xfId="5" applyNumberFormat="1" applyFont="1" applyFill="1" applyBorder="1" applyAlignment="1" applyProtection="1">
      <alignment horizontal="right" vertical="center"/>
    </xf>
    <xf numFmtId="165" fontId="2" fillId="0" borderId="0" xfId="3" applyFont="1" applyBorder="1" applyAlignment="1">
      <alignment vertical="center"/>
    </xf>
    <xf numFmtId="0" fontId="8" fillId="2" borderId="45" xfId="5" applyFont="1" applyFill="1" applyBorder="1" applyAlignment="1">
      <alignment horizontal="left" vertical="center" wrapText="1"/>
    </xf>
    <xf numFmtId="164" fontId="5" fillId="2" borderId="28" xfId="5" applyNumberFormat="1" applyFont="1" applyFill="1" applyBorder="1" applyAlignment="1" applyProtection="1">
      <alignment horizontal="right" vertical="center"/>
      <protection locked="0"/>
    </xf>
    <xf numFmtId="0" fontId="5" fillId="2" borderId="40" xfId="5" applyFont="1" applyFill="1" applyBorder="1" applyAlignment="1">
      <alignment horizontal="left" vertical="center" wrapText="1"/>
    </xf>
    <xf numFmtId="164" fontId="4" fillId="2" borderId="42" xfId="5" applyNumberFormat="1" applyFont="1" applyFill="1" applyBorder="1" applyAlignment="1" applyProtection="1">
      <alignment horizontal="right" vertical="center"/>
      <protection locked="0"/>
    </xf>
    <xf numFmtId="164" fontId="5" fillId="2" borderId="40" xfId="5" applyNumberFormat="1" applyFont="1" applyFill="1" applyBorder="1" applyAlignment="1" applyProtection="1">
      <alignment horizontal="right" vertical="center"/>
    </xf>
    <xf numFmtId="49" fontId="5" fillId="0" borderId="0" xfId="18" applyNumberFormat="1" applyFont="1" applyFill="1" applyBorder="1" applyAlignment="1">
      <alignment horizontal="center" vertical="center" wrapText="1"/>
    </xf>
    <xf numFmtId="0" fontId="8" fillId="0" borderId="0" xfId="5" applyFont="1" applyFill="1" applyBorder="1" applyAlignment="1">
      <alignment horizontal="left" vertical="center" wrapText="1"/>
    </xf>
    <xf numFmtId="2" fontId="4" fillId="0" borderId="12" xfId="5" applyNumberFormat="1" applyFont="1" applyFill="1" applyBorder="1" applyAlignment="1">
      <alignment horizontal="center" vertical="center"/>
    </xf>
    <xf numFmtId="164" fontId="4" fillId="0" borderId="15" xfId="5" applyNumberFormat="1" applyFont="1" applyFill="1" applyBorder="1" applyAlignment="1" applyProtection="1">
      <alignment horizontal="center" vertical="center"/>
      <protection locked="0"/>
    </xf>
    <xf numFmtId="164" fontId="5" fillId="0" borderId="0" xfId="5" applyNumberFormat="1" applyFont="1" applyFill="1" applyBorder="1" applyAlignment="1" applyProtection="1">
      <alignment horizontal="right" vertical="center"/>
    </xf>
    <xf numFmtId="165" fontId="2" fillId="0" borderId="0" xfId="3" applyFont="1" applyFill="1" applyBorder="1" applyAlignment="1">
      <alignment vertical="center"/>
    </xf>
    <xf numFmtId="0" fontId="12" fillId="11" borderId="1" xfId="1" applyFont="1" applyFill="1" applyBorder="1" applyAlignment="1">
      <alignment horizontal="center" vertical="top"/>
    </xf>
    <xf numFmtId="0" fontId="11" fillId="11" borderId="1" xfId="1" applyFont="1" applyFill="1" applyBorder="1" applyAlignment="1">
      <alignment vertical="center"/>
    </xf>
    <xf numFmtId="0" fontId="9" fillId="11" borderId="1" xfId="1" applyFont="1" applyFill="1" applyBorder="1" applyAlignment="1">
      <alignment vertical="center"/>
    </xf>
    <xf numFmtId="166" fontId="9" fillId="11" borderId="1" xfId="3" applyNumberFormat="1" applyFont="1" applyFill="1" applyBorder="1" applyAlignment="1">
      <alignment vertical="center"/>
    </xf>
    <xf numFmtId="4" fontId="9" fillId="11" borderId="1" xfId="3" applyNumberFormat="1" applyFont="1" applyFill="1" applyBorder="1" applyAlignment="1" applyProtection="1">
      <alignment vertical="center"/>
      <protection locked="0"/>
    </xf>
    <xf numFmtId="4" fontId="9" fillId="11" borderId="1" xfId="3" applyNumberFormat="1" applyFont="1" applyFill="1" applyBorder="1" applyAlignment="1">
      <alignment vertical="center"/>
    </xf>
    <xf numFmtId="0" fontId="110" fillId="0" borderId="0" xfId="1" applyFont="1"/>
    <xf numFmtId="165" fontId="110" fillId="0" borderId="0" xfId="2" applyFont="1"/>
    <xf numFmtId="0" fontId="6" fillId="0" borderId="1" xfId="1" applyFont="1" applyFill="1" applyBorder="1" applyAlignment="1">
      <alignment horizontal="center" vertical="top"/>
    </xf>
    <xf numFmtId="0" fontId="5" fillId="0" borderId="1" xfId="1" applyFont="1" applyFill="1" applyBorder="1" applyAlignment="1">
      <alignment vertical="top"/>
    </xf>
    <xf numFmtId="0" fontId="5" fillId="0" borderId="1" xfId="1" applyFont="1" applyFill="1" applyBorder="1" applyAlignment="1">
      <alignment horizontal="center" vertical="center"/>
    </xf>
    <xf numFmtId="4" fontId="5" fillId="0" borderId="1" xfId="3" applyNumberFormat="1" applyFont="1" applyFill="1" applyBorder="1" applyAlignment="1" applyProtection="1">
      <alignment vertical="center"/>
      <protection locked="0"/>
    </xf>
    <xf numFmtId="4" fontId="5" fillId="0" borderId="1" xfId="3" applyNumberFormat="1" applyFont="1" applyFill="1" applyBorder="1" applyAlignment="1">
      <alignment vertical="center"/>
    </xf>
    <xf numFmtId="0" fontId="6" fillId="11" borderId="1" xfId="1" applyFont="1" applyFill="1" applyBorder="1" applyAlignment="1">
      <alignment horizontal="center" vertical="top"/>
    </xf>
    <xf numFmtId="0" fontId="5" fillId="11" borderId="1" xfId="1" applyFont="1" applyFill="1" applyBorder="1" applyAlignment="1">
      <alignment vertical="top"/>
    </xf>
    <xf numFmtId="166" fontId="5" fillId="11" borderId="1" xfId="3" applyNumberFormat="1" applyFont="1" applyFill="1" applyBorder="1" applyAlignment="1">
      <alignment vertical="center"/>
    </xf>
    <xf numFmtId="4" fontId="5" fillId="11" borderId="1" xfId="3" applyNumberFormat="1" applyFont="1" applyFill="1" applyBorder="1" applyAlignment="1" applyProtection="1">
      <alignment vertical="center"/>
      <protection locked="0"/>
    </xf>
    <xf numFmtId="0" fontId="5" fillId="11" borderId="1" xfId="1" applyFont="1" applyFill="1" applyBorder="1" applyAlignment="1">
      <alignment horizontal="center" vertical="center"/>
    </xf>
    <xf numFmtId="0" fontId="109" fillId="24" borderId="1" xfId="1" applyFont="1" applyFill="1" applyBorder="1" applyAlignment="1">
      <alignment horizontal="center" vertical="top"/>
    </xf>
    <xf numFmtId="0" fontId="109" fillId="24" borderId="1" xfId="1" applyFont="1" applyFill="1" applyBorder="1" applyAlignment="1">
      <alignment vertical="top"/>
    </xf>
    <xf numFmtId="0" fontId="109" fillId="24" borderId="1" xfId="1" applyFont="1" applyFill="1" applyBorder="1" applyAlignment="1">
      <alignment horizontal="center" vertical="center"/>
    </xf>
    <xf numFmtId="166" fontId="109" fillId="24" borderId="1" xfId="3" applyNumberFormat="1" applyFont="1" applyFill="1" applyBorder="1" applyAlignment="1">
      <alignment vertical="center"/>
    </xf>
    <xf numFmtId="4" fontId="109" fillId="24" borderId="1" xfId="3" applyNumberFormat="1" applyFont="1" applyFill="1" applyBorder="1" applyAlignment="1" applyProtection="1">
      <alignment vertical="center"/>
      <protection locked="0"/>
    </xf>
    <xf numFmtId="165" fontId="5" fillId="24" borderId="1" xfId="2" applyFont="1" applyFill="1" applyBorder="1" applyAlignment="1">
      <alignment vertical="center"/>
    </xf>
    <xf numFmtId="0" fontId="4" fillId="0" borderId="0" xfId="10" applyFont="1" applyFill="1" applyProtection="1">
      <protection locked="0"/>
    </xf>
    <xf numFmtId="0" fontId="56" fillId="0" borderId="0" xfId="14" applyFont="1" applyBorder="1" applyAlignment="1">
      <alignment horizontal="left" vertical="center" wrapText="1"/>
    </xf>
    <xf numFmtId="0" fontId="53" fillId="0" borderId="0" xfId="1" applyFont="1" applyBorder="1" applyAlignment="1">
      <alignment horizontal="left" vertical="center" wrapText="1"/>
    </xf>
    <xf numFmtId="0" fontId="56" fillId="0" borderId="0" xfId="12" applyFont="1" applyBorder="1" applyAlignment="1">
      <alignment horizontal="left" vertical="center" wrapText="1" readingOrder="1"/>
    </xf>
    <xf numFmtId="0" fontId="56" fillId="0" borderId="0" xfId="1" applyFont="1" applyBorder="1" applyAlignment="1">
      <alignment horizontal="left" vertical="center" wrapText="1"/>
    </xf>
    <xf numFmtId="172" fontId="56" fillId="0" borderId="0" xfId="27" applyNumberFormat="1" applyFont="1" applyBorder="1" applyAlignment="1">
      <alignment horizontal="left" vertical="center" wrapText="1"/>
    </xf>
    <xf numFmtId="170" fontId="4" fillId="0" borderId="1" xfId="21" applyNumberFormat="1" applyFont="1" applyBorder="1" applyAlignment="1">
      <alignment horizontal="left" vertical="top" wrapText="1"/>
    </xf>
    <xf numFmtId="170" fontId="48" fillId="0" borderId="1" xfId="21" applyNumberFormat="1" applyFont="1" applyBorder="1" applyAlignment="1">
      <alignment horizontal="center" vertical="center"/>
    </xf>
    <xf numFmtId="2" fontId="48" fillId="0" borderId="1" xfId="21" applyNumberFormat="1" applyFont="1" applyBorder="1" applyAlignment="1">
      <alignment horizontal="right" vertical="center"/>
    </xf>
    <xf numFmtId="170" fontId="4" fillId="0" borderId="1" xfId="22" applyNumberFormat="1" applyFont="1" applyBorder="1" applyAlignment="1">
      <alignment horizontal="left" vertical="top" wrapText="1"/>
    </xf>
    <xf numFmtId="49" fontId="17" fillId="17" borderId="1" xfId="11" applyNumberFormat="1" applyFont="1" applyFill="1" applyBorder="1" applyAlignment="1">
      <alignment horizontal="left" vertical="top" wrapText="1"/>
    </xf>
    <xf numFmtId="0" fontId="17" fillId="17" borderId="1" xfId="11" applyFont="1" applyFill="1" applyBorder="1" applyAlignment="1" applyProtection="1">
      <alignment vertical="top" wrapText="1"/>
      <protection locked="0"/>
    </xf>
    <xf numFmtId="2" fontId="4" fillId="17" borderId="1" xfId="21" applyNumberFormat="1" applyFont="1" applyFill="1" applyBorder="1" applyAlignment="1">
      <alignment horizontal="right" vertical="center"/>
    </xf>
    <xf numFmtId="49" fontId="17" fillId="0" borderId="1" xfId="11" applyNumberFormat="1" applyFont="1" applyBorder="1" applyAlignment="1">
      <alignment horizontal="left" vertical="center" wrapText="1"/>
    </xf>
    <xf numFmtId="170" fontId="4" fillId="0" borderId="1" xfId="21" applyNumberFormat="1" applyFont="1" applyBorder="1" applyAlignment="1">
      <alignment horizontal="left" vertical="center" wrapText="1"/>
    </xf>
    <xf numFmtId="49" fontId="17" fillId="17" borderId="1" xfId="11" applyNumberFormat="1" applyFont="1" applyFill="1" applyBorder="1" applyAlignment="1">
      <alignment horizontal="left" vertical="center" wrapText="1"/>
    </xf>
    <xf numFmtId="170" fontId="4" fillId="17" borderId="1" xfId="21" applyNumberFormat="1" applyFont="1" applyFill="1" applyBorder="1" applyAlignment="1">
      <alignment horizontal="left" vertical="center" wrapText="1"/>
    </xf>
    <xf numFmtId="170" fontId="4" fillId="17" borderId="1" xfId="21" applyNumberFormat="1" applyFont="1" applyFill="1" applyBorder="1" applyAlignment="1">
      <alignment horizontal="center" vertical="center"/>
    </xf>
    <xf numFmtId="170" fontId="4" fillId="17" borderId="1" xfId="21" applyNumberFormat="1" applyFont="1" applyFill="1" applyBorder="1" applyAlignment="1">
      <alignment horizontal="left" vertical="top" wrapText="1"/>
    </xf>
    <xf numFmtId="1" fontId="4" fillId="0" borderId="1" xfId="11" applyNumberFormat="1" applyFont="1" applyBorder="1" applyAlignment="1">
      <alignment vertical="top" wrapText="1"/>
    </xf>
    <xf numFmtId="1" fontId="4" fillId="17" borderId="1" xfId="11" applyNumberFormat="1" applyFont="1" applyFill="1" applyBorder="1" applyAlignment="1">
      <alignment vertical="top" wrapText="1"/>
    </xf>
    <xf numFmtId="0" fontId="4" fillId="0" borderId="1" xfId="26" applyNumberFormat="1" applyFont="1" applyBorder="1" applyAlignment="1">
      <alignment horizontal="left" vertical="center" wrapText="1"/>
    </xf>
    <xf numFmtId="49" fontId="5" fillId="0" borderId="1" xfId="11" applyNumberFormat="1" applyFont="1" applyBorder="1" applyAlignment="1">
      <alignment horizontal="left" vertical="top" wrapText="1"/>
    </xf>
    <xf numFmtId="49" fontId="3" fillId="18" borderId="1" xfId="51" applyNumberFormat="1" applyFont="1" applyFill="1" applyBorder="1" applyAlignment="1">
      <alignment vertical="top"/>
    </xf>
    <xf numFmtId="0" fontId="5" fillId="0" borderId="1" xfId="14" applyFont="1" applyBorder="1" applyAlignment="1">
      <alignment horizontal="justify" vertical="top" wrapText="1"/>
    </xf>
    <xf numFmtId="0" fontId="4" fillId="0" borderId="1" xfId="11" applyFont="1" applyBorder="1" applyAlignment="1">
      <alignment wrapText="1"/>
    </xf>
    <xf numFmtId="0" fontId="4" fillId="0" borderId="1" xfId="11" applyFont="1" applyBorder="1" applyAlignment="1">
      <alignment horizontal="justify" vertical="center" wrapText="1"/>
    </xf>
    <xf numFmtId="0" fontId="4" fillId="0" borderId="1" xfId="14" applyFont="1" applyBorder="1" applyAlignment="1">
      <alignment horizontal="justify" vertical="center"/>
    </xf>
    <xf numFmtId="0" fontId="23" fillId="17" borderId="1" xfId="11" applyFont="1" applyFill="1" applyBorder="1" applyAlignment="1" applyProtection="1">
      <alignment vertical="top" wrapText="1"/>
      <protection locked="0"/>
    </xf>
    <xf numFmtId="0" fontId="17" fillId="17" borderId="1" xfId="11" applyFont="1" applyFill="1" applyBorder="1" applyAlignment="1">
      <alignment horizontal="center" vertical="center" wrapText="1"/>
    </xf>
    <xf numFmtId="2" fontId="17" fillId="17" borderId="1" xfId="11" applyNumberFormat="1" applyFont="1" applyFill="1" applyBorder="1" applyAlignment="1">
      <alignment horizontal="right" vertical="center" wrapText="1"/>
    </xf>
    <xf numFmtId="0" fontId="17" fillId="0" borderId="1" xfId="11" applyFont="1" applyBorder="1" applyAlignment="1" applyProtection="1">
      <alignment vertical="center" wrapText="1"/>
      <protection locked="0"/>
    </xf>
    <xf numFmtId="0" fontId="17" fillId="0" borderId="1" xfId="11" applyFont="1" applyBorder="1" applyAlignment="1" applyProtection="1">
      <alignment vertical="top" wrapText="1"/>
      <protection locked="0"/>
    </xf>
    <xf numFmtId="0" fontId="4" fillId="0" borderId="1" xfId="14" applyFont="1" applyBorder="1" applyAlignment="1">
      <alignment horizontal="justify" vertical="center" wrapText="1"/>
    </xf>
    <xf numFmtId="170" fontId="4" fillId="0" borderId="1" xfId="21" applyNumberFormat="1" applyFont="1" applyBorder="1" applyAlignment="1">
      <alignment vertical="top" wrapText="1"/>
    </xf>
    <xf numFmtId="49" fontId="17" fillId="0" borderId="1" xfId="11" applyNumberFormat="1" applyFont="1" applyFill="1" applyBorder="1" applyAlignment="1">
      <alignment horizontal="left" vertical="top" wrapText="1"/>
    </xf>
    <xf numFmtId="0" fontId="17" fillId="0" borderId="1" xfId="11" applyFont="1" applyFill="1" applyBorder="1" applyAlignment="1">
      <alignment vertical="top" wrapText="1"/>
    </xf>
    <xf numFmtId="0" fontId="17" fillId="0" borderId="1" xfId="11" applyFont="1" applyFill="1" applyBorder="1" applyAlignment="1">
      <alignment horizontal="center" vertical="center" wrapText="1"/>
    </xf>
    <xf numFmtId="2" fontId="17" fillId="0" borderId="1" xfId="11" applyNumberFormat="1" applyFont="1" applyFill="1" applyBorder="1" applyAlignment="1">
      <alignment horizontal="right" vertical="center" wrapText="1"/>
    </xf>
    <xf numFmtId="170" fontId="4" fillId="0" borderId="1" xfId="21" applyNumberFormat="1" applyFont="1" applyFill="1" applyBorder="1" applyAlignment="1">
      <alignment vertical="top" wrapText="1"/>
    </xf>
    <xf numFmtId="170" fontId="4" fillId="0" borderId="1" xfId="21" applyNumberFormat="1" applyFont="1" applyFill="1" applyBorder="1" applyAlignment="1">
      <alignment horizontal="center" vertical="center"/>
    </xf>
    <xf numFmtId="2" fontId="4" fillId="0" borderId="1" xfId="21" applyNumberFormat="1" applyFont="1" applyFill="1" applyBorder="1" applyAlignment="1">
      <alignment horizontal="right" vertical="center"/>
    </xf>
    <xf numFmtId="0" fontId="4" fillId="0" borderId="1" xfId="10" applyFont="1" applyBorder="1" applyProtection="1">
      <protection locked="0"/>
    </xf>
    <xf numFmtId="49" fontId="61" fillId="0" borderId="1" xfId="11" applyNumberFormat="1" applyFont="1" applyBorder="1" applyAlignment="1">
      <alignment horizontal="left" vertical="top" wrapText="1"/>
    </xf>
    <xf numFmtId="0" fontId="62" fillId="0" borderId="1" xfId="14" applyFont="1" applyBorder="1" applyAlignment="1">
      <alignment horizontal="justify" vertical="top" wrapText="1"/>
    </xf>
    <xf numFmtId="170" fontId="62" fillId="0" borderId="1" xfId="21" applyNumberFormat="1" applyFont="1" applyBorder="1" applyAlignment="1">
      <alignment horizontal="center" vertical="center"/>
    </xf>
    <xf numFmtId="2" fontId="62" fillId="0" borderId="1" xfId="21" applyNumberFormat="1" applyFont="1" applyBorder="1" applyAlignment="1">
      <alignment horizontal="right" vertical="center"/>
    </xf>
    <xf numFmtId="0" fontId="4" fillId="0" borderId="1" xfId="11" applyFont="1" applyBorder="1" applyAlignment="1">
      <alignment horizontal="justify" vertical="top" wrapText="1"/>
    </xf>
    <xf numFmtId="49" fontId="4" fillId="0" borderId="1" xfId="10" applyNumberFormat="1" applyFont="1" applyBorder="1" applyAlignment="1" applyProtection="1">
      <alignment horizontal="left" vertical="top"/>
      <protection locked="0"/>
    </xf>
    <xf numFmtId="4" fontId="4" fillId="0" borderId="1" xfId="10" applyNumberFormat="1" applyFont="1" applyBorder="1" applyAlignment="1" applyProtection="1">
      <alignment horizontal="center" vertical="center"/>
      <protection locked="0"/>
    </xf>
    <xf numFmtId="2" fontId="4" fillId="0" borderId="1" xfId="10" applyNumberFormat="1" applyFont="1" applyBorder="1" applyAlignment="1" applyProtection="1">
      <alignment horizontal="right" vertical="center"/>
      <protection locked="0"/>
    </xf>
    <xf numFmtId="0" fontId="4" fillId="0" borderId="1" xfId="10" applyFont="1" applyBorder="1" applyAlignment="1" applyProtection="1">
      <alignment horizontal="left" vertical="top" wrapText="1"/>
      <protection locked="0"/>
    </xf>
    <xf numFmtId="0" fontId="4" fillId="0" borderId="1" xfId="10" applyFont="1" applyBorder="1" applyAlignment="1" applyProtection="1">
      <alignment wrapText="1"/>
      <protection locked="0"/>
    </xf>
    <xf numFmtId="16" fontId="6" fillId="11" borderId="1" xfId="1" applyNumberFormat="1" applyFont="1" applyFill="1" applyBorder="1" applyAlignment="1">
      <alignment horizontal="center" vertical="center"/>
    </xf>
    <xf numFmtId="0" fontId="5" fillId="11" borderId="1" xfId="1" applyFont="1" applyFill="1" applyBorder="1" applyAlignment="1">
      <alignment horizontal="justify" vertical="center" wrapText="1"/>
    </xf>
    <xf numFmtId="0" fontId="4" fillId="11" borderId="1" xfId="1" applyFont="1" applyFill="1" applyBorder="1" applyAlignment="1">
      <alignment horizontal="center" vertical="center"/>
    </xf>
    <xf numFmtId="166" fontId="4" fillId="11" borderId="1" xfId="3" applyNumberFormat="1" applyFont="1" applyFill="1" applyBorder="1" applyAlignment="1">
      <alignment vertical="center"/>
    </xf>
    <xf numFmtId="4" fontId="4" fillId="11" borderId="1" xfId="3" applyNumberFormat="1" applyFont="1" applyFill="1" applyBorder="1" applyAlignment="1" applyProtection="1">
      <alignment vertical="center"/>
      <protection locked="0"/>
    </xf>
    <xf numFmtId="0" fontId="4" fillId="0" borderId="0" xfId="10" applyFont="1" applyBorder="1" applyProtection="1">
      <protection locked="0"/>
    </xf>
    <xf numFmtId="49" fontId="17" fillId="0" borderId="0" xfId="11" applyNumberFormat="1" applyFont="1" applyBorder="1" applyAlignment="1">
      <alignment horizontal="left" vertical="top" wrapText="1"/>
    </xf>
    <xf numFmtId="170" fontId="4" fillId="0" borderId="0" xfId="21" applyNumberFormat="1" applyFont="1" applyBorder="1" applyAlignment="1">
      <alignment vertical="top" wrapText="1"/>
    </xf>
    <xf numFmtId="170" fontId="4" fillId="0" borderId="0" xfId="21" applyNumberFormat="1" applyFont="1" applyBorder="1" applyAlignment="1">
      <alignment horizontal="center" vertical="center"/>
    </xf>
    <xf numFmtId="2" fontId="4" fillId="0" borderId="0" xfId="21" applyNumberFormat="1" applyFont="1" applyBorder="1" applyAlignment="1">
      <alignment horizontal="right" vertical="center"/>
    </xf>
    <xf numFmtId="0" fontId="5" fillId="24" borderId="4" xfId="12" applyFont="1" applyFill="1" applyBorder="1">
      <alignment horizontal="left" vertical="top" wrapText="1" readingOrder="1"/>
    </xf>
    <xf numFmtId="0" fontId="5" fillId="24" borderId="3" xfId="12" applyFont="1" applyFill="1" applyBorder="1" applyAlignment="1">
      <alignment vertical="top" wrapText="1" readingOrder="1"/>
    </xf>
    <xf numFmtId="4" fontId="4" fillId="24" borderId="3" xfId="10" applyNumberFormat="1" applyFont="1" applyFill="1" applyBorder="1" applyAlignment="1">
      <alignment horizontal="center" vertical="center"/>
    </xf>
    <xf numFmtId="2" fontId="4" fillId="24" borderId="3" xfId="10" applyNumberFormat="1" applyFont="1" applyFill="1" applyBorder="1" applyAlignment="1">
      <alignment horizontal="right" vertical="center"/>
    </xf>
    <xf numFmtId="4" fontId="3" fillId="5" borderId="2" xfId="3" applyNumberFormat="1" applyFont="1" applyFill="1" applyBorder="1" applyAlignment="1">
      <alignment vertical="center"/>
    </xf>
    <xf numFmtId="4" fontId="4" fillId="19" borderId="2" xfId="5" applyNumberFormat="1" applyFont="1" applyFill="1" applyBorder="1" applyAlignment="1">
      <alignment vertical="center"/>
    </xf>
    <xf numFmtId="4" fontId="4" fillId="0" borderId="0" xfId="5" applyNumberFormat="1" applyFont="1" applyAlignment="1">
      <alignment vertical="center"/>
    </xf>
    <xf numFmtId="4" fontId="4" fillId="0" borderId="12" xfId="5" applyNumberFormat="1" applyFont="1" applyBorder="1" applyAlignment="1">
      <alignment vertical="center"/>
    </xf>
    <xf numFmtId="4" fontId="4" fillId="0" borderId="5" xfId="5" applyNumberFormat="1" applyFont="1" applyBorder="1" applyAlignment="1">
      <alignment vertical="center"/>
    </xf>
    <xf numFmtId="4" fontId="4" fillId="21" borderId="1" xfId="5" applyNumberFormat="1" applyFont="1" applyFill="1" applyBorder="1" applyAlignment="1">
      <alignment vertical="center"/>
    </xf>
    <xf numFmtId="4" fontId="5" fillId="21" borderId="1" xfId="5" applyNumberFormat="1" applyFont="1" applyFill="1" applyBorder="1" applyAlignment="1">
      <alignment vertical="center"/>
    </xf>
    <xf numFmtId="4" fontId="5" fillId="0" borderId="1" xfId="3" applyNumberFormat="1" applyFont="1" applyBorder="1" applyAlignment="1">
      <alignment vertical="center"/>
    </xf>
    <xf numFmtId="4" fontId="5" fillId="0" borderId="14" xfId="10" applyNumberFormat="1" applyFont="1" applyBorder="1" applyAlignment="1" applyProtection="1">
      <alignment vertical="center"/>
      <protection locked="0"/>
    </xf>
    <xf numFmtId="2" fontId="4" fillId="0" borderId="1" xfId="11" applyNumberFormat="1" applyFont="1" applyBorder="1" applyAlignment="1" applyProtection="1">
      <alignment vertical="center" wrapText="1"/>
      <protection locked="0"/>
    </xf>
    <xf numFmtId="2" fontId="4" fillId="17" borderId="1" xfId="11" applyNumberFormat="1" applyFont="1" applyFill="1" applyBorder="1" applyAlignment="1" applyProtection="1">
      <alignment vertical="center" wrapText="1"/>
      <protection locked="0"/>
    </xf>
    <xf numFmtId="4" fontId="5" fillId="0" borderId="1" xfId="10" applyNumberFormat="1" applyFont="1" applyBorder="1" applyAlignment="1" applyProtection="1">
      <alignment vertical="center"/>
      <protection locked="0"/>
    </xf>
    <xf numFmtId="165" fontId="4" fillId="0" borderId="1" xfId="11" applyNumberFormat="1" applyFont="1" applyBorder="1" applyAlignment="1" applyProtection="1">
      <alignment vertical="center" wrapText="1"/>
    </xf>
    <xf numFmtId="0" fontId="17" fillId="17" borderId="1" xfId="11" applyFont="1" applyFill="1" applyBorder="1" applyAlignment="1" applyProtection="1">
      <alignment vertical="center" wrapText="1"/>
      <protection locked="0"/>
    </xf>
    <xf numFmtId="0" fontId="17" fillId="0" borderId="1" xfId="11" applyFont="1" applyFill="1" applyBorder="1" applyAlignment="1" applyProtection="1">
      <alignment vertical="center" wrapText="1"/>
      <protection locked="0"/>
    </xf>
    <xf numFmtId="165" fontId="4" fillId="0" borderId="1" xfId="11" applyNumberFormat="1" applyFont="1" applyFill="1" applyBorder="1" applyAlignment="1" applyProtection="1">
      <alignment vertical="center" wrapText="1"/>
    </xf>
    <xf numFmtId="2" fontId="4" fillId="0" borderId="1" xfId="11" applyNumberFormat="1" applyFont="1" applyFill="1" applyBorder="1" applyAlignment="1" applyProtection="1">
      <alignment vertical="center" wrapText="1"/>
      <protection locked="0"/>
    </xf>
    <xf numFmtId="4" fontId="4" fillId="0" borderId="1" xfId="10" applyNumberFormat="1" applyFont="1" applyBorder="1" applyAlignment="1" applyProtection="1">
      <alignment vertical="center"/>
      <protection locked="0"/>
    </xf>
    <xf numFmtId="165" fontId="5" fillId="24" borderId="1" xfId="10" applyNumberFormat="1" applyFont="1" applyFill="1" applyBorder="1" applyAlignment="1" applyProtection="1">
      <alignment vertical="center"/>
    </xf>
    <xf numFmtId="2" fontId="4" fillId="0" borderId="0" xfId="11" applyNumberFormat="1" applyFont="1" applyBorder="1" applyAlignment="1" applyProtection="1">
      <alignment vertical="center" wrapText="1"/>
      <protection locked="0"/>
    </xf>
    <xf numFmtId="4" fontId="4" fillId="19" borderId="3" xfId="5" applyNumberFormat="1" applyFont="1" applyFill="1" applyBorder="1" applyAlignment="1" applyProtection="1">
      <alignment vertical="center"/>
      <protection locked="0"/>
    </xf>
    <xf numFmtId="4" fontId="4" fillId="0" borderId="0" xfId="5" applyNumberFormat="1" applyFont="1" applyAlignment="1" applyProtection="1">
      <alignment vertical="center"/>
      <protection locked="0"/>
    </xf>
    <xf numFmtId="4" fontId="4" fillId="0" borderId="5" xfId="5" applyNumberFormat="1" applyFont="1" applyBorder="1" applyAlignment="1" applyProtection="1">
      <alignment vertical="center"/>
      <protection locked="0"/>
    </xf>
    <xf numFmtId="4" fontId="4" fillId="21" borderId="1" xfId="5" applyNumberFormat="1" applyFont="1" applyFill="1" applyBorder="1" applyAlignment="1" applyProtection="1">
      <alignment vertical="center"/>
      <protection locked="0"/>
    </xf>
    <xf numFmtId="4" fontId="5" fillId="21" borderId="1" xfId="5" applyNumberFormat="1" applyFont="1" applyFill="1" applyBorder="1" applyAlignment="1" applyProtection="1">
      <alignment vertical="center"/>
      <protection locked="0"/>
    </xf>
    <xf numFmtId="4" fontId="5" fillId="21" borderId="4" xfId="5" applyNumberFormat="1" applyFont="1" applyFill="1" applyBorder="1" applyAlignment="1" applyProtection="1">
      <alignment vertical="center"/>
      <protection locked="0"/>
    </xf>
    <xf numFmtId="4" fontId="5" fillId="0" borderId="0" xfId="3" applyNumberFormat="1" applyFont="1" applyAlignment="1" applyProtection="1">
      <alignment vertical="center"/>
      <protection locked="0"/>
    </xf>
    <xf numFmtId="4" fontId="5" fillId="0" borderId="1" xfId="3" applyNumberFormat="1" applyFont="1" applyBorder="1" applyAlignment="1" applyProtection="1">
      <alignment vertical="center" wrapText="1"/>
      <protection locked="0"/>
    </xf>
    <xf numFmtId="165" fontId="5" fillId="18" borderId="1" xfId="2" applyFont="1" applyFill="1" applyBorder="1" applyAlignment="1" applyProtection="1">
      <alignment vertical="center"/>
      <protection locked="0"/>
    </xf>
    <xf numFmtId="4" fontId="4" fillId="0" borderId="14" xfId="10" applyNumberFormat="1" applyFont="1" applyBorder="1" applyAlignment="1" applyProtection="1">
      <alignment vertical="center"/>
      <protection locked="0"/>
    </xf>
    <xf numFmtId="2" fontId="4" fillId="0" borderId="1" xfId="21" applyNumberFormat="1" applyFont="1" applyBorder="1" applyAlignment="1" applyProtection="1">
      <alignment vertical="center"/>
      <protection locked="0"/>
    </xf>
    <xf numFmtId="2" fontId="4" fillId="17" borderId="1" xfId="21" applyNumberFormat="1" applyFont="1" applyFill="1" applyBorder="1" applyAlignment="1" applyProtection="1">
      <alignment vertical="center"/>
      <protection locked="0"/>
    </xf>
    <xf numFmtId="165" fontId="17" fillId="0" borderId="1" xfId="11" applyNumberFormat="1" applyFont="1" applyBorder="1" applyAlignment="1" applyProtection="1">
      <alignment vertical="center" wrapText="1"/>
      <protection locked="0"/>
    </xf>
    <xf numFmtId="165" fontId="17" fillId="0" borderId="1" xfId="11" applyNumberFormat="1" applyFont="1" applyFill="1" applyBorder="1" applyAlignment="1" applyProtection="1">
      <alignment vertical="center" wrapText="1"/>
      <protection locked="0"/>
    </xf>
    <xf numFmtId="2" fontId="4" fillId="0" borderId="1" xfId="21" applyNumberFormat="1" applyFont="1" applyFill="1" applyBorder="1" applyAlignment="1" applyProtection="1">
      <alignment vertical="center"/>
      <protection locked="0"/>
    </xf>
    <xf numFmtId="165" fontId="4" fillId="0" borderId="1" xfId="21" applyNumberFormat="1" applyFont="1" applyBorder="1" applyAlignment="1" applyProtection="1">
      <alignment vertical="center"/>
      <protection locked="0"/>
    </xf>
    <xf numFmtId="4" fontId="4" fillId="24" borderId="3" xfId="10" applyNumberFormat="1" applyFont="1" applyFill="1" applyBorder="1" applyAlignment="1" applyProtection="1">
      <alignment vertical="center"/>
      <protection locked="0"/>
    </xf>
    <xf numFmtId="2" fontId="4" fillId="0" borderId="0" xfId="21" applyNumberFormat="1" applyFont="1" applyBorder="1" applyAlignment="1" applyProtection="1">
      <alignment vertical="center"/>
      <protection locked="0"/>
    </xf>
    <xf numFmtId="49" fontId="46" fillId="0" borderId="1" xfId="11" applyNumberFormat="1" applyFont="1" applyFill="1" applyBorder="1" applyAlignment="1">
      <alignment horizontal="left" vertical="top" wrapText="1"/>
    </xf>
    <xf numFmtId="170" fontId="46" fillId="0" borderId="1" xfId="21" applyNumberFormat="1" applyFont="1" applyFill="1" applyBorder="1" applyAlignment="1">
      <alignment horizontal="left" vertical="top" wrapText="1"/>
    </xf>
    <xf numFmtId="170" fontId="47" fillId="0" borderId="1" xfId="21" applyNumberFormat="1" applyFont="1" applyFill="1" applyBorder="1" applyAlignment="1">
      <alignment horizontal="center" vertical="center"/>
    </xf>
    <xf numFmtId="2" fontId="47" fillId="0" borderId="1" xfId="21" applyNumberFormat="1" applyFont="1" applyFill="1" applyBorder="1" applyAlignment="1">
      <alignment horizontal="right" vertical="center"/>
    </xf>
    <xf numFmtId="49" fontId="8" fillId="18" borderId="1" xfId="5" quotePrefix="1" applyNumberFormat="1" applyFont="1" applyFill="1" applyBorder="1" applyAlignment="1">
      <alignment horizontal="left"/>
    </xf>
    <xf numFmtId="0" fontId="5" fillId="18" borderId="1" xfId="5" applyFont="1" applyFill="1" applyBorder="1"/>
    <xf numFmtId="0" fontId="4" fillId="18" borderId="1" xfId="5" applyFont="1" applyFill="1" applyBorder="1" applyAlignment="1">
      <alignment vertical="center"/>
    </xf>
    <xf numFmtId="166" fontId="4" fillId="18" borderId="1" xfId="5" applyNumberFormat="1" applyFont="1" applyFill="1" applyBorder="1" applyAlignment="1">
      <alignment vertical="center"/>
    </xf>
    <xf numFmtId="4" fontId="5" fillId="18" borderId="4" xfId="5" applyNumberFormat="1" applyFont="1" applyFill="1" applyBorder="1" applyAlignment="1" applyProtection="1">
      <alignment vertical="center"/>
      <protection locked="0"/>
    </xf>
    <xf numFmtId="4" fontId="5" fillId="18" borderId="1" xfId="3" applyNumberFormat="1" applyFont="1" applyFill="1" applyBorder="1" applyAlignment="1" applyProtection="1">
      <alignment vertical="center" wrapText="1"/>
      <protection locked="0"/>
    </xf>
    <xf numFmtId="4" fontId="5" fillId="18" borderId="1" xfId="3" applyNumberFormat="1" applyFont="1" applyFill="1" applyBorder="1" applyAlignment="1">
      <alignment vertical="center"/>
    </xf>
    <xf numFmtId="0" fontId="2" fillId="0" borderId="47" xfId="1" applyFont="1" applyBorder="1" applyAlignment="1">
      <alignment horizontal="center" vertical="top" wrapText="1"/>
    </xf>
    <xf numFmtId="0" fontId="3" fillId="0" borderId="47" xfId="1" applyFont="1" applyBorder="1" applyAlignment="1">
      <alignment horizontal="left" vertical="top" wrapText="1"/>
    </xf>
    <xf numFmtId="0" fontId="3" fillId="0" borderId="1" xfId="28" applyFont="1" applyBorder="1" applyAlignment="1">
      <alignment horizontal="center" vertical="center"/>
    </xf>
    <xf numFmtId="0" fontId="4" fillId="5" borderId="3" xfId="1" applyFont="1" applyFill="1" applyBorder="1" applyAlignment="1">
      <alignment horizontal="center" vertical="center"/>
    </xf>
    <xf numFmtId="0" fontId="4" fillId="11" borderId="10" xfId="31" applyFont="1" applyFill="1" applyBorder="1" applyAlignment="1">
      <alignment horizontal="center" vertical="center"/>
    </xf>
    <xf numFmtId="0" fontId="4" fillId="11" borderId="6" xfId="31" applyFont="1" applyFill="1" applyBorder="1" applyAlignment="1">
      <alignment horizontal="center" vertical="center"/>
    </xf>
    <xf numFmtId="0" fontId="4" fillId="11" borderId="7" xfId="31" applyFont="1" applyFill="1" applyBorder="1" applyAlignment="1">
      <alignment horizontal="center" vertical="center"/>
    </xf>
    <xf numFmtId="0" fontId="4" fillId="0" borderId="7" xfId="31" applyFont="1" applyBorder="1" applyAlignment="1">
      <alignment horizontal="center" vertical="center"/>
    </xf>
    <xf numFmtId="0" fontId="4" fillId="21" borderId="3" xfId="31" applyFont="1" applyFill="1" applyBorder="1" applyAlignment="1">
      <alignment horizontal="center" vertical="center"/>
    </xf>
    <xf numFmtId="0" fontId="4" fillId="21" borderId="1" xfId="31" applyFont="1" applyFill="1" applyBorder="1" applyAlignment="1">
      <alignment horizontal="center" vertical="center" wrapText="1"/>
    </xf>
    <xf numFmtId="0" fontId="4" fillId="18" borderId="1" xfId="31" applyFont="1" applyFill="1" applyBorder="1" applyAlignment="1">
      <alignment horizontal="center" vertical="center"/>
    </xf>
    <xf numFmtId="0" fontId="4" fillId="0" borderId="0" xfId="30" applyFont="1" applyAlignment="1">
      <alignment horizontal="center" vertical="center"/>
    </xf>
    <xf numFmtId="0" fontId="5" fillId="18" borderId="1" xfId="1" applyFont="1" applyFill="1" applyBorder="1" applyAlignment="1">
      <alignment horizontal="center" vertical="center"/>
    </xf>
    <xf numFmtId="0" fontId="5" fillId="2" borderId="1" xfId="30" applyFont="1" applyFill="1" applyBorder="1" applyAlignment="1">
      <alignment horizontal="center" vertical="center"/>
    </xf>
    <xf numFmtId="0" fontId="4" fillId="0" borderId="1" xfId="17" applyFont="1" applyBorder="1" applyAlignment="1">
      <alignment horizontal="justify" vertical="top" wrapText="1"/>
    </xf>
    <xf numFmtId="0" fontId="3" fillId="0" borderId="1" xfId="1" applyFont="1" applyFill="1" applyBorder="1" applyAlignment="1">
      <alignment horizontal="left" vertical="top" wrapText="1"/>
    </xf>
    <xf numFmtId="49" fontId="8" fillId="2" borderId="48" xfId="5" quotePrefix="1" applyNumberFormat="1" applyFont="1" applyFill="1" applyBorder="1" applyAlignment="1">
      <alignment horizontal="center" vertical="center"/>
    </xf>
    <xf numFmtId="165" fontId="5" fillId="2" borderId="50" xfId="2" applyFont="1" applyFill="1" applyBorder="1" applyAlignment="1" applyProtection="1">
      <alignment horizontal="right" vertical="center"/>
    </xf>
    <xf numFmtId="0" fontId="17" fillId="0" borderId="47" xfId="5" applyFont="1" applyBorder="1" applyAlignment="1">
      <alignment vertical="top" wrapText="1"/>
    </xf>
    <xf numFmtId="0" fontId="3" fillId="0" borderId="47" xfId="31" applyBorder="1" applyAlignment="1">
      <alignment wrapText="1"/>
    </xf>
    <xf numFmtId="0" fontId="5" fillId="2" borderId="48" xfId="5" applyFont="1" applyFill="1" applyBorder="1" applyAlignment="1">
      <alignment horizontal="left" vertical="center" wrapText="1"/>
    </xf>
    <xf numFmtId="0" fontId="5" fillId="2" borderId="49" xfId="5" applyFont="1" applyFill="1" applyBorder="1" applyAlignment="1">
      <alignment horizontal="left" vertical="center" wrapText="1"/>
    </xf>
    <xf numFmtId="0" fontId="5" fillId="2" borderId="50" xfId="5" applyFont="1" applyFill="1" applyBorder="1" applyAlignment="1">
      <alignment horizontal="left" vertical="center" wrapText="1"/>
    </xf>
    <xf numFmtId="0" fontId="5" fillId="18" borderId="3" xfId="5" applyFont="1" applyFill="1" applyBorder="1" applyAlignment="1">
      <alignment horizontal="left" vertical="center" wrapText="1"/>
    </xf>
    <xf numFmtId="0" fontId="5" fillId="18" borderId="2" xfId="5" applyFont="1" applyFill="1" applyBorder="1" applyAlignment="1">
      <alignment horizontal="left" vertical="center" wrapText="1"/>
    </xf>
    <xf numFmtId="0" fontId="4" fillId="2" borderId="4" xfId="5" applyFont="1" applyFill="1" applyBorder="1" applyAlignment="1">
      <alignment horizontal="left" vertical="center" wrapText="1"/>
    </xf>
    <xf numFmtId="0" fontId="4" fillId="2" borderId="3" xfId="5" applyFont="1" applyFill="1" applyBorder="1" applyAlignment="1">
      <alignment horizontal="left" vertical="center" wrapText="1"/>
    </xf>
    <xf numFmtId="0" fontId="4" fillId="2" borderId="2" xfId="5" applyFont="1" applyFill="1" applyBorder="1" applyAlignment="1">
      <alignment horizontal="left" vertical="center" wrapText="1"/>
    </xf>
    <xf numFmtId="0" fontId="5" fillId="18" borderId="4" xfId="5" applyFont="1" applyFill="1" applyBorder="1" applyAlignment="1">
      <alignment horizontal="left" vertical="center" wrapText="1"/>
    </xf>
    <xf numFmtId="0" fontId="5" fillId="18" borderId="4" xfId="5" applyFont="1" applyFill="1" applyBorder="1" applyAlignment="1">
      <alignment horizontal="right" vertical="center" wrapText="1"/>
    </xf>
    <xf numFmtId="0" fontId="5" fillId="18" borderId="3" xfId="5" applyFont="1" applyFill="1" applyBorder="1" applyAlignment="1">
      <alignment horizontal="right" vertical="center" wrapText="1"/>
    </xf>
    <xf numFmtId="0" fontId="5" fillId="18" borderId="2" xfId="5" applyFont="1" applyFill="1" applyBorder="1" applyAlignment="1">
      <alignment horizontal="right" vertical="center" wrapText="1"/>
    </xf>
    <xf numFmtId="0" fontId="5" fillId="18" borderId="3" xfId="4" applyFont="1" applyFill="1" applyBorder="1" applyAlignment="1">
      <alignment horizontal="left" vertical="center" wrapText="1"/>
    </xf>
    <xf numFmtId="0" fontId="5" fillId="18" borderId="2" xfId="4" applyFont="1" applyFill="1" applyBorder="1" applyAlignment="1">
      <alignment horizontal="left" vertical="center" wrapText="1"/>
    </xf>
    <xf numFmtId="49" fontId="8" fillId="0" borderId="13" xfId="1" applyNumberFormat="1" applyFont="1" applyBorder="1" applyAlignment="1">
      <alignment horizontal="center" vertical="center" wrapText="1"/>
    </xf>
    <xf numFmtId="49" fontId="8" fillId="0" borderId="14" xfId="1" applyNumberFormat="1" applyFont="1" applyBorder="1" applyAlignment="1">
      <alignment horizontal="center" vertical="center" wrapText="1"/>
    </xf>
    <xf numFmtId="49" fontId="8" fillId="0" borderId="5" xfId="1" applyNumberFormat="1" applyFont="1" applyBorder="1" applyAlignment="1">
      <alignment horizontal="center" vertical="center" wrapText="1"/>
    </xf>
    <xf numFmtId="0" fontId="3" fillId="4" borderId="4" xfId="1" applyFont="1" applyFill="1" applyBorder="1" applyAlignment="1">
      <alignment horizontal="left" vertical="top" wrapText="1"/>
    </xf>
    <xf numFmtId="0" fontId="3" fillId="4" borderId="3" xfId="1" applyFont="1" applyFill="1" applyBorder="1" applyAlignment="1">
      <alignment horizontal="left" vertical="top" wrapText="1"/>
    </xf>
    <xf numFmtId="0" fontId="3" fillId="4" borderId="2" xfId="1" applyFont="1" applyFill="1" applyBorder="1" applyAlignment="1">
      <alignment horizontal="left" vertical="top" wrapText="1"/>
    </xf>
    <xf numFmtId="0" fontId="2" fillId="0" borderId="13"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5" xfId="1" applyFont="1" applyBorder="1" applyAlignment="1">
      <alignment horizontal="center" vertical="center" wrapText="1"/>
    </xf>
    <xf numFmtId="0" fontId="14" fillId="14" borderId="19" xfId="11" applyFont="1" applyFill="1" applyBorder="1" applyAlignment="1">
      <alignment horizontal="left" vertical="top" wrapText="1"/>
    </xf>
    <xf numFmtId="0" fontId="14" fillId="14" borderId="20" xfId="11" applyFont="1" applyFill="1" applyBorder="1" applyAlignment="1">
      <alignment horizontal="left" vertical="top" wrapText="1"/>
    </xf>
    <xf numFmtId="0" fontId="14" fillId="14" borderId="21" xfId="11" applyFont="1" applyFill="1" applyBorder="1" applyAlignment="1">
      <alignment horizontal="left" vertical="top" wrapText="1"/>
    </xf>
    <xf numFmtId="0" fontId="14" fillId="14" borderId="22" xfId="11" applyFont="1" applyFill="1" applyBorder="1" applyAlignment="1">
      <alignment horizontal="left" vertical="top" wrapText="1"/>
    </xf>
    <xf numFmtId="0" fontId="14" fillId="14" borderId="23" xfId="11" applyFont="1" applyFill="1" applyBorder="1" applyAlignment="1">
      <alignment horizontal="left" vertical="top" wrapText="1"/>
    </xf>
    <xf numFmtId="0" fontId="14" fillId="14" borderId="24" xfId="11" applyFont="1" applyFill="1" applyBorder="1" applyAlignment="1">
      <alignment horizontal="left" vertical="top" wrapText="1"/>
    </xf>
    <xf numFmtId="0" fontId="14" fillId="14" borderId="4" xfId="11" applyFont="1" applyFill="1" applyBorder="1" applyAlignment="1">
      <alignment horizontal="left" vertical="top" wrapText="1"/>
    </xf>
    <xf numFmtId="0" fontId="14" fillId="14" borderId="3" xfId="11" applyFont="1" applyFill="1" applyBorder="1" applyAlignment="1">
      <alignment horizontal="left" vertical="top" wrapText="1"/>
    </xf>
    <xf numFmtId="0" fontId="14" fillId="14" borderId="2" xfId="11" applyFont="1" applyFill="1" applyBorder="1" applyAlignment="1">
      <alignment horizontal="left" vertical="top" wrapText="1"/>
    </xf>
    <xf numFmtId="0" fontId="43" fillId="14" borderId="4" xfId="17" applyFont="1" applyFill="1" applyBorder="1" applyAlignment="1">
      <alignment horizontal="center" vertical="center" wrapText="1"/>
    </xf>
    <xf numFmtId="0" fontId="43" fillId="14" borderId="3" xfId="17" applyFont="1" applyFill="1" applyBorder="1" applyAlignment="1">
      <alignment horizontal="center" vertical="center" wrapText="1"/>
    </xf>
    <xf numFmtId="0" fontId="43" fillId="14" borderId="2" xfId="17" applyFont="1" applyFill="1" applyBorder="1" applyAlignment="1">
      <alignment horizontal="center" vertical="center" wrapText="1"/>
    </xf>
    <xf numFmtId="0" fontId="14" fillId="0" borderId="16" xfId="11" applyFont="1" applyBorder="1" applyAlignment="1">
      <alignment horizontal="left" vertical="top" wrapText="1"/>
    </xf>
    <xf numFmtId="0" fontId="14" fillId="0" borderId="17" xfId="11" applyFont="1" applyBorder="1" applyAlignment="1">
      <alignment horizontal="left" vertical="top" wrapText="1"/>
    </xf>
    <xf numFmtId="0" fontId="14" fillId="0" borderId="18" xfId="11" applyFont="1" applyBorder="1" applyAlignment="1">
      <alignment horizontal="left" vertical="top" wrapText="1"/>
    </xf>
    <xf numFmtId="0" fontId="10" fillId="2" borderId="4" xfId="1" applyFont="1" applyFill="1" applyBorder="1" applyAlignment="1">
      <alignment horizontal="left" vertical="center" wrapText="1"/>
    </xf>
    <xf numFmtId="0" fontId="10" fillId="2" borderId="3" xfId="1" applyFont="1" applyFill="1" applyBorder="1" applyAlignment="1">
      <alignment horizontal="left" vertical="center" wrapText="1"/>
    </xf>
    <xf numFmtId="0" fontId="10" fillId="2" borderId="2" xfId="1" applyFont="1" applyFill="1" applyBorder="1" applyAlignment="1">
      <alignment horizontal="left" vertical="center" wrapText="1"/>
    </xf>
    <xf numFmtId="0" fontId="8" fillId="5" borderId="3" xfId="5" applyFont="1" applyFill="1" applyBorder="1" applyAlignment="1">
      <alignment horizontal="left" vertical="center"/>
    </xf>
    <xf numFmtId="0" fontId="8" fillId="5" borderId="2" xfId="5" applyFont="1" applyFill="1" applyBorder="1" applyAlignment="1">
      <alignment horizontal="left" vertical="center"/>
    </xf>
    <xf numFmtId="0" fontId="10" fillId="2" borderId="4" xfId="1" applyFont="1" applyFill="1" applyBorder="1" applyAlignment="1">
      <alignment horizontal="left" vertical="center"/>
    </xf>
    <xf numFmtId="0" fontId="10" fillId="2" borderId="3" xfId="1" applyFont="1" applyFill="1" applyBorder="1" applyAlignment="1">
      <alignment horizontal="left" vertical="center"/>
    </xf>
    <xf numFmtId="0" fontId="10" fillId="2" borderId="2" xfId="1" applyFont="1" applyFill="1" applyBorder="1" applyAlignment="1">
      <alignment horizontal="left" vertical="center"/>
    </xf>
    <xf numFmtId="166" fontId="5" fillId="18" borderId="4" xfId="4" applyNumberFormat="1" applyFont="1" applyFill="1" applyBorder="1" applyAlignment="1">
      <alignment horizontal="right" vertical="center"/>
    </xf>
    <xf numFmtId="166" fontId="5" fillId="18" borderId="3" xfId="4" applyNumberFormat="1" applyFont="1" applyFill="1" applyBorder="1" applyAlignment="1">
      <alignment horizontal="right" vertical="center"/>
    </xf>
    <xf numFmtId="166" fontId="5" fillId="18" borderId="2" xfId="4" applyNumberFormat="1" applyFont="1" applyFill="1" applyBorder="1" applyAlignment="1">
      <alignment horizontal="right" vertical="center"/>
    </xf>
    <xf numFmtId="0" fontId="5" fillId="3" borderId="4" xfId="4" applyFont="1" applyFill="1" applyBorder="1" applyAlignment="1">
      <alignment horizontal="left" vertical="center"/>
    </xf>
    <xf numFmtId="0" fontId="5" fillId="3" borderId="3" xfId="4" applyFont="1" applyFill="1" applyBorder="1" applyAlignment="1">
      <alignment horizontal="left" vertical="center"/>
    </xf>
    <xf numFmtId="0" fontId="5" fillId="3" borderId="2" xfId="4" applyFont="1" applyFill="1" applyBorder="1" applyAlignment="1">
      <alignment horizontal="left" vertical="center"/>
    </xf>
    <xf numFmtId="0" fontId="41" fillId="3" borderId="4" xfId="4" applyFont="1" applyFill="1" applyBorder="1" applyAlignment="1">
      <alignment horizontal="left" vertical="center"/>
    </xf>
    <xf numFmtId="0" fontId="41" fillId="3" borderId="3" xfId="4" applyFont="1" applyFill="1" applyBorder="1" applyAlignment="1">
      <alignment horizontal="left" vertical="center"/>
    </xf>
    <xf numFmtId="0" fontId="41" fillId="3" borderId="2" xfId="4" applyFont="1" applyFill="1" applyBorder="1" applyAlignment="1">
      <alignment horizontal="left" vertical="center"/>
    </xf>
    <xf numFmtId="0" fontId="5" fillId="16" borderId="3" xfId="28" applyFont="1" applyFill="1" applyBorder="1" applyAlignment="1">
      <alignment horizontal="left" vertical="center" wrapText="1"/>
    </xf>
    <xf numFmtId="0" fontId="5" fillId="16" borderId="2" xfId="28" applyFont="1" applyFill="1" applyBorder="1" applyAlignment="1">
      <alignment horizontal="left" vertical="center" wrapText="1"/>
    </xf>
    <xf numFmtId="1" fontId="67" fillId="0" borderId="13" xfId="42" applyNumberFormat="1" applyFont="1" applyFill="1" applyBorder="1" applyAlignment="1" applyProtection="1">
      <alignment horizontal="left" vertical="top"/>
    </xf>
    <xf numFmtId="1" fontId="67" fillId="0" borderId="14" xfId="42" applyNumberFormat="1" applyFont="1" applyFill="1" applyBorder="1" applyAlignment="1" applyProtection="1">
      <alignment horizontal="left" vertical="top"/>
    </xf>
    <xf numFmtId="0" fontId="3" fillId="11" borderId="4" xfId="1" applyFont="1" applyFill="1" applyBorder="1" applyAlignment="1">
      <alignment horizontal="left" vertical="top" wrapText="1"/>
    </xf>
    <xf numFmtId="0" fontId="3" fillId="11" borderId="3" xfId="1" applyFont="1" applyFill="1" applyBorder="1" applyAlignment="1">
      <alignment horizontal="left" vertical="top" wrapText="1"/>
    </xf>
    <xf numFmtId="0" fontId="3" fillId="11" borderId="2" xfId="1" applyFont="1" applyFill="1" applyBorder="1" applyAlignment="1">
      <alignment horizontal="left" vertical="top" wrapText="1"/>
    </xf>
    <xf numFmtId="0" fontId="5" fillId="19" borderId="3" xfId="28" applyFont="1" applyFill="1" applyBorder="1" applyAlignment="1">
      <alignment horizontal="left" vertical="center" wrapText="1"/>
    </xf>
    <xf numFmtId="0" fontId="1" fillId="0" borderId="3" xfId="28" applyBorder="1" applyAlignment="1">
      <alignment horizontal="left" vertical="center"/>
    </xf>
    <xf numFmtId="0" fontId="5" fillId="19" borderId="3" xfId="28" applyFont="1" applyFill="1" applyBorder="1" applyAlignment="1">
      <alignment horizontal="center" vertical="center"/>
    </xf>
    <xf numFmtId="0" fontId="1" fillId="0" borderId="3" xfId="28" applyBorder="1" applyAlignment="1">
      <alignment horizontal="center" vertical="center"/>
    </xf>
    <xf numFmtId="0" fontId="3" fillId="11" borderId="4" xfId="30" applyFont="1" applyFill="1" applyBorder="1" applyAlignment="1">
      <alignment horizontal="left" vertical="top" wrapText="1"/>
    </xf>
    <xf numFmtId="0" fontId="3" fillId="11" borderId="3" xfId="30" applyFont="1" applyFill="1" applyBorder="1" applyAlignment="1">
      <alignment horizontal="left" vertical="top" wrapText="1"/>
    </xf>
    <xf numFmtId="0" fontId="3" fillId="11" borderId="2" xfId="30" applyFont="1" applyFill="1" applyBorder="1" applyAlignment="1">
      <alignment horizontal="left" vertical="top" wrapText="1"/>
    </xf>
    <xf numFmtId="0" fontId="43" fillId="25" borderId="4" xfId="17" applyFont="1" applyFill="1" applyBorder="1" applyAlignment="1">
      <alignment horizontal="center" vertical="center" wrapText="1"/>
    </xf>
    <xf numFmtId="0" fontId="43" fillId="25" borderId="3" xfId="17" applyFont="1" applyFill="1" applyBorder="1" applyAlignment="1">
      <alignment horizontal="center" vertical="center" wrapText="1"/>
    </xf>
    <xf numFmtId="0" fontId="43" fillId="25" borderId="2" xfId="17" applyFont="1" applyFill="1" applyBorder="1" applyAlignment="1">
      <alignment horizontal="center" vertical="center" wrapText="1"/>
    </xf>
    <xf numFmtId="0" fontId="14" fillId="25" borderId="4" xfId="33" applyFont="1" applyFill="1" applyBorder="1" applyAlignment="1">
      <alignment horizontal="left" vertical="top" wrapText="1"/>
    </xf>
    <xf numFmtId="0" fontId="14" fillId="25" borderId="3" xfId="33" applyFont="1" applyFill="1" applyBorder="1" applyAlignment="1">
      <alignment horizontal="left" vertical="top" wrapText="1"/>
    </xf>
    <xf numFmtId="0" fontId="14" fillId="25" borderId="2" xfId="33" applyFont="1" applyFill="1" applyBorder="1" applyAlignment="1">
      <alignment horizontal="left" vertical="top" wrapText="1"/>
    </xf>
    <xf numFmtId="0" fontId="14" fillId="0" borderId="16" xfId="33" applyFont="1" applyBorder="1" applyAlignment="1">
      <alignment horizontal="left" vertical="top" wrapText="1"/>
    </xf>
    <xf numFmtId="0" fontId="14" fillId="0" borderId="17" xfId="33" applyFont="1" applyBorder="1" applyAlignment="1">
      <alignment horizontal="left" vertical="top" wrapText="1"/>
    </xf>
    <xf numFmtId="0" fontId="14" fillId="0" borderId="18" xfId="33" applyFont="1" applyBorder="1" applyAlignment="1">
      <alignment horizontal="left" vertical="top" wrapText="1"/>
    </xf>
    <xf numFmtId="0" fontId="14" fillId="25" borderId="19" xfId="33" applyFont="1" applyFill="1" applyBorder="1" applyAlignment="1">
      <alignment horizontal="left" vertical="top" wrapText="1"/>
    </xf>
    <xf numFmtId="0" fontId="14" fillId="25" borderId="20" xfId="33" applyFont="1" applyFill="1" applyBorder="1" applyAlignment="1">
      <alignment horizontal="left" vertical="top" wrapText="1"/>
    </xf>
    <xf numFmtId="0" fontId="14" fillId="25" borderId="21" xfId="33" applyFont="1" applyFill="1" applyBorder="1" applyAlignment="1">
      <alignment horizontal="left" vertical="top" wrapText="1"/>
    </xf>
    <xf numFmtId="0" fontId="14" fillId="25" borderId="22" xfId="33" applyFont="1" applyFill="1" applyBorder="1" applyAlignment="1">
      <alignment horizontal="left" vertical="top" wrapText="1"/>
    </xf>
    <xf numFmtId="0" fontId="14" fillId="25" borderId="23" xfId="33" applyFont="1" applyFill="1" applyBorder="1" applyAlignment="1">
      <alignment horizontal="left" vertical="top" wrapText="1"/>
    </xf>
    <xf numFmtId="0" fontId="14" fillId="25" borderId="24" xfId="33" applyFont="1" applyFill="1" applyBorder="1" applyAlignment="1">
      <alignment horizontal="left" vertical="top" wrapText="1"/>
    </xf>
    <xf numFmtId="49" fontId="8" fillId="0" borderId="13" xfId="30" applyNumberFormat="1" applyFont="1" applyBorder="1" applyAlignment="1">
      <alignment horizontal="center" vertical="center" wrapText="1"/>
    </xf>
    <xf numFmtId="49" fontId="8" fillId="0" borderId="5" xfId="30" applyNumberFormat="1" applyFont="1" applyBorder="1" applyAlignment="1">
      <alignment horizontal="center" vertical="center" wrapText="1"/>
    </xf>
    <xf numFmtId="0" fontId="5" fillId="19" borderId="3" xfId="28" applyFont="1" applyFill="1" applyBorder="1" applyAlignment="1">
      <alignment horizontal="left" vertical="center"/>
    </xf>
    <xf numFmtId="0" fontId="14" fillId="25" borderId="19" xfId="38" applyFont="1" applyFill="1" applyBorder="1" applyAlignment="1">
      <alignment horizontal="left" vertical="top" wrapText="1"/>
    </xf>
    <xf numFmtId="0" fontId="14" fillId="25" borderId="20" xfId="38" applyFont="1" applyFill="1" applyBorder="1" applyAlignment="1">
      <alignment horizontal="left" vertical="top" wrapText="1"/>
    </xf>
    <xf numFmtId="0" fontId="14" fillId="25" borderId="21" xfId="38" applyFont="1" applyFill="1" applyBorder="1" applyAlignment="1">
      <alignment horizontal="left" vertical="top" wrapText="1"/>
    </xf>
    <xf numFmtId="0" fontId="3" fillId="20" borderId="4" xfId="30" applyFont="1" applyFill="1" applyBorder="1" applyAlignment="1">
      <alignment horizontal="left" vertical="top" wrapText="1"/>
    </xf>
    <xf numFmtId="0" fontId="3" fillId="20" borderId="3" xfId="30" applyFont="1" applyFill="1" applyBorder="1" applyAlignment="1">
      <alignment horizontal="left" vertical="top" wrapText="1"/>
    </xf>
    <xf numFmtId="0" fontId="3" fillId="20" borderId="2" xfId="30" applyFont="1" applyFill="1" applyBorder="1" applyAlignment="1">
      <alignment horizontal="left" vertical="top" wrapText="1"/>
    </xf>
    <xf numFmtId="0" fontId="14" fillId="0" borderId="16" xfId="38" applyFont="1" applyBorder="1" applyAlignment="1">
      <alignment horizontal="left" vertical="top" wrapText="1"/>
    </xf>
    <xf numFmtId="0" fontId="14" fillId="0" borderId="17" xfId="38" applyFont="1" applyBorder="1" applyAlignment="1">
      <alignment horizontal="left" vertical="top" wrapText="1"/>
    </xf>
    <xf numFmtId="0" fontId="14" fillId="0" borderId="18" xfId="38" applyFont="1" applyBorder="1" applyAlignment="1">
      <alignment horizontal="left" vertical="top" wrapText="1"/>
    </xf>
    <xf numFmtId="0" fontId="14" fillId="25" borderId="22" xfId="38" applyFont="1" applyFill="1" applyBorder="1" applyAlignment="1">
      <alignment horizontal="left" vertical="top" wrapText="1"/>
    </xf>
    <xf numFmtId="0" fontId="14" fillId="25" borderId="23" xfId="38" applyFont="1" applyFill="1" applyBorder="1" applyAlignment="1">
      <alignment horizontal="left" vertical="top" wrapText="1"/>
    </xf>
    <xf numFmtId="0" fontId="14" fillId="25" borderId="24" xfId="38" applyFont="1" applyFill="1" applyBorder="1" applyAlignment="1">
      <alignment horizontal="left" vertical="top" wrapText="1"/>
    </xf>
    <xf numFmtId="0" fontId="14" fillId="25" borderId="4" xfId="38" applyFont="1" applyFill="1" applyBorder="1" applyAlignment="1">
      <alignment horizontal="left" vertical="top" wrapText="1"/>
    </xf>
    <xf numFmtId="0" fontId="14" fillId="25" borderId="3" xfId="38" applyFont="1" applyFill="1" applyBorder="1" applyAlignment="1">
      <alignment horizontal="left" vertical="top" wrapText="1"/>
    </xf>
    <xf numFmtId="0" fontId="14" fillId="25" borderId="2" xfId="38" applyFont="1" applyFill="1" applyBorder="1" applyAlignment="1">
      <alignment horizontal="left" vertical="top" wrapText="1"/>
    </xf>
    <xf numFmtId="0" fontId="14" fillId="0" borderId="16" xfId="40" applyFont="1" applyBorder="1" applyAlignment="1">
      <alignment horizontal="left" vertical="top" wrapText="1"/>
    </xf>
    <xf numFmtId="0" fontId="14" fillId="0" borderId="17" xfId="40" applyFont="1" applyBorder="1" applyAlignment="1">
      <alignment horizontal="left" vertical="top" wrapText="1"/>
    </xf>
    <xf numFmtId="0" fontId="14" fillId="0" borderId="18" xfId="40" applyFont="1" applyBorder="1" applyAlignment="1">
      <alignment horizontal="left" vertical="top" wrapText="1"/>
    </xf>
    <xf numFmtId="0" fontId="14" fillId="25" borderId="4" xfId="40" applyFont="1" applyFill="1" applyBorder="1" applyAlignment="1">
      <alignment horizontal="left" vertical="top" wrapText="1"/>
    </xf>
    <xf numFmtId="0" fontId="14" fillId="25" borderId="3" xfId="40" applyFont="1" applyFill="1" applyBorder="1" applyAlignment="1">
      <alignment horizontal="left" vertical="top" wrapText="1"/>
    </xf>
    <xf numFmtId="0" fontId="14" fillId="25" borderId="2" xfId="40" applyFont="1" applyFill="1" applyBorder="1" applyAlignment="1">
      <alignment horizontal="left" vertical="top" wrapText="1"/>
    </xf>
    <xf numFmtId="0" fontId="14" fillId="25" borderId="19" xfId="40" applyFont="1" applyFill="1" applyBorder="1" applyAlignment="1">
      <alignment horizontal="left" vertical="top" wrapText="1"/>
    </xf>
    <xf numFmtId="0" fontId="14" fillId="25" borderId="20" xfId="40" applyFont="1" applyFill="1" applyBorder="1" applyAlignment="1">
      <alignment horizontal="left" vertical="top" wrapText="1"/>
    </xf>
    <xf numFmtId="0" fontId="14" fillId="25" borderId="21" xfId="40" applyFont="1" applyFill="1" applyBorder="1" applyAlignment="1">
      <alignment horizontal="left" vertical="top" wrapText="1"/>
    </xf>
    <xf numFmtId="0" fontId="14" fillId="25" borderId="22" xfId="40" applyFont="1" applyFill="1" applyBorder="1" applyAlignment="1">
      <alignment horizontal="left" vertical="top" wrapText="1"/>
    </xf>
    <xf numFmtId="0" fontId="14" fillId="25" borderId="23" xfId="40" applyFont="1" applyFill="1" applyBorder="1" applyAlignment="1">
      <alignment horizontal="left" vertical="top" wrapText="1"/>
    </xf>
    <xf numFmtId="0" fontId="14" fillId="25" borderId="24" xfId="40" applyFont="1" applyFill="1" applyBorder="1" applyAlignment="1">
      <alignment horizontal="left" vertical="top" wrapText="1"/>
    </xf>
    <xf numFmtId="0" fontId="1" fillId="0" borderId="3" xfId="28" applyBorder="1" applyAlignment="1">
      <alignment vertical="center"/>
    </xf>
    <xf numFmtId="0" fontId="2" fillId="0" borderId="1" xfId="30" applyFont="1" applyBorder="1" applyAlignment="1">
      <alignment horizontal="center" vertical="center" wrapText="1"/>
    </xf>
    <xf numFmtId="0" fontId="8" fillId="2" borderId="4" xfId="51" applyFont="1" applyFill="1" applyBorder="1" applyAlignment="1">
      <alignment horizontal="left" vertical="center" wrapText="1"/>
    </xf>
    <xf numFmtId="0" fontId="8" fillId="2" borderId="3" xfId="51" applyFont="1" applyFill="1" applyBorder="1" applyAlignment="1">
      <alignment horizontal="left" vertical="center" wrapText="1"/>
    </xf>
    <xf numFmtId="165" fontId="2" fillId="0" borderId="15" xfId="2" applyFont="1" applyBorder="1" applyAlignment="1">
      <alignment horizontal="center"/>
    </xf>
    <xf numFmtId="49" fontId="8" fillId="5" borderId="3" xfId="51" applyNumberFormat="1" applyFont="1" applyFill="1" applyBorder="1" applyAlignment="1">
      <alignment horizontal="left" vertical="center" wrapText="1"/>
    </xf>
    <xf numFmtId="49" fontId="8" fillId="5" borderId="2" xfId="51" applyNumberFormat="1" applyFont="1" applyFill="1" applyBorder="1" applyAlignment="1">
      <alignment horizontal="left" vertical="center" wrapText="1"/>
    </xf>
    <xf numFmtId="0" fontId="2" fillId="0" borderId="0" xfId="1" applyFont="1" applyAlignment="1">
      <alignment horizontal="center"/>
    </xf>
    <xf numFmtId="0" fontId="2" fillId="4" borderId="4" xfId="1" applyFont="1" applyFill="1" applyBorder="1" applyAlignment="1">
      <alignment horizontal="left" vertical="top" wrapText="1"/>
    </xf>
    <xf numFmtId="0" fontId="2" fillId="4" borderId="3" xfId="1" applyFont="1" applyFill="1" applyBorder="1" applyAlignment="1">
      <alignment horizontal="left" vertical="top" wrapText="1"/>
    </xf>
    <xf numFmtId="0" fontId="2" fillId="4" borderId="2" xfId="1" applyFont="1" applyFill="1" applyBorder="1" applyAlignment="1">
      <alignment horizontal="left" vertical="top" wrapText="1"/>
    </xf>
    <xf numFmtId="0" fontId="5" fillId="19" borderId="3" xfId="1" applyFont="1" applyFill="1" applyBorder="1" applyAlignment="1">
      <alignment horizontal="left" vertical="center"/>
    </xf>
    <xf numFmtId="0" fontId="1" fillId="0" borderId="3" xfId="1" applyBorder="1" applyAlignment="1">
      <alignment horizontal="left" vertical="center"/>
    </xf>
    <xf numFmtId="0" fontId="12" fillId="2" borderId="35" xfId="1" applyFont="1" applyFill="1" applyBorder="1" applyAlignment="1">
      <alignment horizontal="left" vertical="top"/>
    </xf>
    <xf numFmtId="0" fontId="12" fillId="2" borderId="17" xfId="1" applyFont="1" applyFill="1" applyBorder="1" applyAlignment="1">
      <alignment horizontal="left" vertical="top"/>
    </xf>
    <xf numFmtId="0" fontId="12" fillId="2" borderId="36" xfId="1" applyFont="1" applyFill="1" applyBorder="1" applyAlignment="1">
      <alignment horizontal="left" vertical="top"/>
    </xf>
    <xf numFmtId="0" fontId="3" fillId="4" borderId="37" xfId="1" applyFont="1" applyFill="1" applyBorder="1" applyAlignment="1">
      <alignment horizontal="left" vertical="top" wrapText="1"/>
    </xf>
    <xf numFmtId="0" fontId="3" fillId="4" borderId="20" xfId="1" applyFont="1" applyFill="1" applyBorder="1" applyAlignment="1">
      <alignment horizontal="left" vertical="top" wrapText="1"/>
    </xf>
    <xf numFmtId="0" fontId="3" fillId="4" borderId="38" xfId="1" applyFont="1" applyFill="1" applyBorder="1" applyAlignment="1">
      <alignment horizontal="left" vertical="top" wrapText="1"/>
    </xf>
    <xf numFmtId="0" fontId="12" fillId="11" borderId="35" xfId="1" applyFont="1" applyFill="1" applyBorder="1" applyAlignment="1">
      <alignment horizontal="left" vertical="top"/>
    </xf>
    <xf numFmtId="0" fontId="12" fillId="11" borderId="17" xfId="1" applyFont="1" applyFill="1" applyBorder="1" applyAlignment="1">
      <alignment horizontal="left" vertical="top"/>
    </xf>
    <xf numFmtId="0" fontId="12" fillId="11" borderId="36" xfId="1" applyFont="1" applyFill="1" applyBorder="1" applyAlignment="1">
      <alignment horizontal="left" vertical="top"/>
    </xf>
    <xf numFmtId="0" fontId="3" fillId="11" borderId="37" xfId="1" applyFont="1" applyFill="1" applyBorder="1" applyAlignment="1">
      <alignment horizontal="left" vertical="top" wrapText="1"/>
    </xf>
    <xf numFmtId="0" fontId="3" fillId="11" borderId="20" xfId="1" applyFont="1" applyFill="1" applyBorder="1" applyAlignment="1">
      <alignment horizontal="left" vertical="top" wrapText="1"/>
    </xf>
    <xf numFmtId="0" fontId="3" fillId="11" borderId="38" xfId="1" applyFont="1" applyFill="1" applyBorder="1" applyAlignment="1">
      <alignment horizontal="left" vertical="top" wrapText="1"/>
    </xf>
    <xf numFmtId="0" fontId="4" fillId="4" borderId="4" xfId="1" applyFont="1" applyFill="1" applyBorder="1" applyAlignment="1">
      <alignment horizontal="center" vertical="center" wrapText="1"/>
    </xf>
    <xf numFmtId="0" fontId="4" fillId="4" borderId="3" xfId="1" applyFont="1" applyFill="1" applyBorder="1" applyAlignment="1">
      <alignment horizontal="center" vertical="center" wrapText="1"/>
    </xf>
    <xf numFmtId="0" fontId="5" fillId="18" borderId="3" xfId="17" applyFont="1" applyFill="1" applyBorder="1" applyAlignment="1">
      <alignment horizontal="left" vertical="center" wrapText="1"/>
    </xf>
    <xf numFmtId="0" fontId="5" fillId="18" borderId="2" xfId="17" applyFont="1" applyFill="1" applyBorder="1" applyAlignment="1">
      <alignment horizontal="left" vertical="center" wrapText="1"/>
    </xf>
    <xf numFmtId="49" fontId="2" fillId="0" borderId="13" xfId="1" applyNumberFormat="1" applyFont="1" applyBorder="1" applyAlignment="1">
      <alignment horizontal="center" vertical="center" wrapText="1"/>
    </xf>
    <xf numFmtId="49" fontId="2" fillId="0" borderId="14" xfId="1" applyNumberFormat="1" applyFont="1" applyBorder="1" applyAlignment="1">
      <alignment horizontal="center" vertical="center" wrapText="1"/>
    </xf>
    <xf numFmtId="0" fontId="8" fillId="23" borderId="4" xfId="11" applyFont="1" applyFill="1" applyBorder="1" applyAlignment="1">
      <alignment horizontal="left" vertical="top" wrapText="1"/>
    </xf>
    <xf numFmtId="0" fontId="8" fillId="23" borderId="3" xfId="11" applyFont="1" applyFill="1" applyBorder="1" applyAlignment="1">
      <alignment horizontal="left" vertical="top" wrapText="1"/>
    </xf>
    <xf numFmtId="0" fontId="8" fillId="23" borderId="2" xfId="11" applyFont="1" applyFill="1" applyBorder="1" applyAlignment="1">
      <alignment horizontal="left" vertical="top" wrapText="1"/>
    </xf>
    <xf numFmtId="0" fontId="3" fillId="20" borderId="4" xfId="1" applyFont="1" applyFill="1" applyBorder="1" applyAlignment="1">
      <alignment horizontal="left" vertical="top" wrapText="1"/>
    </xf>
    <xf numFmtId="0" fontId="3" fillId="20" borderId="3" xfId="1" applyFont="1" applyFill="1" applyBorder="1" applyAlignment="1">
      <alignment horizontal="left" vertical="top" wrapText="1"/>
    </xf>
    <xf numFmtId="0" fontId="3" fillId="20" borderId="2" xfId="1" applyFont="1" applyFill="1" applyBorder="1" applyAlignment="1">
      <alignment horizontal="left" vertical="top" wrapText="1"/>
    </xf>
    <xf numFmtId="0" fontId="8" fillId="23" borderId="16" xfId="11" applyFont="1" applyFill="1" applyBorder="1" applyAlignment="1">
      <alignment horizontal="left" vertical="top" wrapText="1"/>
    </xf>
    <xf numFmtId="0" fontId="8" fillId="23" borderId="17" xfId="11" applyFont="1" applyFill="1" applyBorder="1" applyAlignment="1">
      <alignment horizontal="left" vertical="top" wrapText="1"/>
    </xf>
    <xf numFmtId="0" fontId="8" fillId="23" borderId="18" xfId="11" applyFont="1" applyFill="1" applyBorder="1" applyAlignment="1">
      <alignment horizontal="left" vertical="top" wrapText="1"/>
    </xf>
    <xf numFmtId="0" fontId="8" fillId="23" borderId="19" xfId="11" applyFont="1" applyFill="1" applyBorder="1" applyAlignment="1">
      <alignment horizontal="left" vertical="top" wrapText="1"/>
    </xf>
    <xf numFmtId="0" fontId="8" fillId="23" borderId="20" xfId="11" applyFont="1" applyFill="1" applyBorder="1" applyAlignment="1">
      <alignment horizontal="left" vertical="top" wrapText="1"/>
    </xf>
    <xf numFmtId="0" fontId="8" fillId="23" borderId="21" xfId="11" applyFont="1" applyFill="1" applyBorder="1" applyAlignment="1">
      <alignment horizontal="left" vertical="top" wrapText="1"/>
    </xf>
    <xf numFmtId="0" fontId="8" fillId="23" borderId="29" xfId="11" applyFont="1" applyFill="1" applyBorder="1" applyAlignment="1">
      <alignment horizontal="left" vertical="top" wrapText="1"/>
    </xf>
    <xf numFmtId="0" fontId="8" fillId="23" borderId="30" xfId="11" applyFont="1" applyFill="1" applyBorder="1" applyAlignment="1">
      <alignment horizontal="left" vertical="top" wrapText="1"/>
    </xf>
    <xf numFmtId="0" fontId="8" fillId="23" borderId="31" xfId="11" applyFont="1" applyFill="1" applyBorder="1" applyAlignment="1">
      <alignment horizontal="left" vertical="top" wrapText="1"/>
    </xf>
  </cellXfs>
  <cellStyles count="52">
    <cellStyle name="Comma 2" xfId="2" xr:uid="{1519EDAA-23BE-4860-90C2-7F329C59F31A}"/>
    <cellStyle name="Comma 3" xfId="23" xr:uid="{C7F596BB-0A4F-42B7-93FE-BEC238B7DED6}"/>
    <cellStyle name="Comma 3 2" xfId="26" xr:uid="{4A5CF4CE-95AF-434D-AE01-BE284293ADDA}"/>
    <cellStyle name="Comma 4" xfId="29" xr:uid="{93CE9C7B-5163-4D08-BC42-BB84CFC9053D}"/>
    <cellStyle name="Comma 4 2" xfId="48" xr:uid="{D286715E-2F06-4549-BB0C-B63455EF690B}"/>
    <cellStyle name="Currency 2" xfId="16" xr:uid="{5334884F-CFE6-4A7D-AA13-0A154365342D}"/>
    <cellStyle name="Dobro" xfId="42" xr:uid="{D77C726A-0773-4407-9968-523E302385CA}"/>
    <cellStyle name="Navadno" xfId="0" builtinId="0"/>
    <cellStyle name="Navadno 17" xfId="14" xr:uid="{F7876BC3-D5AE-4C5E-A170-E8101F412651}"/>
    <cellStyle name="Navadno 2" xfId="11" xr:uid="{5D1804B9-E5B2-4334-891C-A28D2A52300A}"/>
    <cellStyle name="Navadno 2 2" xfId="5" xr:uid="{E67414D0-10DE-4C6E-8501-F7C96909F97C}"/>
    <cellStyle name="Navadno 2 2 2" xfId="31" xr:uid="{AE2B5D12-2E86-4106-A313-569E34552896}"/>
    <cellStyle name="Navadno 2 3" xfId="41" xr:uid="{7900190C-64D3-4C8A-8927-FEF406DCE515}"/>
    <cellStyle name="Navadno 2 3 3" xfId="47" xr:uid="{F98A1052-C177-4114-BE6E-209100ADA15C}"/>
    <cellStyle name="Navadno 2 4" xfId="25" xr:uid="{8E7A8644-0017-4717-B6D0-76DD9247525C}"/>
    <cellStyle name="Navadno 2_Popis Mačkovci 2013" xfId="10" xr:uid="{DA200FE6-5F28-4132-A55A-D20FBC64CEEF}"/>
    <cellStyle name="Navadno 3" xfId="1" xr:uid="{0F87A37D-44B2-4C50-A97A-3A48A02F7366}"/>
    <cellStyle name="Navadno 3 2" xfId="30" xr:uid="{5741F4CE-38E5-40EB-907E-0F4A7FC9B4DC}"/>
    <cellStyle name="Navadno 4" xfId="43" xr:uid="{281E0312-6156-4B47-8401-C27D7FC5AB16}"/>
    <cellStyle name="Navadno 5" xfId="44" xr:uid="{964DA7B9-E94E-40D6-B349-F433527DCF1E}"/>
    <cellStyle name="Navadno 6" xfId="45" xr:uid="{4B3B0E89-C771-41D7-B278-BB9407DC56AD}"/>
    <cellStyle name="Navadno 7" xfId="35" xr:uid="{E36722EF-F91E-49B0-ABAF-5A837DB4C32B}"/>
    <cellStyle name="Navadno 8" xfId="46" xr:uid="{A8FE9347-25FE-4CC7-8205-22563F1F6D50}"/>
    <cellStyle name="Navadno 9" xfId="36" xr:uid="{1675A960-57C7-45DE-AE10-4199EF4C3497}"/>
    <cellStyle name="Navadno_List1 2" xfId="7" xr:uid="{55823438-CFA2-470F-8ACA-AB5955007DD5}"/>
    <cellStyle name="Navadno_popis_Bukovnica_elektro" xfId="33" xr:uid="{BB407967-0BE3-4AD0-BD26-BCBDFF388BB3}"/>
    <cellStyle name="Navadno_popis_ČRP Filovci elektroI" xfId="38" xr:uid="{ECD47513-888D-4DE4-900F-B7E5B25EBB7C}"/>
    <cellStyle name="Navadno_popis_VH Filovci elektroI" xfId="40" xr:uid="{AB6A8146-7F60-4378-8D25-FBDCA4C311AA}"/>
    <cellStyle name="Navadno_VODOVOD ZA NASELJE GORNJI ČRNCI" xfId="9" xr:uid="{82AF0D4B-BA3D-421F-9D42-A29C0809398A}"/>
    <cellStyle name="Navadno_VODOVOD ZA NASELJE KOROVCI" xfId="6" xr:uid="{3BAD9197-7CAB-4F09-B26E-D86A961758B1}"/>
    <cellStyle name="Nivo_1_GlNaslov" xfId="12" xr:uid="{F0E342BD-0818-4277-B6E7-BC36E6C81A72}"/>
    <cellStyle name="Nivo_2_Podnaslov" xfId="18" xr:uid="{0A3D9F8D-0E8E-4148-84C9-115193F05AC8}"/>
    <cellStyle name="Normal 2" xfId="4" xr:uid="{DA7D1B55-3DFC-48B4-BDF2-374F97C03266}"/>
    <cellStyle name="Normal 2 2" xfId="17" xr:uid="{75CAFDC6-1542-488A-9B7F-004B94C359C0}"/>
    <cellStyle name="Normal 3" xfId="28" xr:uid="{60556A19-AF0C-4CC2-8A56-B047E095535B}"/>
    <cellStyle name="Normal 4" xfId="49" xr:uid="{A0AACAA7-AEAF-45B8-8C30-AC8E0C7B9B6B}"/>
    <cellStyle name="Normal 5" xfId="51" xr:uid="{8FC8C179-D2E4-4D11-9575-8BC97890D839}"/>
    <cellStyle name="Normal_BoQ - cene sit_eur 2 2" xfId="19" xr:uid="{AF88B2DF-C09D-49C6-AD38-CED21055A611}"/>
    <cellStyle name="Normal_Sheet1_Sheet2" xfId="8" xr:uid="{3128A2EE-1EC1-4C33-B944-61FADBC530F5}"/>
    <cellStyle name="Odstotek" xfId="50" builtinId="5"/>
    <cellStyle name="tekst-levo 2" xfId="20" xr:uid="{743C5568-1F1F-47BD-93B7-7EFA43A319EC}"/>
    <cellStyle name="Vejica 2" xfId="22" xr:uid="{A18ECA57-A6E9-4B04-B01B-EE23C89B60CF}"/>
    <cellStyle name="Vejica 2 2" xfId="32" xr:uid="{D7A3AAB9-7451-4700-8943-45231AEE048F}"/>
    <cellStyle name="Vejica 3" xfId="3" xr:uid="{28AD53B1-A569-4ED8-AE72-75EDECEA60EC}"/>
    <cellStyle name="Vejica 3 2" xfId="15" xr:uid="{71A7DE4F-5449-4132-B7AB-67D9F13D2BCD}"/>
    <cellStyle name="Vejica 4" xfId="13" xr:uid="{6B87E081-FBAB-4664-ABEA-2CA6B6E371BA}"/>
    <cellStyle name="Vejica 4 2" xfId="24" xr:uid="{C14D87E4-334A-4724-94C5-576E01F28808}"/>
    <cellStyle name="Vejica 4 2 2" xfId="39" xr:uid="{E1F34EC3-CB0B-4902-81FA-F35D0688F8C9}"/>
    <cellStyle name="Vejica 4 3" xfId="27" xr:uid="{BC5B0880-DE63-4AE2-8BD6-324FB566674C}"/>
    <cellStyle name="Vejica 5" xfId="37" xr:uid="{AB474A61-8F08-4B02-88B3-12414F1B03C3}"/>
    <cellStyle name="Vejica_Popis Mačkovci 2013" xfId="21" xr:uid="{DBAA75C2-B218-4DEB-965F-01474EEE8CC4}"/>
    <cellStyle name="Vejica_Popis Mačkovci 2013 2" xfId="34" xr:uid="{581962F3-3E1B-4274-AFD2-C24BC89E9F80}"/>
  </cellStyles>
  <dxfs count="0"/>
  <tableStyles count="0" defaultTableStyle="TableStyleMedium2" defaultPivotStyle="PivotStyleLight16"/>
  <colors>
    <mruColors>
      <color rgb="FFCCCCFF"/>
      <color rgb="FFCC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476252</xdr:colOff>
      <xdr:row>303</xdr:row>
      <xdr:rowOff>43296</xdr:rowOff>
    </xdr:from>
    <xdr:to>
      <xdr:col>5</xdr:col>
      <xdr:colOff>785719</xdr:colOff>
      <xdr:row>303</xdr:row>
      <xdr:rowOff>4866410</xdr:rowOff>
    </xdr:to>
    <xdr:pic>
      <xdr:nvPicPr>
        <xdr:cNvPr id="3" name="Slika 2">
          <a:extLst>
            <a:ext uri="{FF2B5EF4-FFF2-40B4-BE49-F238E27FC236}">
              <a16:creationId xmlns:a16="http://schemas.microsoft.com/office/drawing/2014/main" id="{2F4ED9C1-7565-4BEC-8B92-EDA1A67C99A5}"/>
            </a:ext>
          </a:extLst>
        </xdr:cNvPr>
        <xdr:cNvPicPr>
          <a:picLocks noChangeAspect="1"/>
        </xdr:cNvPicPr>
      </xdr:nvPicPr>
      <xdr:blipFill>
        <a:blip xmlns:r="http://schemas.openxmlformats.org/officeDocument/2006/relationships" r:embed="rId1"/>
        <a:stretch>
          <a:fillRect/>
        </a:stretch>
      </xdr:blipFill>
      <xdr:spPr>
        <a:xfrm>
          <a:off x="770661" y="99111955"/>
          <a:ext cx="5600172" cy="4823114"/>
        </a:xfrm>
        <a:prstGeom prst="rect">
          <a:avLst/>
        </a:prstGeom>
      </xdr:spPr>
    </xdr:pic>
    <xdr:clientData/>
  </xdr:twoCellAnchor>
  <xdr:twoCellAnchor editAs="oneCell">
    <xdr:from>
      <xdr:col>1</xdr:col>
      <xdr:colOff>233796</xdr:colOff>
      <xdr:row>150</xdr:row>
      <xdr:rowOff>60614</xdr:rowOff>
    </xdr:from>
    <xdr:to>
      <xdr:col>5</xdr:col>
      <xdr:colOff>781186</xdr:colOff>
      <xdr:row>156</xdr:row>
      <xdr:rowOff>1135023</xdr:rowOff>
    </xdr:to>
    <xdr:pic>
      <xdr:nvPicPr>
        <xdr:cNvPr id="2" name="Slika 1">
          <a:extLst>
            <a:ext uri="{FF2B5EF4-FFF2-40B4-BE49-F238E27FC236}">
              <a16:creationId xmlns:a16="http://schemas.microsoft.com/office/drawing/2014/main" id="{F1BF1E05-54B0-471B-AB1A-E450891E26D8}"/>
            </a:ext>
          </a:extLst>
        </xdr:cNvPr>
        <xdr:cNvPicPr>
          <a:picLocks noChangeAspect="1"/>
        </xdr:cNvPicPr>
      </xdr:nvPicPr>
      <xdr:blipFill>
        <a:blip xmlns:r="http://schemas.openxmlformats.org/officeDocument/2006/relationships" r:embed="rId2"/>
        <a:stretch>
          <a:fillRect/>
        </a:stretch>
      </xdr:blipFill>
      <xdr:spPr>
        <a:xfrm>
          <a:off x="528205" y="47824159"/>
          <a:ext cx="5838095" cy="8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476251</xdr:colOff>
      <xdr:row>87</xdr:row>
      <xdr:rowOff>34636</xdr:rowOff>
    </xdr:from>
    <xdr:to>
      <xdr:col>5</xdr:col>
      <xdr:colOff>762001</xdr:colOff>
      <xdr:row>87</xdr:row>
      <xdr:rowOff>4889527</xdr:rowOff>
    </xdr:to>
    <xdr:pic>
      <xdr:nvPicPr>
        <xdr:cNvPr id="3" name="Slika 2">
          <a:extLst>
            <a:ext uri="{FF2B5EF4-FFF2-40B4-BE49-F238E27FC236}">
              <a16:creationId xmlns:a16="http://schemas.microsoft.com/office/drawing/2014/main" id="{C09F08CA-F9B0-4AA9-8B37-80AE50544F90}"/>
            </a:ext>
          </a:extLst>
        </xdr:cNvPr>
        <xdr:cNvPicPr>
          <a:picLocks noChangeAspect="1"/>
        </xdr:cNvPicPr>
      </xdr:nvPicPr>
      <xdr:blipFill>
        <a:blip xmlns:r="http://schemas.openxmlformats.org/officeDocument/2006/relationships" r:embed="rId1"/>
        <a:stretch>
          <a:fillRect/>
        </a:stretch>
      </xdr:blipFill>
      <xdr:spPr>
        <a:xfrm>
          <a:off x="770660" y="40472591"/>
          <a:ext cx="5637068" cy="4854891"/>
        </a:xfrm>
        <a:prstGeom prst="rect">
          <a:avLst/>
        </a:prstGeom>
      </xdr:spPr>
    </xdr:pic>
    <xdr:clientData/>
  </xdr:twoCellAnchor>
  <xdr:twoCellAnchor editAs="oneCell">
    <xdr:from>
      <xdr:col>2</xdr:col>
      <xdr:colOff>51954</xdr:colOff>
      <xdr:row>42</xdr:row>
      <xdr:rowOff>25977</xdr:rowOff>
    </xdr:from>
    <xdr:to>
      <xdr:col>5</xdr:col>
      <xdr:colOff>784680</xdr:colOff>
      <xdr:row>48</xdr:row>
      <xdr:rowOff>1557529</xdr:rowOff>
    </xdr:to>
    <xdr:pic>
      <xdr:nvPicPr>
        <xdr:cNvPr id="2" name="Slika 1">
          <a:extLst>
            <a:ext uri="{FF2B5EF4-FFF2-40B4-BE49-F238E27FC236}">
              <a16:creationId xmlns:a16="http://schemas.microsoft.com/office/drawing/2014/main" id="{86BD0D77-4388-4CB5-B405-41F512821C29}"/>
            </a:ext>
          </a:extLst>
        </xdr:cNvPr>
        <xdr:cNvPicPr>
          <a:picLocks noChangeAspect="1"/>
        </xdr:cNvPicPr>
      </xdr:nvPicPr>
      <xdr:blipFill>
        <a:blip xmlns:r="http://schemas.openxmlformats.org/officeDocument/2006/relationships" r:embed="rId2"/>
        <a:stretch>
          <a:fillRect/>
        </a:stretch>
      </xdr:blipFill>
      <xdr:spPr>
        <a:xfrm>
          <a:off x="839931" y="8295409"/>
          <a:ext cx="5590476" cy="88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34637</xdr:colOff>
      <xdr:row>88</xdr:row>
      <xdr:rowOff>43295</xdr:rowOff>
    </xdr:from>
    <xdr:to>
      <xdr:col>5</xdr:col>
      <xdr:colOff>787113</xdr:colOff>
      <xdr:row>88</xdr:row>
      <xdr:rowOff>4875068</xdr:rowOff>
    </xdr:to>
    <xdr:pic>
      <xdr:nvPicPr>
        <xdr:cNvPr id="3" name="Slika 2">
          <a:extLst>
            <a:ext uri="{FF2B5EF4-FFF2-40B4-BE49-F238E27FC236}">
              <a16:creationId xmlns:a16="http://schemas.microsoft.com/office/drawing/2014/main" id="{FB235D15-48DF-4544-80EB-D92DBE2ACD6B}"/>
            </a:ext>
          </a:extLst>
        </xdr:cNvPr>
        <xdr:cNvPicPr>
          <a:picLocks noChangeAspect="1"/>
        </xdr:cNvPicPr>
      </xdr:nvPicPr>
      <xdr:blipFill>
        <a:blip xmlns:r="http://schemas.openxmlformats.org/officeDocument/2006/relationships" r:embed="rId1"/>
        <a:stretch>
          <a:fillRect/>
        </a:stretch>
      </xdr:blipFill>
      <xdr:spPr>
        <a:xfrm>
          <a:off x="822614" y="43581204"/>
          <a:ext cx="5610226" cy="4831773"/>
        </a:xfrm>
        <a:prstGeom prst="rect">
          <a:avLst/>
        </a:prstGeom>
      </xdr:spPr>
    </xdr:pic>
    <xdr:clientData/>
  </xdr:twoCellAnchor>
  <xdr:twoCellAnchor editAs="oneCell">
    <xdr:from>
      <xdr:col>2</xdr:col>
      <xdr:colOff>86591</xdr:colOff>
      <xdr:row>43</xdr:row>
      <xdr:rowOff>129887</xdr:rowOff>
    </xdr:from>
    <xdr:to>
      <xdr:col>5</xdr:col>
      <xdr:colOff>771698</xdr:colOff>
      <xdr:row>49</xdr:row>
      <xdr:rowOff>1537629</xdr:rowOff>
    </xdr:to>
    <xdr:pic>
      <xdr:nvPicPr>
        <xdr:cNvPr id="4" name="Slika 3">
          <a:extLst>
            <a:ext uri="{FF2B5EF4-FFF2-40B4-BE49-F238E27FC236}">
              <a16:creationId xmlns:a16="http://schemas.microsoft.com/office/drawing/2014/main" id="{0A952534-E42E-4ECB-80BF-D6EE4FFF5FB7}"/>
            </a:ext>
          </a:extLst>
        </xdr:cNvPr>
        <xdr:cNvPicPr>
          <a:picLocks noChangeAspect="1"/>
        </xdr:cNvPicPr>
      </xdr:nvPicPr>
      <xdr:blipFill>
        <a:blip xmlns:r="http://schemas.openxmlformats.org/officeDocument/2006/relationships" r:embed="rId2"/>
        <a:stretch>
          <a:fillRect/>
        </a:stretch>
      </xdr:blipFill>
      <xdr:spPr>
        <a:xfrm>
          <a:off x="874568" y="11005705"/>
          <a:ext cx="5542857" cy="87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43296</xdr:colOff>
      <xdr:row>86</xdr:row>
      <xdr:rowOff>8660</xdr:rowOff>
    </xdr:from>
    <xdr:to>
      <xdr:col>5</xdr:col>
      <xdr:colOff>787978</xdr:colOff>
      <xdr:row>86</xdr:row>
      <xdr:rowOff>4885924</xdr:rowOff>
    </xdr:to>
    <xdr:pic>
      <xdr:nvPicPr>
        <xdr:cNvPr id="3" name="Slika 2">
          <a:extLst>
            <a:ext uri="{FF2B5EF4-FFF2-40B4-BE49-F238E27FC236}">
              <a16:creationId xmlns:a16="http://schemas.microsoft.com/office/drawing/2014/main" id="{4B83A4F5-F4DB-4570-B7DA-DC16832C4840}"/>
            </a:ext>
          </a:extLst>
        </xdr:cNvPr>
        <xdr:cNvPicPr>
          <a:picLocks noChangeAspect="1"/>
        </xdr:cNvPicPr>
      </xdr:nvPicPr>
      <xdr:blipFill>
        <a:blip xmlns:r="http://schemas.openxmlformats.org/officeDocument/2006/relationships" r:embed="rId1"/>
        <a:stretch>
          <a:fillRect/>
        </a:stretch>
      </xdr:blipFill>
      <xdr:spPr>
        <a:xfrm>
          <a:off x="831273" y="42282342"/>
          <a:ext cx="5663046" cy="4877264"/>
        </a:xfrm>
        <a:prstGeom prst="rect">
          <a:avLst/>
        </a:prstGeom>
      </xdr:spPr>
    </xdr:pic>
    <xdr:clientData/>
  </xdr:twoCellAnchor>
  <xdr:twoCellAnchor editAs="oneCell">
    <xdr:from>
      <xdr:col>2</xdr:col>
      <xdr:colOff>60613</xdr:colOff>
      <xdr:row>41</xdr:row>
      <xdr:rowOff>77932</xdr:rowOff>
    </xdr:from>
    <xdr:to>
      <xdr:col>5</xdr:col>
      <xdr:colOff>780344</xdr:colOff>
      <xdr:row>47</xdr:row>
      <xdr:rowOff>1514246</xdr:rowOff>
    </xdr:to>
    <xdr:pic>
      <xdr:nvPicPr>
        <xdr:cNvPr id="2" name="Slika 1">
          <a:extLst>
            <a:ext uri="{FF2B5EF4-FFF2-40B4-BE49-F238E27FC236}">
              <a16:creationId xmlns:a16="http://schemas.microsoft.com/office/drawing/2014/main" id="{A945FEEF-FE13-45BA-A6F8-D26A1B4ECE9F}"/>
            </a:ext>
          </a:extLst>
        </xdr:cNvPr>
        <xdr:cNvPicPr>
          <a:picLocks noChangeAspect="1"/>
        </xdr:cNvPicPr>
      </xdr:nvPicPr>
      <xdr:blipFill>
        <a:blip xmlns:r="http://schemas.openxmlformats.org/officeDocument/2006/relationships" r:embed="rId2"/>
        <a:stretch>
          <a:fillRect/>
        </a:stretch>
      </xdr:blipFill>
      <xdr:spPr>
        <a:xfrm>
          <a:off x="848590" y="9585614"/>
          <a:ext cx="5638095" cy="87619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25979</xdr:colOff>
      <xdr:row>99</xdr:row>
      <xdr:rowOff>34636</xdr:rowOff>
    </xdr:from>
    <xdr:to>
      <xdr:col>5</xdr:col>
      <xdr:colOff>762001</xdr:colOff>
      <xdr:row>99</xdr:row>
      <xdr:rowOff>4889527</xdr:rowOff>
    </xdr:to>
    <xdr:pic>
      <xdr:nvPicPr>
        <xdr:cNvPr id="3" name="Slika 2">
          <a:extLst>
            <a:ext uri="{FF2B5EF4-FFF2-40B4-BE49-F238E27FC236}">
              <a16:creationId xmlns:a16="http://schemas.microsoft.com/office/drawing/2014/main" id="{98549E60-6D57-49B5-913F-4A18B72B6578}"/>
            </a:ext>
          </a:extLst>
        </xdr:cNvPr>
        <xdr:cNvPicPr>
          <a:picLocks noChangeAspect="1"/>
        </xdr:cNvPicPr>
      </xdr:nvPicPr>
      <xdr:blipFill>
        <a:blip xmlns:r="http://schemas.openxmlformats.org/officeDocument/2006/relationships" r:embed="rId1"/>
        <a:stretch>
          <a:fillRect/>
        </a:stretch>
      </xdr:blipFill>
      <xdr:spPr>
        <a:xfrm>
          <a:off x="813956" y="56717045"/>
          <a:ext cx="5637068" cy="4854891"/>
        </a:xfrm>
        <a:prstGeom prst="rect">
          <a:avLst/>
        </a:prstGeom>
      </xdr:spPr>
    </xdr:pic>
    <xdr:clientData/>
  </xdr:twoCellAnchor>
  <xdr:twoCellAnchor editAs="oneCell">
    <xdr:from>
      <xdr:col>2</xdr:col>
      <xdr:colOff>51954</xdr:colOff>
      <xdr:row>56</xdr:row>
      <xdr:rowOff>43296</xdr:rowOff>
    </xdr:from>
    <xdr:to>
      <xdr:col>5</xdr:col>
      <xdr:colOff>770659</xdr:colOff>
      <xdr:row>62</xdr:row>
      <xdr:rowOff>1523913</xdr:rowOff>
    </xdr:to>
    <xdr:pic>
      <xdr:nvPicPr>
        <xdr:cNvPr id="2" name="Slika 1">
          <a:extLst>
            <a:ext uri="{FF2B5EF4-FFF2-40B4-BE49-F238E27FC236}">
              <a16:creationId xmlns:a16="http://schemas.microsoft.com/office/drawing/2014/main" id="{B0853E11-9016-41C0-8810-3A0724568FE6}"/>
            </a:ext>
          </a:extLst>
        </xdr:cNvPr>
        <xdr:cNvPicPr>
          <a:picLocks noChangeAspect="1"/>
        </xdr:cNvPicPr>
      </xdr:nvPicPr>
      <xdr:blipFill>
        <a:blip xmlns:r="http://schemas.openxmlformats.org/officeDocument/2006/relationships" r:embed="rId2"/>
        <a:stretch>
          <a:fillRect/>
        </a:stretch>
      </xdr:blipFill>
      <xdr:spPr>
        <a:xfrm>
          <a:off x="839931" y="26271682"/>
          <a:ext cx="5619751" cy="88062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43296</xdr:colOff>
      <xdr:row>103</xdr:row>
      <xdr:rowOff>34638</xdr:rowOff>
    </xdr:from>
    <xdr:to>
      <xdr:col>5</xdr:col>
      <xdr:colOff>787978</xdr:colOff>
      <xdr:row>103</xdr:row>
      <xdr:rowOff>4867156</xdr:rowOff>
    </xdr:to>
    <xdr:pic>
      <xdr:nvPicPr>
        <xdr:cNvPr id="3" name="Slika 2">
          <a:extLst>
            <a:ext uri="{FF2B5EF4-FFF2-40B4-BE49-F238E27FC236}">
              <a16:creationId xmlns:a16="http://schemas.microsoft.com/office/drawing/2014/main" id="{757815A9-CCC8-40EC-9AC3-97B6AE9883CB}"/>
            </a:ext>
          </a:extLst>
        </xdr:cNvPr>
        <xdr:cNvPicPr>
          <a:picLocks noChangeAspect="1"/>
        </xdr:cNvPicPr>
      </xdr:nvPicPr>
      <xdr:blipFill>
        <a:blip xmlns:r="http://schemas.openxmlformats.org/officeDocument/2006/relationships" r:embed="rId1"/>
        <a:stretch>
          <a:fillRect/>
        </a:stretch>
      </xdr:blipFill>
      <xdr:spPr>
        <a:xfrm>
          <a:off x="640773" y="57608933"/>
          <a:ext cx="5611091" cy="4832518"/>
        </a:xfrm>
        <a:prstGeom prst="rect">
          <a:avLst/>
        </a:prstGeom>
      </xdr:spPr>
    </xdr:pic>
    <xdr:clientData/>
  </xdr:twoCellAnchor>
  <xdr:twoCellAnchor editAs="oneCell">
    <xdr:from>
      <xdr:col>2</xdr:col>
      <xdr:colOff>69274</xdr:colOff>
      <xdr:row>60</xdr:row>
      <xdr:rowOff>17317</xdr:rowOff>
    </xdr:from>
    <xdr:to>
      <xdr:col>5</xdr:col>
      <xdr:colOff>745722</xdr:colOff>
      <xdr:row>66</xdr:row>
      <xdr:rowOff>1491726</xdr:rowOff>
    </xdr:to>
    <xdr:pic>
      <xdr:nvPicPr>
        <xdr:cNvPr id="5" name="Slika 4">
          <a:extLst>
            <a:ext uri="{FF2B5EF4-FFF2-40B4-BE49-F238E27FC236}">
              <a16:creationId xmlns:a16="http://schemas.microsoft.com/office/drawing/2014/main" id="{5E0C31B1-DE25-4005-B238-799A7DE64149}"/>
            </a:ext>
          </a:extLst>
        </xdr:cNvPr>
        <xdr:cNvPicPr>
          <a:picLocks noChangeAspect="1"/>
        </xdr:cNvPicPr>
      </xdr:nvPicPr>
      <xdr:blipFill>
        <a:blip xmlns:r="http://schemas.openxmlformats.org/officeDocument/2006/relationships" r:embed="rId2"/>
        <a:stretch>
          <a:fillRect/>
        </a:stretch>
      </xdr:blipFill>
      <xdr:spPr>
        <a:xfrm>
          <a:off x="666751" y="26981726"/>
          <a:ext cx="5542857" cy="880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xdr:colOff>
      <xdr:row>51</xdr:row>
      <xdr:rowOff>1</xdr:rowOff>
    </xdr:from>
    <xdr:to>
      <xdr:col>5</xdr:col>
      <xdr:colOff>770660</xdr:colOff>
      <xdr:row>51</xdr:row>
      <xdr:rowOff>4877265</xdr:rowOff>
    </xdr:to>
    <xdr:pic>
      <xdr:nvPicPr>
        <xdr:cNvPr id="4" name="Slika 3">
          <a:extLst>
            <a:ext uri="{FF2B5EF4-FFF2-40B4-BE49-F238E27FC236}">
              <a16:creationId xmlns:a16="http://schemas.microsoft.com/office/drawing/2014/main" id="{DE7672D6-F498-4834-B142-C86BC2A14407}"/>
            </a:ext>
          </a:extLst>
        </xdr:cNvPr>
        <xdr:cNvPicPr>
          <a:picLocks noChangeAspect="1"/>
        </xdr:cNvPicPr>
      </xdr:nvPicPr>
      <xdr:blipFill>
        <a:blip xmlns:r="http://schemas.openxmlformats.org/officeDocument/2006/relationships" r:embed="rId1"/>
        <a:stretch>
          <a:fillRect/>
        </a:stretch>
      </xdr:blipFill>
      <xdr:spPr>
        <a:xfrm>
          <a:off x="787978" y="21907501"/>
          <a:ext cx="5663046" cy="48772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8660</xdr:colOff>
      <xdr:row>51</xdr:row>
      <xdr:rowOff>34637</xdr:rowOff>
    </xdr:from>
    <xdr:to>
      <xdr:col>5</xdr:col>
      <xdr:colOff>787979</xdr:colOff>
      <xdr:row>51</xdr:row>
      <xdr:rowOff>4896986</xdr:rowOff>
    </xdr:to>
    <xdr:pic>
      <xdr:nvPicPr>
        <xdr:cNvPr id="3" name="Slika 2">
          <a:extLst>
            <a:ext uri="{FF2B5EF4-FFF2-40B4-BE49-F238E27FC236}">
              <a16:creationId xmlns:a16="http://schemas.microsoft.com/office/drawing/2014/main" id="{80503E5E-9F55-476C-A540-F1D619B4C37E}"/>
            </a:ext>
          </a:extLst>
        </xdr:cNvPr>
        <xdr:cNvPicPr>
          <a:picLocks noChangeAspect="1"/>
        </xdr:cNvPicPr>
      </xdr:nvPicPr>
      <xdr:blipFill>
        <a:blip xmlns:r="http://schemas.openxmlformats.org/officeDocument/2006/relationships" r:embed="rId1"/>
        <a:stretch>
          <a:fillRect/>
        </a:stretch>
      </xdr:blipFill>
      <xdr:spPr>
        <a:xfrm>
          <a:off x="796637" y="21942137"/>
          <a:ext cx="5645728" cy="48623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34638</xdr:colOff>
      <xdr:row>51</xdr:row>
      <xdr:rowOff>34636</xdr:rowOff>
    </xdr:from>
    <xdr:to>
      <xdr:col>5</xdr:col>
      <xdr:colOff>779319</xdr:colOff>
      <xdr:row>51</xdr:row>
      <xdr:rowOff>4889527</xdr:rowOff>
    </xdr:to>
    <xdr:pic>
      <xdr:nvPicPr>
        <xdr:cNvPr id="3" name="Slika 2">
          <a:extLst>
            <a:ext uri="{FF2B5EF4-FFF2-40B4-BE49-F238E27FC236}">
              <a16:creationId xmlns:a16="http://schemas.microsoft.com/office/drawing/2014/main" id="{C281B705-54BF-4B06-956B-B0B147902F6E}"/>
            </a:ext>
          </a:extLst>
        </xdr:cNvPr>
        <xdr:cNvPicPr>
          <a:picLocks noChangeAspect="1"/>
        </xdr:cNvPicPr>
      </xdr:nvPicPr>
      <xdr:blipFill>
        <a:blip xmlns:r="http://schemas.openxmlformats.org/officeDocument/2006/relationships" r:embed="rId1"/>
        <a:stretch>
          <a:fillRect/>
        </a:stretch>
      </xdr:blipFill>
      <xdr:spPr>
        <a:xfrm>
          <a:off x="822615" y="21942136"/>
          <a:ext cx="5637068" cy="48548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25979</xdr:colOff>
      <xdr:row>88</xdr:row>
      <xdr:rowOff>25977</xdr:rowOff>
    </xdr:from>
    <xdr:to>
      <xdr:col>5</xdr:col>
      <xdr:colOff>796637</xdr:colOff>
      <xdr:row>88</xdr:row>
      <xdr:rowOff>4858494</xdr:rowOff>
    </xdr:to>
    <xdr:pic>
      <xdr:nvPicPr>
        <xdr:cNvPr id="3" name="Slika 2">
          <a:extLst>
            <a:ext uri="{FF2B5EF4-FFF2-40B4-BE49-F238E27FC236}">
              <a16:creationId xmlns:a16="http://schemas.microsoft.com/office/drawing/2014/main" id="{F7239702-C8AA-4A65-B558-0A6AD4487688}"/>
            </a:ext>
          </a:extLst>
        </xdr:cNvPr>
        <xdr:cNvPicPr>
          <a:picLocks noChangeAspect="1"/>
        </xdr:cNvPicPr>
      </xdr:nvPicPr>
      <xdr:blipFill>
        <a:blip xmlns:r="http://schemas.openxmlformats.org/officeDocument/2006/relationships" r:embed="rId1"/>
        <a:stretch>
          <a:fillRect/>
        </a:stretch>
      </xdr:blipFill>
      <xdr:spPr>
        <a:xfrm>
          <a:off x="813956" y="41139341"/>
          <a:ext cx="5611090" cy="4832517"/>
        </a:xfrm>
        <a:prstGeom prst="rect">
          <a:avLst/>
        </a:prstGeom>
      </xdr:spPr>
    </xdr:pic>
    <xdr:clientData/>
  </xdr:twoCellAnchor>
  <xdr:twoCellAnchor editAs="oneCell">
    <xdr:from>
      <xdr:col>2</xdr:col>
      <xdr:colOff>34637</xdr:colOff>
      <xdr:row>45</xdr:row>
      <xdr:rowOff>17319</xdr:rowOff>
    </xdr:from>
    <xdr:to>
      <xdr:col>5</xdr:col>
      <xdr:colOff>660872</xdr:colOff>
      <xdr:row>51</xdr:row>
      <xdr:rowOff>1567918</xdr:rowOff>
    </xdr:to>
    <xdr:pic>
      <xdr:nvPicPr>
        <xdr:cNvPr id="2" name="Slika 1">
          <a:extLst>
            <a:ext uri="{FF2B5EF4-FFF2-40B4-BE49-F238E27FC236}">
              <a16:creationId xmlns:a16="http://schemas.microsoft.com/office/drawing/2014/main" id="{76510FFD-77CD-4FA0-85E8-B06F1590DF23}"/>
            </a:ext>
          </a:extLst>
        </xdr:cNvPr>
        <xdr:cNvPicPr>
          <a:picLocks noChangeAspect="1"/>
        </xdr:cNvPicPr>
      </xdr:nvPicPr>
      <xdr:blipFill>
        <a:blip xmlns:r="http://schemas.openxmlformats.org/officeDocument/2006/relationships" r:embed="rId2"/>
        <a:stretch>
          <a:fillRect/>
        </a:stretch>
      </xdr:blipFill>
      <xdr:spPr>
        <a:xfrm>
          <a:off x="822614" y="10252364"/>
          <a:ext cx="5466667" cy="8876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34637</xdr:colOff>
      <xdr:row>51</xdr:row>
      <xdr:rowOff>25977</xdr:rowOff>
    </xdr:from>
    <xdr:to>
      <xdr:col>6</xdr:col>
      <xdr:colOff>17318</xdr:colOff>
      <xdr:row>51</xdr:row>
      <xdr:rowOff>4903240</xdr:rowOff>
    </xdr:to>
    <xdr:pic>
      <xdr:nvPicPr>
        <xdr:cNvPr id="3" name="Slika 2">
          <a:extLst>
            <a:ext uri="{FF2B5EF4-FFF2-40B4-BE49-F238E27FC236}">
              <a16:creationId xmlns:a16="http://schemas.microsoft.com/office/drawing/2014/main" id="{6C8AB06A-2771-41D9-9DAF-F27573539917}"/>
            </a:ext>
          </a:extLst>
        </xdr:cNvPr>
        <xdr:cNvPicPr>
          <a:picLocks noChangeAspect="1"/>
        </xdr:cNvPicPr>
      </xdr:nvPicPr>
      <xdr:blipFill>
        <a:blip xmlns:r="http://schemas.openxmlformats.org/officeDocument/2006/relationships" r:embed="rId1"/>
        <a:stretch>
          <a:fillRect/>
        </a:stretch>
      </xdr:blipFill>
      <xdr:spPr>
        <a:xfrm>
          <a:off x="822614" y="21933477"/>
          <a:ext cx="5663045" cy="4877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143</xdr:row>
      <xdr:rowOff>51956</xdr:rowOff>
    </xdr:from>
    <xdr:to>
      <xdr:col>5</xdr:col>
      <xdr:colOff>761134</xdr:colOff>
      <xdr:row>143</xdr:row>
      <xdr:rowOff>4883728</xdr:rowOff>
    </xdr:to>
    <xdr:pic>
      <xdr:nvPicPr>
        <xdr:cNvPr id="3" name="Slika 2">
          <a:extLst>
            <a:ext uri="{FF2B5EF4-FFF2-40B4-BE49-F238E27FC236}">
              <a16:creationId xmlns:a16="http://schemas.microsoft.com/office/drawing/2014/main" id="{DE17F471-98D9-4AC7-BC95-FE9AFD42B7EE}"/>
            </a:ext>
          </a:extLst>
        </xdr:cNvPr>
        <xdr:cNvPicPr>
          <a:picLocks noChangeAspect="1"/>
        </xdr:cNvPicPr>
      </xdr:nvPicPr>
      <xdr:blipFill>
        <a:blip xmlns:r="http://schemas.openxmlformats.org/officeDocument/2006/relationships" r:embed="rId1"/>
        <a:stretch>
          <a:fillRect/>
        </a:stretch>
      </xdr:blipFill>
      <xdr:spPr>
        <a:xfrm>
          <a:off x="787977" y="58656683"/>
          <a:ext cx="5610225" cy="483177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441614</xdr:colOff>
      <xdr:row>85</xdr:row>
      <xdr:rowOff>34636</xdr:rowOff>
    </xdr:from>
    <xdr:to>
      <xdr:col>5</xdr:col>
      <xdr:colOff>787978</xdr:colOff>
      <xdr:row>85</xdr:row>
      <xdr:rowOff>4904443</xdr:rowOff>
    </xdr:to>
    <xdr:pic>
      <xdr:nvPicPr>
        <xdr:cNvPr id="3" name="Slika 2">
          <a:extLst>
            <a:ext uri="{FF2B5EF4-FFF2-40B4-BE49-F238E27FC236}">
              <a16:creationId xmlns:a16="http://schemas.microsoft.com/office/drawing/2014/main" id="{357F565D-1FD1-484B-98B7-B0620EE62782}"/>
            </a:ext>
          </a:extLst>
        </xdr:cNvPr>
        <xdr:cNvPicPr>
          <a:picLocks noChangeAspect="1"/>
        </xdr:cNvPicPr>
      </xdr:nvPicPr>
      <xdr:blipFill>
        <a:blip xmlns:r="http://schemas.openxmlformats.org/officeDocument/2006/relationships" r:embed="rId1"/>
        <a:stretch>
          <a:fillRect/>
        </a:stretch>
      </xdr:blipFill>
      <xdr:spPr>
        <a:xfrm>
          <a:off x="736023" y="44525045"/>
          <a:ext cx="5654387" cy="48698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17319</xdr:colOff>
      <xdr:row>53</xdr:row>
      <xdr:rowOff>25978</xdr:rowOff>
    </xdr:from>
    <xdr:to>
      <xdr:col>6</xdr:col>
      <xdr:colOff>1</xdr:colOff>
      <xdr:row>53</xdr:row>
      <xdr:rowOff>4903242</xdr:rowOff>
    </xdr:to>
    <xdr:pic>
      <xdr:nvPicPr>
        <xdr:cNvPr id="3" name="Slika 2">
          <a:extLst>
            <a:ext uri="{FF2B5EF4-FFF2-40B4-BE49-F238E27FC236}">
              <a16:creationId xmlns:a16="http://schemas.microsoft.com/office/drawing/2014/main" id="{6A8ACC00-4580-4E48-9D37-101A8D31D969}"/>
            </a:ext>
          </a:extLst>
        </xdr:cNvPr>
        <xdr:cNvPicPr>
          <a:picLocks noChangeAspect="1"/>
        </xdr:cNvPicPr>
      </xdr:nvPicPr>
      <xdr:blipFill>
        <a:blip xmlns:r="http://schemas.openxmlformats.org/officeDocument/2006/relationships" r:embed="rId1"/>
        <a:stretch>
          <a:fillRect/>
        </a:stretch>
      </xdr:blipFill>
      <xdr:spPr>
        <a:xfrm>
          <a:off x="805296" y="23613342"/>
          <a:ext cx="5663046" cy="48772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34636</xdr:colOff>
      <xdr:row>111</xdr:row>
      <xdr:rowOff>25978</xdr:rowOff>
    </xdr:from>
    <xdr:to>
      <xdr:col>5</xdr:col>
      <xdr:colOff>779318</xdr:colOff>
      <xdr:row>111</xdr:row>
      <xdr:rowOff>4880869</xdr:rowOff>
    </xdr:to>
    <xdr:pic>
      <xdr:nvPicPr>
        <xdr:cNvPr id="3" name="Slika 2">
          <a:extLst>
            <a:ext uri="{FF2B5EF4-FFF2-40B4-BE49-F238E27FC236}">
              <a16:creationId xmlns:a16="http://schemas.microsoft.com/office/drawing/2014/main" id="{028F224F-E741-4573-ADF9-E26951E54FCA}"/>
            </a:ext>
          </a:extLst>
        </xdr:cNvPr>
        <xdr:cNvPicPr>
          <a:picLocks noChangeAspect="1"/>
        </xdr:cNvPicPr>
      </xdr:nvPicPr>
      <xdr:blipFill>
        <a:blip xmlns:r="http://schemas.openxmlformats.org/officeDocument/2006/relationships" r:embed="rId1"/>
        <a:stretch>
          <a:fillRect/>
        </a:stretch>
      </xdr:blipFill>
      <xdr:spPr>
        <a:xfrm>
          <a:off x="822613" y="55487455"/>
          <a:ext cx="5637069" cy="48548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8660</xdr:colOff>
      <xdr:row>53</xdr:row>
      <xdr:rowOff>17320</xdr:rowOff>
    </xdr:from>
    <xdr:to>
      <xdr:col>5</xdr:col>
      <xdr:colOff>787978</xdr:colOff>
      <xdr:row>53</xdr:row>
      <xdr:rowOff>4879668</xdr:rowOff>
    </xdr:to>
    <xdr:pic>
      <xdr:nvPicPr>
        <xdr:cNvPr id="3" name="Slika 2">
          <a:extLst>
            <a:ext uri="{FF2B5EF4-FFF2-40B4-BE49-F238E27FC236}">
              <a16:creationId xmlns:a16="http://schemas.microsoft.com/office/drawing/2014/main" id="{3D912CAC-CA01-4509-8C49-67D3BEF505A0}"/>
            </a:ext>
          </a:extLst>
        </xdr:cNvPr>
        <xdr:cNvPicPr>
          <a:picLocks noChangeAspect="1"/>
        </xdr:cNvPicPr>
      </xdr:nvPicPr>
      <xdr:blipFill>
        <a:blip xmlns:r="http://schemas.openxmlformats.org/officeDocument/2006/relationships" r:embed="rId1"/>
        <a:stretch>
          <a:fillRect/>
        </a:stretch>
      </xdr:blipFill>
      <xdr:spPr>
        <a:xfrm>
          <a:off x="796637" y="23604684"/>
          <a:ext cx="5645727" cy="48623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43296</xdr:colOff>
      <xdr:row>93</xdr:row>
      <xdr:rowOff>25977</xdr:rowOff>
    </xdr:from>
    <xdr:ext cx="5628409" cy="4847433"/>
    <xdr:pic>
      <xdr:nvPicPr>
        <xdr:cNvPr id="2" name="Slika 1">
          <a:extLst>
            <a:ext uri="{FF2B5EF4-FFF2-40B4-BE49-F238E27FC236}">
              <a16:creationId xmlns:a16="http://schemas.microsoft.com/office/drawing/2014/main" id="{32172030-D03C-4D90-BC98-96850E8FC0A7}"/>
            </a:ext>
          </a:extLst>
        </xdr:cNvPr>
        <xdr:cNvPicPr>
          <a:picLocks noChangeAspect="1"/>
        </xdr:cNvPicPr>
      </xdr:nvPicPr>
      <xdr:blipFill>
        <a:blip xmlns:r="http://schemas.openxmlformats.org/officeDocument/2006/relationships" r:embed="rId1"/>
        <a:stretch>
          <a:fillRect/>
        </a:stretch>
      </xdr:blipFill>
      <xdr:spPr>
        <a:xfrm>
          <a:off x="833871" y="37878327"/>
          <a:ext cx="5628409" cy="4847433"/>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2</xdr:col>
      <xdr:colOff>17320</xdr:colOff>
      <xdr:row>53</xdr:row>
      <xdr:rowOff>25977</xdr:rowOff>
    </xdr:from>
    <xdr:to>
      <xdr:col>5</xdr:col>
      <xdr:colOff>787979</xdr:colOff>
      <xdr:row>53</xdr:row>
      <xdr:rowOff>4880868</xdr:rowOff>
    </xdr:to>
    <xdr:pic>
      <xdr:nvPicPr>
        <xdr:cNvPr id="3" name="Slika 2">
          <a:extLst>
            <a:ext uri="{FF2B5EF4-FFF2-40B4-BE49-F238E27FC236}">
              <a16:creationId xmlns:a16="http://schemas.microsoft.com/office/drawing/2014/main" id="{8860C7E8-12E1-473D-83B6-9D92B5B25015}"/>
            </a:ext>
          </a:extLst>
        </xdr:cNvPr>
        <xdr:cNvPicPr>
          <a:picLocks noChangeAspect="1"/>
        </xdr:cNvPicPr>
      </xdr:nvPicPr>
      <xdr:blipFill>
        <a:blip xmlns:r="http://schemas.openxmlformats.org/officeDocument/2006/relationships" r:embed="rId1"/>
        <a:stretch>
          <a:fillRect/>
        </a:stretch>
      </xdr:blipFill>
      <xdr:spPr>
        <a:xfrm>
          <a:off x="805297" y="23613341"/>
          <a:ext cx="5637068" cy="48548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43297</xdr:colOff>
      <xdr:row>53</xdr:row>
      <xdr:rowOff>17318</xdr:rowOff>
    </xdr:from>
    <xdr:to>
      <xdr:col>6</xdr:col>
      <xdr:colOff>1</xdr:colOff>
      <xdr:row>53</xdr:row>
      <xdr:rowOff>4872209</xdr:rowOff>
    </xdr:to>
    <xdr:pic>
      <xdr:nvPicPr>
        <xdr:cNvPr id="3" name="Slika 2">
          <a:extLst>
            <a:ext uri="{FF2B5EF4-FFF2-40B4-BE49-F238E27FC236}">
              <a16:creationId xmlns:a16="http://schemas.microsoft.com/office/drawing/2014/main" id="{ACAE720D-8418-4F9D-959C-6BF905217D30}"/>
            </a:ext>
          </a:extLst>
        </xdr:cNvPr>
        <xdr:cNvPicPr>
          <a:picLocks noChangeAspect="1"/>
        </xdr:cNvPicPr>
      </xdr:nvPicPr>
      <xdr:blipFill>
        <a:blip xmlns:r="http://schemas.openxmlformats.org/officeDocument/2006/relationships" r:embed="rId1"/>
        <a:stretch>
          <a:fillRect/>
        </a:stretch>
      </xdr:blipFill>
      <xdr:spPr>
        <a:xfrm>
          <a:off x="831274" y="23604682"/>
          <a:ext cx="5637068" cy="48548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8661</xdr:colOff>
      <xdr:row>53</xdr:row>
      <xdr:rowOff>25978</xdr:rowOff>
    </xdr:from>
    <xdr:to>
      <xdr:col>5</xdr:col>
      <xdr:colOff>796638</xdr:colOff>
      <xdr:row>53</xdr:row>
      <xdr:rowOff>4895784</xdr:rowOff>
    </xdr:to>
    <xdr:pic>
      <xdr:nvPicPr>
        <xdr:cNvPr id="3" name="Slika 2">
          <a:extLst>
            <a:ext uri="{FF2B5EF4-FFF2-40B4-BE49-F238E27FC236}">
              <a16:creationId xmlns:a16="http://schemas.microsoft.com/office/drawing/2014/main" id="{F23EC77F-14F7-46A2-AEE3-06BAE0E28A8E}"/>
            </a:ext>
          </a:extLst>
        </xdr:cNvPr>
        <xdr:cNvPicPr>
          <a:picLocks noChangeAspect="1"/>
        </xdr:cNvPicPr>
      </xdr:nvPicPr>
      <xdr:blipFill>
        <a:blip xmlns:r="http://schemas.openxmlformats.org/officeDocument/2006/relationships" r:embed="rId1"/>
        <a:stretch>
          <a:fillRect/>
        </a:stretch>
      </xdr:blipFill>
      <xdr:spPr>
        <a:xfrm>
          <a:off x="796638" y="23613342"/>
          <a:ext cx="5654386" cy="48698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466725</xdr:colOff>
      <xdr:row>207</xdr:row>
      <xdr:rowOff>57149</xdr:rowOff>
    </xdr:from>
    <xdr:to>
      <xdr:col>5</xdr:col>
      <xdr:colOff>870215</xdr:colOff>
      <xdr:row>207</xdr:row>
      <xdr:rowOff>4867274</xdr:rowOff>
    </xdr:to>
    <xdr:pic>
      <xdr:nvPicPr>
        <xdr:cNvPr id="7" name="Slika 6">
          <a:extLst>
            <a:ext uri="{FF2B5EF4-FFF2-40B4-BE49-F238E27FC236}">
              <a16:creationId xmlns:a16="http://schemas.microsoft.com/office/drawing/2014/main" id="{0F24BC7F-0B1C-4961-B3F5-B8F67E4E033C}"/>
            </a:ext>
          </a:extLst>
        </xdr:cNvPr>
        <xdr:cNvPicPr>
          <a:picLocks noChangeAspect="1"/>
        </xdr:cNvPicPr>
      </xdr:nvPicPr>
      <xdr:blipFill>
        <a:blip xmlns:r="http://schemas.openxmlformats.org/officeDocument/2006/relationships" r:embed="rId1"/>
        <a:stretch>
          <a:fillRect/>
        </a:stretch>
      </xdr:blipFill>
      <xdr:spPr>
        <a:xfrm>
          <a:off x="704850" y="83029424"/>
          <a:ext cx="5585090" cy="4810125"/>
        </a:xfrm>
        <a:prstGeom prst="rect">
          <a:avLst/>
        </a:prstGeom>
      </xdr:spPr>
    </xdr:pic>
    <xdr:clientData/>
  </xdr:twoCellAnchor>
  <xdr:twoCellAnchor editAs="oneCell">
    <xdr:from>
      <xdr:col>2</xdr:col>
      <xdr:colOff>47625</xdr:colOff>
      <xdr:row>99</xdr:row>
      <xdr:rowOff>38099</xdr:rowOff>
    </xdr:from>
    <xdr:to>
      <xdr:col>5</xdr:col>
      <xdr:colOff>828675</xdr:colOff>
      <xdr:row>105</xdr:row>
      <xdr:rowOff>998310</xdr:rowOff>
    </xdr:to>
    <xdr:pic>
      <xdr:nvPicPr>
        <xdr:cNvPr id="2" name="Slika 1">
          <a:extLst>
            <a:ext uri="{FF2B5EF4-FFF2-40B4-BE49-F238E27FC236}">
              <a16:creationId xmlns:a16="http://schemas.microsoft.com/office/drawing/2014/main" id="{F880E467-3634-444B-9263-6B45CFFC7253}"/>
            </a:ext>
          </a:extLst>
        </xdr:cNvPr>
        <xdr:cNvPicPr>
          <a:picLocks noChangeAspect="1"/>
        </xdr:cNvPicPr>
      </xdr:nvPicPr>
      <xdr:blipFill>
        <a:blip xmlns:r="http://schemas.openxmlformats.org/officeDocument/2006/relationships" r:embed="rId2"/>
        <a:stretch>
          <a:fillRect/>
        </a:stretch>
      </xdr:blipFill>
      <xdr:spPr>
        <a:xfrm>
          <a:off x="781050" y="33594674"/>
          <a:ext cx="5467350" cy="82754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19052</xdr:colOff>
      <xdr:row>139</xdr:row>
      <xdr:rowOff>19050</xdr:rowOff>
    </xdr:from>
    <xdr:to>
      <xdr:col>5</xdr:col>
      <xdr:colOff>590551</xdr:colOff>
      <xdr:row>145</xdr:row>
      <xdr:rowOff>650804</xdr:rowOff>
    </xdr:to>
    <xdr:pic>
      <xdr:nvPicPr>
        <xdr:cNvPr id="4" name="Slika 3">
          <a:extLst>
            <a:ext uri="{FF2B5EF4-FFF2-40B4-BE49-F238E27FC236}">
              <a16:creationId xmlns:a16="http://schemas.microsoft.com/office/drawing/2014/main" id="{2BBB55AC-2CC6-4C11-9BE7-0A0CEEC41CC2}"/>
            </a:ext>
          </a:extLst>
        </xdr:cNvPr>
        <xdr:cNvPicPr>
          <a:picLocks noChangeAspect="1"/>
        </xdr:cNvPicPr>
      </xdr:nvPicPr>
      <xdr:blipFill>
        <a:blip xmlns:r="http://schemas.openxmlformats.org/officeDocument/2006/relationships" r:embed="rId1"/>
        <a:stretch>
          <a:fillRect/>
        </a:stretch>
      </xdr:blipFill>
      <xdr:spPr>
        <a:xfrm>
          <a:off x="314327" y="44043600"/>
          <a:ext cx="5667374" cy="8289854"/>
        </a:xfrm>
        <a:prstGeom prst="rect">
          <a:avLst/>
        </a:prstGeom>
      </xdr:spPr>
    </xdr:pic>
    <xdr:clientData/>
  </xdr:twoCellAnchor>
  <xdr:twoCellAnchor editAs="oneCell">
    <xdr:from>
      <xdr:col>2</xdr:col>
      <xdr:colOff>28575</xdr:colOff>
      <xdr:row>291</xdr:row>
      <xdr:rowOff>28575</xdr:rowOff>
    </xdr:from>
    <xdr:to>
      <xdr:col>6</xdr:col>
      <xdr:colOff>19050</xdr:colOff>
      <xdr:row>291</xdr:row>
      <xdr:rowOff>4876754</xdr:rowOff>
    </xdr:to>
    <xdr:pic>
      <xdr:nvPicPr>
        <xdr:cNvPr id="6" name="Slika 5">
          <a:extLst>
            <a:ext uri="{FF2B5EF4-FFF2-40B4-BE49-F238E27FC236}">
              <a16:creationId xmlns:a16="http://schemas.microsoft.com/office/drawing/2014/main" id="{8C19F57F-B73E-49CB-8F8A-21842C58390D}"/>
            </a:ext>
          </a:extLst>
        </xdr:cNvPr>
        <xdr:cNvPicPr>
          <a:picLocks noChangeAspect="1"/>
        </xdr:cNvPicPr>
      </xdr:nvPicPr>
      <xdr:blipFill>
        <a:blip xmlns:r="http://schemas.openxmlformats.org/officeDocument/2006/relationships" r:embed="rId2"/>
        <a:stretch>
          <a:fillRect/>
        </a:stretch>
      </xdr:blipFill>
      <xdr:spPr>
        <a:xfrm>
          <a:off x="819150" y="98345625"/>
          <a:ext cx="5629275" cy="484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34638</xdr:colOff>
      <xdr:row>51</xdr:row>
      <xdr:rowOff>25977</xdr:rowOff>
    </xdr:from>
    <xdr:to>
      <xdr:col>5</xdr:col>
      <xdr:colOff>805297</xdr:colOff>
      <xdr:row>51</xdr:row>
      <xdr:rowOff>4880868</xdr:rowOff>
    </xdr:to>
    <xdr:pic>
      <xdr:nvPicPr>
        <xdr:cNvPr id="3" name="Slika 2">
          <a:extLst>
            <a:ext uri="{FF2B5EF4-FFF2-40B4-BE49-F238E27FC236}">
              <a16:creationId xmlns:a16="http://schemas.microsoft.com/office/drawing/2014/main" id="{A0EBB82A-516E-47D8-B739-A28CED7E2756}"/>
            </a:ext>
          </a:extLst>
        </xdr:cNvPr>
        <xdr:cNvPicPr>
          <a:picLocks noChangeAspect="1"/>
        </xdr:cNvPicPr>
      </xdr:nvPicPr>
      <xdr:blipFill>
        <a:blip xmlns:r="http://schemas.openxmlformats.org/officeDocument/2006/relationships" r:embed="rId1"/>
        <a:stretch>
          <a:fillRect/>
        </a:stretch>
      </xdr:blipFill>
      <xdr:spPr>
        <a:xfrm>
          <a:off x="822615" y="21933477"/>
          <a:ext cx="5637068" cy="48548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19051</xdr:colOff>
      <xdr:row>283</xdr:row>
      <xdr:rowOff>28576</xdr:rowOff>
    </xdr:from>
    <xdr:to>
      <xdr:col>5</xdr:col>
      <xdr:colOff>992189</xdr:colOff>
      <xdr:row>283</xdr:row>
      <xdr:rowOff>4886326</xdr:rowOff>
    </xdr:to>
    <xdr:pic>
      <xdr:nvPicPr>
        <xdr:cNvPr id="9" name="Slika 8">
          <a:extLst>
            <a:ext uri="{FF2B5EF4-FFF2-40B4-BE49-F238E27FC236}">
              <a16:creationId xmlns:a16="http://schemas.microsoft.com/office/drawing/2014/main" id="{95317DEE-360D-42D4-B020-CCBA89EF3CFD}"/>
            </a:ext>
          </a:extLst>
        </xdr:cNvPr>
        <xdr:cNvPicPr>
          <a:picLocks noChangeAspect="1"/>
        </xdr:cNvPicPr>
      </xdr:nvPicPr>
      <xdr:blipFill>
        <a:blip xmlns:r="http://schemas.openxmlformats.org/officeDocument/2006/relationships" r:embed="rId1"/>
        <a:stretch>
          <a:fillRect/>
        </a:stretch>
      </xdr:blipFill>
      <xdr:spPr>
        <a:xfrm>
          <a:off x="314326" y="118929151"/>
          <a:ext cx="5640388" cy="4857750"/>
        </a:xfrm>
        <a:prstGeom prst="rect">
          <a:avLst/>
        </a:prstGeom>
      </xdr:spPr>
    </xdr:pic>
    <xdr:clientData/>
  </xdr:twoCellAnchor>
  <xdr:twoCellAnchor editAs="oneCell">
    <xdr:from>
      <xdr:col>1</xdr:col>
      <xdr:colOff>38101</xdr:colOff>
      <xdr:row>129</xdr:row>
      <xdr:rowOff>76201</xdr:rowOff>
    </xdr:from>
    <xdr:to>
      <xdr:col>5</xdr:col>
      <xdr:colOff>1031171</xdr:colOff>
      <xdr:row>135</xdr:row>
      <xdr:rowOff>542925</xdr:rowOff>
    </xdr:to>
    <xdr:pic>
      <xdr:nvPicPr>
        <xdr:cNvPr id="2" name="Slika 1">
          <a:extLst>
            <a:ext uri="{FF2B5EF4-FFF2-40B4-BE49-F238E27FC236}">
              <a16:creationId xmlns:a16="http://schemas.microsoft.com/office/drawing/2014/main" id="{72096CDE-0B7A-4D0E-81C5-F1A9AE539AF3}"/>
            </a:ext>
          </a:extLst>
        </xdr:cNvPr>
        <xdr:cNvPicPr>
          <a:picLocks noChangeAspect="1"/>
        </xdr:cNvPicPr>
      </xdr:nvPicPr>
      <xdr:blipFill>
        <a:blip xmlns:r="http://schemas.openxmlformats.org/officeDocument/2006/relationships" r:embed="rId2"/>
        <a:stretch>
          <a:fillRect/>
        </a:stretch>
      </xdr:blipFill>
      <xdr:spPr>
        <a:xfrm>
          <a:off x="333376" y="48501301"/>
          <a:ext cx="5660320" cy="83153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372342</xdr:colOff>
      <xdr:row>51</xdr:row>
      <xdr:rowOff>25979</xdr:rowOff>
    </xdr:from>
    <xdr:to>
      <xdr:col>5</xdr:col>
      <xdr:colOff>666751</xdr:colOff>
      <xdr:row>51</xdr:row>
      <xdr:rowOff>4895785</xdr:rowOff>
    </xdr:to>
    <xdr:pic>
      <xdr:nvPicPr>
        <xdr:cNvPr id="3" name="Slika 2">
          <a:extLst>
            <a:ext uri="{FF2B5EF4-FFF2-40B4-BE49-F238E27FC236}">
              <a16:creationId xmlns:a16="http://schemas.microsoft.com/office/drawing/2014/main" id="{B2296CFD-9F4B-4F02-9472-136D7376C630}"/>
            </a:ext>
          </a:extLst>
        </xdr:cNvPr>
        <xdr:cNvPicPr>
          <a:picLocks noChangeAspect="1"/>
        </xdr:cNvPicPr>
      </xdr:nvPicPr>
      <xdr:blipFill>
        <a:blip xmlns:r="http://schemas.openxmlformats.org/officeDocument/2006/relationships" r:embed="rId1"/>
        <a:stretch>
          <a:fillRect/>
        </a:stretch>
      </xdr:blipFill>
      <xdr:spPr>
        <a:xfrm>
          <a:off x="666751" y="21933479"/>
          <a:ext cx="5654386" cy="48698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329044</xdr:colOff>
      <xdr:row>53</xdr:row>
      <xdr:rowOff>34636</xdr:rowOff>
    </xdr:from>
    <xdr:to>
      <xdr:col>5</xdr:col>
      <xdr:colOff>606136</xdr:colOff>
      <xdr:row>53</xdr:row>
      <xdr:rowOff>4889527</xdr:rowOff>
    </xdr:to>
    <xdr:pic>
      <xdr:nvPicPr>
        <xdr:cNvPr id="3" name="Slika 2">
          <a:extLst>
            <a:ext uri="{FF2B5EF4-FFF2-40B4-BE49-F238E27FC236}">
              <a16:creationId xmlns:a16="http://schemas.microsoft.com/office/drawing/2014/main" id="{C6D5AE75-6199-48B9-B33E-E01D0B94D62D}"/>
            </a:ext>
          </a:extLst>
        </xdr:cNvPr>
        <xdr:cNvPicPr>
          <a:picLocks noChangeAspect="1"/>
        </xdr:cNvPicPr>
      </xdr:nvPicPr>
      <xdr:blipFill>
        <a:blip xmlns:r="http://schemas.openxmlformats.org/officeDocument/2006/relationships" r:embed="rId1"/>
        <a:stretch>
          <a:fillRect/>
        </a:stretch>
      </xdr:blipFill>
      <xdr:spPr>
        <a:xfrm>
          <a:off x="623453" y="23622000"/>
          <a:ext cx="5637069" cy="48548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43297</xdr:colOff>
      <xdr:row>53</xdr:row>
      <xdr:rowOff>34636</xdr:rowOff>
    </xdr:from>
    <xdr:to>
      <xdr:col>5</xdr:col>
      <xdr:colOff>779320</xdr:colOff>
      <xdr:row>53</xdr:row>
      <xdr:rowOff>4859697</xdr:rowOff>
    </xdr:to>
    <xdr:pic>
      <xdr:nvPicPr>
        <xdr:cNvPr id="3" name="Slika 2">
          <a:extLst>
            <a:ext uri="{FF2B5EF4-FFF2-40B4-BE49-F238E27FC236}">
              <a16:creationId xmlns:a16="http://schemas.microsoft.com/office/drawing/2014/main" id="{24F5BA21-8254-4693-8ECA-1D2F0E7774E5}"/>
            </a:ext>
          </a:extLst>
        </xdr:cNvPr>
        <xdr:cNvPicPr>
          <a:picLocks noChangeAspect="1"/>
        </xdr:cNvPicPr>
      </xdr:nvPicPr>
      <xdr:blipFill>
        <a:blip xmlns:r="http://schemas.openxmlformats.org/officeDocument/2006/relationships" r:embed="rId1"/>
        <a:stretch>
          <a:fillRect/>
        </a:stretch>
      </xdr:blipFill>
      <xdr:spPr>
        <a:xfrm>
          <a:off x="831274" y="23622000"/>
          <a:ext cx="5602432" cy="48250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1</xdr:colOff>
      <xdr:row>53</xdr:row>
      <xdr:rowOff>8659</xdr:rowOff>
    </xdr:from>
    <xdr:to>
      <xdr:col>5</xdr:col>
      <xdr:colOff>796637</xdr:colOff>
      <xdr:row>53</xdr:row>
      <xdr:rowOff>4885922</xdr:rowOff>
    </xdr:to>
    <xdr:pic>
      <xdr:nvPicPr>
        <xdr:cNvPr id="3" name="Slika 2">
          <a:extLst>
            <a:ext uri="{FF2B5EF4-FFF2-40B4-BE49-F238E27FC236}">
              <a16:creationId xmlns:a16="http://schemas.microsoft.com/office/drawing/2014/main" id="{DF25603F-8175-4A26-9FE9-0225E5DF1256}"/>
            </a:ext>
          </a:extLst>
        </xdr:cNvPr>
        <xdr:cNvPicPr>
          <a:picLocks noChangeAspect="1"/>
        </xdr:cNvPicPr>
      </xdr:nvPicPr>
      <xdr:blipFill>
        <a:blip xmlns:r="http://schemas.openxmlformats.org/officeDocument/2006/relationships" r:embed="rId1"/>
        <a:stretch>
          <a:fillRect/>
        </a:stretch>
      </xdr:blipFill>
      <xdr:spPr>
        <a:xfrm>
          <a:off x="787978" y="23596023"/>
          <a:ext cx="5663045" cy="487726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xdr:col>
      <xdr:colOff>276225</xdr:colOff>
      <xdr:row>19</xdr:row>
      <xdr:rowOff>0</xdr:rowOff>
    </xdr:from>
    <xdr:ext cx="184731" cy="264560"/>
    <xdr:sp macro="" textlink="">
      <xdr:nvSpPr>
        <xdr:cNvPr id="2" name="PoljeZBesedilom 1">
          <a:extLst>
            <a:ext uri="{FF2B5EF4-FFF2-40B4-BE49-F238E27FC236}">
              <a16:creationId xmlns:a16="http://schemas.microsoft.com/office/drawing/2014/main" id="{02143F0A-BA03-427F-B8CF-772339055CD2}"/>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19</xdr:row>
      <xdr:rowOff>0</xdr:rowOff>
    </xdr:from>
    <xdr:ext cx="184731" cy="264560"/>
    <xdr:sp macro="" textlink="">
      <xdr:nvSpPr>
        <xdr:cNvPr id="3" name="PoljeZBesedilom 2">
          <a:extLst>
            <a:ext uri="{FF2B5EF4-FFF2-40B4-BE49-F238E27FC236}">
              <a16:creationId xmlns:a16="http://schemas.microsoft.com/office/drawing/2014/main" id="{8D1DE559-C43C-43B2-A065-CE91CA07DD72}"/>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4" name="PoljeZBesedilom 3">
          <a:extLst>
            <a:ext uri="{FF2B5EF4-FFF2-40B4-BE49-F238E27FC236}">
              <a16:creationId xmlns:a16="http://schemas.microsoft.com/office/drawing/2014/main" id="{AC06C408-051E-4C78-8B3A-3D856ED383CB}"/>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5" name="PoljeZBesedilom 4">
          <a:extLst>
            <a:ext uri="{FF2B5EF4-FFF2-40B4-BE49-F238E27FC236}">
              <a16:creationId xmlns:a16="http://schemas.microsoft.com/office/drawing/2014/main" id="{7B902295-4EFA-4308-84BD-603807058248}"/>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6" name="PoljeZBesedilom 5">
          <a:extLst>
            <a:ext uri="{FF2B5EF4-FFF2-40B4-BE49-F238E27FC236}">
              <a16:creationId xmlns:a16="http://schemas.microsoft.com/office/drawing/2014/main" id="{C21185B3-D324-4289-891C-DE079C6BD532}"/>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7" name="PoljeZBesedilom 6">
          <a:extLst>
            <a:ext uri="{FF2B5EF4-FFF2-40B4-BE49-F238E27FC236}">
              <a16:creationId xmlns:a16="http://schemas.microsoft.com/office/drawing/2014/main" id="{26E8355E-9B63-4ADC-9A7D-645324446EA4}"/>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8" name="PoljeZBesedilom 7">
          <a:extLst>
            <a:ext uri="{FF2B5EF4-FFF2-40B4-BE49-F238E27FC236}">
              <a16:creationId xmlns:a16="http://schemas.microsoft.com/office/drawing/2014/main" id="{E8F7361A-831F-49B5-93EA-FD0C463B53D2}"/>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9" name="PoljeZBesedilom 8">
          <a:extLst>
            <a:ext uri="{FF2B5EF4-FFF2-40B4-BE49-F238E27FC236}">
              <a16:creationId xmlns:a16="http://schemas.microsoft.com/office/drawing/2014/main" id="{8C873EEA-4E18-4D73-B07D-7B76FB34C559}"/>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10" name="PoljeZBesedilom 9">
          <a:extLst>
            <a:ext uri="{FF2B5EF4-FFF2-40B4-BE49-F238E27FC236}">
              <a16:creationId xmlns:a16="http://schemas.microsoft.com/office/drawing/2014/main" id="{6DE87FC8-2859-4BF0-B9E2-4E2FCF5C5AFE}"/>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11" name="PoljeZBesedilom 10">
          <a:extLst>
            <a:ext uri="{FF2B5EF4-FFF2-40B4-BE49-F238E27FC236}">
              <a16:creationId xmlns:a16="http://schemas.microsoft.com/office/drawing/2014/main" id="{418D2A70-B6EF-44B1-9597-2C1FF63654D6}"/>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216</xdr:row>
      <xdr:rowOff>0</xdr:rowOff>
    </xdr:from>
    <xdr:ext cx="184731" cy="264560"/>
    <xdr:sp macro="" textlink="">
      <xdr:nvSpPr>
        <xdr:cNvPr id="12" name="PoljeZBesedilom 11">
          <a:extLst>
            <a:ext uri="{FF2B5EF4-FFF2-40B4-BE49-F238E27FC236}">
              <a16:creationId xmlns:a16="http://schemas.microsoft.com/office/drawing/2014/main" id="{22A3FE81-64E2-41BA-B44E-428AFFB77F76}"/>
            </a:ext>
          </a:extLst>
        </xdr:cNvPr>
        <xdr:cNvSpPr txBox="1"/>
      </xdr:nvSpPr>
      <xdr:spPr>
        <a:xfrm>
          <a:off x="3886200"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216</xdr:row>
      <xdr:rowOff>0</xdr:rowOff>
    </xdr:from>
    <xdr:ext cx="184731" cy="264560"/>
    <xdr:sp macro="" textlink="">
      <xdr:nvSpPr>
        <xdr:cNvPr id="13" name="PoljeZBesedilom 12">
          <a:extLst>
            <a:ext uri="{FF2B5EF4-FFF2-40B4-BE49-F238E27FC236}">
              <a16:creationId xmlns:a16="http://schemas.microsoft.com/office/drawing/2014/main" id="{44B5275E-8571-4975-939D-A311C3584B8E}"/>
            </a:ext>
          </a:extLst>
        </xdr:cNvPr>
        <xdr:cNvSpPr txBox="1"/>
      </xdr:nvSpPr>
      <xdr:spPr>
        <a:xfrm>
          <a:off x="3886200"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twoCellAnchor editAs="oneCell">
    <xdr:from>
      <xdr:col>1</xdr:col>
      <xdr:colOff>85725</xdr:colOff>
      <xdr:row>386</xdr:row>
      <xdr:rowOff>28575</xdr:rowOff>
    </xdr:from>
    <xdr:to>
      <xdr:col>6</xdr:col>
      <xdr:colOff>238125</xdr:colOff>
      <xdr:row>386</xdr:row>
      <xdr:rowOff>4876754</xdr:rowOff>
    </xdr:to>
    <xdr:pic>
      <xdr:nvPicPr>
        <xdr:cNvPr id="15" name="Slika 14">
          <a:extLst>
            <a:ext uri="{FF2B5EF4-FFF2-40B4-BE49-F238E27FC236}">
              <a16:creationId xmlns:a16="http://schemas.microsoft.com/office/drawing/2014/main" id="{EF99809D-95DD-4659-AFB3-7953235CF770}"/>
            </a:ext>
          </a:extLst>
        </xdr:cNvPr>
        <xdr:cNvPicPr>
          <a:picLocks noChangeAspect="1"/>
        </xdr:cNvPicPr>
      </xdr:nvPicPr>
      <xdr:blipFill>
        <a:blip xmlns:r="http://schemas.openxmlformats.org/officeDocument/2006/relationships" r:embed="rId1"/>
        <a:stretch>
          <a:fillRect/>
        </a:stretch>
      </xdr:blipFill>
      <xdr:spPr>
        <a:xfrm>
          <a:off x="161925" y="147142200"/>
          <a:ext cx="5629275" cy="4848179"/>
        </a:xfrm>
        <a:prstGeom prst="rect">
          <a:avLst/>
        </a:prstGeom>
      </xdr:spPr>
    </xdr:pic>
    <xdr:clientData/>
  </xdr:twoCellAnchor>
  <xdr:twoCellAnchor editAs="oneCell">
    <xdr:from>
      <xdr:col>1</xdr:col>
      <xdr:colOff>133350</xdr:colOff>
      <xdr:row>144</xdr:row>
      <xdr:rowOff>57150</xdr:rowOff>
    </xdr:from>
    <xdr:to>
      <xdr:col>6</xdr:col>
      <xdr:colOff>38100</xdr:colOff>
      <xdr:row>150</xdr:row>
      <xdr:rowOff>473188</xdr:rowOff>
    </xdr:to>
    <xdr:pic>
      <xdr:nvPicPr>
        <xdr:cNvPr id="14" name="Slika 13">
          <a:extLst>
            <a:ext uri="{FF2B5EF4-FFF2-40B4-BE49-F238E27FC236}">
              <a16:creationId xmlns:a16="http://schemas.microsoft.com/office/drawing/2014/main" id="{C9C14062-14D6-4070-AE78-38C511A47C54}"/>
            </a:ext>
          </a:extLst>
        </xdr:cNvPr>
        <xdr:cNvPicPr>
          <a:picLocks noChangeAspect="1"/>
        </xdr:cNvPicPr>
      </xdr:nvPicPr>
      <xdr:blipFill>
        <a:blip xmlns:r="http://schemas.openxmlformats.org/officeDocument/2006/relationships" r:embed="rId2"/>
        <a:stretch>
          <a:fillRect/>
        </a:stretch>
      </xdr:blipFill>
      <xdr:spPr>
        <a:xfrm>
          <a:off x="209550" y="52968525"/>
          <a:ext cx="5381625" cy="82646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276225</xdr:colOff>
      <xdr:row>19</xdr:row>
      <xdr:rowOff>0</xdr:rowOff>
    </xdr:from>
    <xdr:ext cx="184731" cy="264560"/>
    <xdr:sp macro="" textlink="">
      <xdr:nvSpPr>
        <xdr:cNvPr id="2" name="PoljeZBesedilom 1">
          <a:extLst>
            <a:ext uri="{FF2B5EF4-FFF2-40B4-BE49-F238E27FC236}">
              <a16:creationId xmlns:a16="http://schemas.microsoft.com/office/drawing/2014/main" id="{CDEFEE43-5154-4C29-9F32-3FE15D1AF12C}"/>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19</xdr:row>
      <xdr:rowOff>0</xdr:rowOff>
    </xdr:from>
    <xdr:ext cx="184731" cy="264560"/>
    <xdr:sp macro="" textlink="">
      <xdr:nvSpPr>
        <xdr:cNvPr id="3" name="PoljeZBesedilom 2">
          <a:extLst>
            <a:ext uri="{FF2B5EF4-FFF2-40B4-BE49-F238E27FC236}">
              <a16:creationId xmlns:a16="http://schemas.microsoft.com/office/drawing/2014/main" id="{22487CF1-54C6-4842-9CEE-C1D4326B95CC}"/>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4" name="PoljeZBesedilom 3">
          <a:extLst>
            <a:ext uri="{FF2B5EF4-FFF2-40B4-BE49-F238E27FC236}">
              <a16:creationId xmlns:a16="http://schemas.microsoft.com/office/drawing/2014/main" id="{A1022CA7-F53E-4C14-9BF0-EA2CD6579629}"/>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5" name="PoljeZBesedilom 4">
          <a:extLst>
            <a:ext uri="{FF2B5EF4-FFF2-40B4-BE49-F238E27FC236}">
              <a16:creationId xmlns:a16="http://schemas.microsoft.com/office/drawing/2014/main" id="{E5C14752-B775-4BC8-B0A5-40E123DAE2C5}"/>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6" name="PoljeZBesedilom 5">
          <a:extLst>
            <a:ext uri="{FF2B5EF4-FFF2-40B4-BE49-F238E27FC236}">
              <a16:creationId xmlns:a16="http://schemas.microsoft.com/office/drawing/2014/main" id="{810DF078-3AE7-4F1D-8C5C-8C6F3DF86192}"/>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7" name="PoljeZBesedilom 6">
          <a:extLst>
            <a:ext uri="{FF2B5EF4-FFF2-40B4-BE49-F238E27FC236}">
              <a16:creationId xmlns:a16="http://schemas.microsoft.com/office/drawing/2014/main" id="{77F5250B-DBDF-4474-A071-B606BAD793A2}"/>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8" name="PoljeZBesedilom 7">
          <a:extLst>
            <a:ext uri="{FF2B5EF4-FFF2-40B4-BE49-F238E27FC236}">
              <a16:creationId xmlns:a16="http://schemas.microsoft.com/office/drawing/2014/main" id="{56B0037B-22BB-468A-B134-011EEB377E11}"/>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9" name="PoljeZBesedilom 8">
          <a:extLst>
            <a:ext uri="{FF2B5EF4-FFF2-40B4-BE49-F238E27FC236}">
              <a16:creationId xmlns:a16="http://schemas.microsoft.com/office/drawing/2014/main" id="{C0264306-19B7-4956-888F-F65137C5394A}"/>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10" name="PoljeZBesedilom 9">
          <a:extLst>
            <a:ext uri="{FF2B5EF4-FFF2-40B4-BE49-F238E27FC236}">
              <a16:creationId xmlns:a16="http://schemas.microsoft.com/office/drawing/2014/main" id="{F066D6F7-797D-4F95-A543-79F9FA1989BE}"/>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11" name="PoljeZBesedilom 10">
          <a:extLst>
            <a:ext uri="{FF2B5EF4-FFF2-40B4-BE49-F238E27FC236}">
              <a16:creationId xmlns:a16="http://schemas.microsoft.com/office/drawing/2014/main" id="{D9866443-152C-4FEA-9C33-F68FF1A703D8}"/>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170</xdr:row>
      <xdr:rowOff>0</xdr:rowOff>
    </xdr:from>
    <xdr:ext cx="184731" cy="264560"/>
    <xdr:sp macro="" textlink="">
      <xdr:nvSpPr>
        <xdr:cNvPr id="12" name="PoljeZBesedilom 11">
          <a:extLst>
            <a:ext uri="{FF2B5EF4-FFF2-40B4-BE49-F238E27FC236}">
              <a16:creationId xmlns:a16="http://schemas.microsoft.com/office/drawing/2014/main" id="{896568B9-8360-40B9-9460-0C2CAC76A3D8}"/>
            </a:ext>
          </a:extLst>
        </xdr:cNvPr>
        <xdr:cNvSpPr txBox="1"/>
      </xdr:nvSpPr>
      <xdr:spPr>
        <a:xfrm>
          <a:off x="3886200" y="675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170</xdr:row>
      <xdr:rowOff>0</xdr:rowOff>
    </xdr:from>
    <xdr:ext cx="184731" cy="264560"/>
    <xdr:sp macro="" textlink="">
      <xdr:nvSpPr>
        <xdr:cNvPr id="13" name="PoljeZBesedilom 12">
          <a:extLst>
            <a:ext uri="{FF2B5EF4-FFF2-40B4-BE49-F238E27FC236}">
              <a16:creationId xmlns:a16="http://schemas.microsoft.com/office/drawing/2014/main" id="{C2BAFE71-BF52-4F45-B333-231E85D268C3}"/>
            </a:ext>
          </a:extLst>
        </xdr:cNvPr>
        <xdr:cNvSpPr txBox="1"/>
      </xdr:nvSpPr>
      <xdr:spPr>
        <a:xfrm>
          <a:off x="3886200" y="675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4" name="PoljeZBesedilom 13">
          <a:extLst>
            <a:ext uri="{FF2B5EF4-FFF2-40B4-BE49-F238E27FC236}">
              <a16:creationId xmlns:a16="http://schemas.microsoft.com/office/drawing/2014/main" id="{523CEC4F-ADA6-41EF-9149-9E3A1F5CB3D7}"/>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5" name="PoljeZBesedilom 14">
          <a:extLst>
            <a:ext uri="{FF2B5EF4-FFF2-40B4-BE49-F238E27FC236}">
              <a16:creationId xmlns:a16="http://schemas.microsoft.com/office/drawing/2014/main" id="{1E3F690F-4AA1-40BE-BCB3-C20391405BF1}"/>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6" name="PoljeZBesedilom 15">
          <a:extLst>
            <a:ext uri="{FF2B5EF4-FFF2-40B4-BE49-F238E27FC236}">
              <a16:creationId xmlns:a16="http://schemas.microsoft.com/office/drawing/2014/main" id="{D6BC83A7-0BF8-4FDA-A8FB-96F0919B98A5}"/>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7" name="PoljeZBesedilom 16">
          <a:extLst>
            <a:ext uri="{FF2B5EF4-FFF2-40B4-BE49-F238E27FC236}">
              <a16:creationId xmlns:a16="http://schemas.microsoft.com/office/drawing/2014/main" id="{7EBC0697-E39A-4186-A19E-EF4AB5D21C3C}"/>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twoCellAnchor editAs="oneCell">
    <xdr:from>
      <xdr:col>1</xdr:col>
      <xdr:colOff>28576</xdr:colOff>
      <xdr:row>336</xdr:row>
      <xdr:rowOff>76201</xdr:rowOff>
    </xdr:from>
    <xdr:to>
      <xdr:col>6</xdr:col>
      <xdr:colOff>90701</xdr:colOff>
      <xdr:row>336</xdr:row>
      <xdr:rowOff>4895851</xdr:rowOff>
    </xdr:to>
    <xdr:pic>
      <xdr:nvPicPr>
        <xdr:cNvPr id="19" name="Slika 18">
          <a:extLst>
            <a:ext uri="{FF2B5EF4-FFF2-40B4-BE49-F238E27FC236}">
              <a16:creationId xmlns:a16="http://schemas.microsoft.com/office/drawing/2014/main" id="{7EF86F7F-CCA6-47D2-B798-EED89AF89885}"/>
            </a:ext>
          </a:extLst>
        </xdr:cNvPr>
        <xdr:cNvPicPr>
          <a:picLocks noChangeAspect="1"/>
        </xdr:cNvPicPr>
      </xdr:nvPicPr>
      <xdr:blipFill>
        <a:blip xmlns:r="http://schemas.openxmlformats.org/officeDocument/2006/relationships" r:embed="rId1"/>
        <a:stretch>
          <a:fillRect/>
        </a:stretch>
      </xdr:blipFill>
      <xdr:spPr>
        <a:xfrm>
          <a:off x="123826" y="127425451"/>
          <a:ext cx="5596150" cy="4819650"/>
        </a:xfrm>
        <a:prstGeom prst="rect">
          <a:avLst/>
        </a:prstGeom>
      </xdr:spPr>
    </xdr:pic>
    <xdr:clientData/>
  </xdr:twoCellAnchor>
  <xdr:twoCellAnchor editAs="oneCell">
    <xdr:from>
      <xdr:col>1</xdr:col>
      <xdr:colOff>38100</xdr:colOff>
      <xdr:row>138</xdr:row>
      <xdr:rowOff>28577</xdr:rowOff>
    </xdr:from>
    <xdr:to>
      <xdr:col>6</xdr:col>
      <xdr:colOff>28575</xdr:colOff>
      <xdr:row>144</xdr:row>
      <xdr:rowOff>109155</xdr:rowOff>
    </xdr:to>
    <xdr:pic>
      <xdr:nvPicPr>
        <xdr:cNvPr id="21" name="Slika 20">
          <a:extLst>
            <a:ext uri="{FF2B5EF4-FFF2-40B4-BE49-F238E27FC236}">
              <a16:creationId xmlns:a16="http://schemas.microsoft.com/office/drawing/2014/main" id="{03A2A7AE-9AFC-44E0-B47C-6B4FD82DE194}"/>
            </a:ext>
          </a:extLst>
        </xdr:cNvPr>
        <xdr:cNvPicPr>
          <a:picLocks noChangeAspect="1"/>
        </xdr:cNvPicPr>
      </xdr:nvPicPr>
      <xdr:blipFill>
        <a:blip xmlns:r="http://schemas.openxmlformats.org/officeDocument/2006/relationships" r:embed="rId2"/>
        <a:stretch>
          <a:fillRect/>
        </a:stretch>
      </xdr:blipFill>
      <xdr:spPr>
        <a:xfrm>
          <a:off x="133350" y="56521352"/>
          <a:ext cx="5524500" cy="79291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476251</xdr:colOff>
      <xdr:row>71</xdr:row>
      <xdr:rowOff>69275</xdr:rowOff>
    </xdr:from>
    <xdr:to>
      <xdr:col>5</xdr:col>
      <xdr:colOff>736024</xdr:colOff>
      <xdr:row>71</xdr:row>
      <xdr:rowOff>4909251</xdr:rowOff>
    </xdr:to>
    <xdr:pic>
      <xdr:nvPicPr>
        <xdr:cNvPr id="3" name="Slika 2">
          <a:extLst>
            <a:ext uri="{FF2B5EF4-FFF2-40B4-BE49-F238E27FC236}">
              <a16:creationId xmlns:a16="http://schemas.microsoft.com/office/drawing/2014/main" id="{1EF238C7-72DE-4D4A-87D6-65EBD459C8C1}"/>
            </a:ext>
          </a:extLst>
        </xdr:cNvPr>
        <xdr:cNvPicPr>
          <a:picLocks noChangeAspect="1"/>
        </xdr:cNvPicPr>
      </xdr:nvPicPr>
      <xdr:blipFill>
        <a:blip xmlns:r="http://schemas.openxmlformats.org/officeDocument/2006/relationships" r:embed="rId1"/>
        <a:stretch>
          <a:fillRect/>
        </a:stretch>
      </xdr:blipFill>
      <xdr:spPr>
        <a:xfrm>
          <a:off x="770660" y="25795434"/>
          <a:ext cx="5619750" cy="483997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450273</xdr:colOff>
      <xdr:row>71</xdr:row>
      <xdr:rowOff>25977</xdr:rowOff>
    </xdr:from>
    <xdr:to>
      <xdr:col>5</xdr:col>
      <xdr:colOff>753341</xdr:colOff>
      <xdr:row>71</xdr:row>
      <xdr:rowOff>4903240</xdr:rowOff>
    </xdr:to>
    <xdr:pic>
      <xdr:nvPicPr>
        <xdr:cNvPr id="3" name="Slika 2">
          <a:extLst>
            <a:ext uri="{FF2B5EF4-FFF2-40B4-BE49-F238E27FC236}">
              <a16:creationId xmlns:a16="http://schemas.microsoft.com/office/drawing/2014/main" id="{81CBC3D4-DF14-419B-90FE-B549C19B9FBD}"/>
            </a:ext>
          </a:extLst>
        </xdr:cNvPr>
        <xdr:cNvPicPr>
          <a:picLocks noChangeAspect="1"/>
        </xdr:cNvPicPr>
      </xdr:nvPicPr>
      <xdr:blipFill>
        <a:blip xmlns:r="http://schemas.openxmlformats.org/officeDocument/2006/relationships" r:embed="rId1"/>
        <a:stretch>
          <a:fillRect/>
        </a:stretch>
      </xdr:blipFill>
      <xdr:spPr>
        <a:xfrm>
          <a:off x="744682" y="26003250"/>
          <a:ext cx="5663045" cy="48772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25977</xdr:colOff>
      <xdr:row>158</xdr:row>
      <xdr:rowOff>17319</xdr:rowOff>
    </xdr:from>
    <xdr:to>
      <xdr:col>6</xdr:col>
      <xdr:colOff>215323</xdr:colOff>
      <xdr:row>158</xdr:row>
      <xdr:rowOff>4901047</xdr:rowOff>
    </xdr:to>
    <xdr:pic>
      <xdr:nvPicPr>
        <xdr:cNvPr id="3" name="Slika 2">
          <a:extLst>
            <a:ext uri="{FF2B5EF4-FFF2-40B4-BE49-F238E27FC236}">
              <a16:creationId xmlns:a16="http://schemas.microsoft.com/office/drawing/2014/main" id="{ED35F19F-8173-45F4-AF8D-3C6E8B8BEE62}"/>
            </a:ext>
          </a:extLst>
        </xdr:cNvPr>
        <xdr:cNvPicPr>
          <a:picLocks noChangeAspect="1"/>
        </xdr:cNvPicPr>
      </xdr:nvPicPr>
      <xdr:blipFill>
        <a:blip xmlns:r="http://schemas.openxmlformats.org/officeDocument/2006/relationships" r:embed="rId1"/>
        <a:stretch>
          <a:fillRect/>
        </a:stretch>
      </xdr:blipFill>
      <xdr:spPr>
        <a:xfrm>
          <a:off x="320386" y="64129228"/>
          <a:ext cx="5670551" cy="48837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51</xdr:row>
      <xdr:rowOff>1</xdr:rowOff>
    </xdr:from>
    <xdr:to>
      <xdr:col>5</xdr:col>
      <xdr:colOff>805296</xdr:colOff>
      <xdr:row>51</xdr:row>
      <xdr:rowOff>4884723</xdr:rowOff>
    </xdr:to>
    <xdr:pic>
      <xdr:nvPicPr>
        <xdr:cNvPr id="3" name="Slika 2">
          <a:extLst>
            <a:ext uri="{FF2B5EF4-FFF2-40B4-BE49-F238E27FC236}">
              <a16:creationId xmlns:a16="http://schemas.microsoft.com/office/drawing/2014/main" id="{1091CB67-3A2D-4837-AAA6-4E6831BBDC5E}"/>
            </a:ext>
          </a:extLst>
        </xdr:cNvPr>
        <xdr:cNvPicPr>
          <a:picLocks noChangeAspect="1"/>
        </xdr:cNvPicPr>
      </xdr:nvPicPr>
      <xdr:blipFill>
        <a:blip xmlns:r="http://schemas.openxmlformats.org/officeDocument/2006/relationships" r:embed="rId1"/>
        <a:stretch>
          <a:fillRect/>
        </a:stretch>
      </xdr:blipFill>
      <xdr:spPr>
        <a:xfrm>
          <a:off x="787977" y="21907501"/>
          <a:ext cx="5671705" cy="488472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77933</xdr:colOff>
      <xdr:row>267</xdr:row>
      <xdr:rowOff>51954</xdr:rowOff>
    </xdr:from>
    <xdr:to>
      <xdr:col>5</xdr:col>
      <xdr:colOff>798852</xdr:colOff>
      <xdr:row>267</xdr:row>
      <xdr:rowOff>4849091</xdr:rowOff>
    </xdr:to>
    <xdr:pic>
      <xdr:nvPicPr>
        <xdr:cNvPr id="3" name="Slika 2">
          <a:extLst>
            <a:ext uri="{FF2B5EF4-FFF2-40B4-BE49-F238E27FC236}">
              <a16:creationId xmlns:a16="http://schemas.microsoft.com/office/drawing/2014/main" id="{0B4557C8-2EFF-49CE-B897-5A01EFE300E3}"/>
            </a:ext>
          </a:extLst>
        </xdr:cNvPr>
        <xdr:cNvPicPr>
          <a:picLocks noChangeAspect="1"/>
        </xdr:cNvPicPr>
      </xdr:nvPicPr>
      <xdr:blipFill>
        <a:blip xmlns:r="http://schemas.openxmlformats.org/officeDocument/2006/relationships" r:embed="rId1"/>
        <a:stretch>
          <a:fillRect/>
        </a:stretch>
      </xdr:blipFill>
      <xdr:spPr>
        <a:xfrm>
          <a:off x="372342" y="85049590"/>
          <a:ext cx="5570010" cy="4797137"/>
        </a:xfrm>
        <a:prstGeom prst="rect">
          <a:avLst/>
        </a:prstGeom>
      </xdr:spPr>
    </xdr:pic>
    <xdr:clientData/>
  </xdr:twoCellAnchor>
  <xdr:twoCellAnchor editAs="oneCell">
    <xdr:from>
      <xdr:col>1</xdr:col>
      <xdr:colOff>60615</xdr:colOff>
      <xdr:row>133</xdr:row>
      <xdr:rowOff>69273</xdr:rowOff>
    </xdr:from>
    <xdr:to>
      <xdr:col>5</xdr:col>
      <xdr:colOff>788242</xdr:colOff>
      <xdr:row>139</xdr:row>
      <xdr:rowOff>562842</xdr:rowOff>
    </xdr:to>
    <xdr:pic>
      <xdr:nvPicPr>
        <xdr:cNvPr id="5" name="Slika 4">
          <a:extLst>
            <a:ext uri="{FF2B5EF4-FFF2-40B4-BE49-F238E27FC236}">
              <a16:creationId xmlns:a16="http://schemas.microsoft.com/office/drawing/2014/main" id="{C1DFC773-16C4-4D34-A543-56029E2EEFFE}"/>
            </a:ext>
          </a:extLst>
        </xdr:cNvPr>
        <xdr:cNvPicPr>
          <a:picLocks noChangeAspect="1"/>
        </xdr:cNvPicPr>
      </xdr:nvPicPr>
      <xdr:blipFill>
        <a:blip xmlns:r="http://schemas.openxmlformats.org/officeDocument/2006/relationships" r:embed="rId2"/>
        <a:stretch>
          <a:fillRect/>
        </a:stretch>
      </xdr:blipFill>
      <xdr:spPr>
        <a:xfrm>
          <a:off x="355024" y="42628705"/>
          <a:ext cx="5576718" cy="835602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60614</xdr:colOff>
      <xdr:row>90</xdr:row>
      <xdr:rowOff>43297</xdr:rowOff>
    </xdr:from>
    <xdr:to>
      <xdr:col>6</xdr:col>
      <xdr:colOff>199159</xdr:colOff>
      <xdr:row>90</xdr:row>
      <xdr:rowOff>4883273</xdr:rowOff>
    </xdr:to>
    <xdr:pic>
      <xdr:nvPicPr>
        <xdr:cNvPr id="3" name="Slika 2">
          <a:extLst>
            <a:ext uri="{FF2B5EF4-FFF2-40B4-BE49-F238E27FC236}">
              <a16:creationId xmlns:a16="http://schemas.microsoft.com/office/drawing/2014/main" id="{B4053A18-523E-42DF-8700-36BDEC3B09D6}"/>
            </a:ext>
          </a:extLst>
        </xdr:cNvPr>
        <xdr:cNvPicPr>
          <a:picLocks noChangeAspect="1"/>
        </xdr:cNvPicPr>
      </xdr:nvPicPr>
      <xdr:blipFill>
        <a:blip xmlns:r="http://schemas.openxmlformats.org/officeDocument/2006/relationships" r:embed="rId1"/>
        <a:stretch>
          <a:fillRect/>
        </a:stretch>
      </xdr:blipFill>
      <xdr:spPr>
        <a:xfrm>
          <a:off x="355023" y="44706888"/>
          <a:ext cx="5619750" cy="483997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25977</xdr:colOff>
      <xdr:row>84</xdr:row>
      <xdr:rowOff>69272</xdr:rowOff>
    </xdr:from>
    <xdr:to>
      <xdr:col>6</xdr:col>
      <xdr:colOff>138545</xdr:colOff>
      <xdr:row>84</xdr:row>
      <xdr:rowOff>4886875</xdr:rowOff>
    </xdr:to>
    <xdr:pic>
      <xdr:nvPicPr>
        <xdr:cNvPr id="3" name="Slika 2">
          <a:extLst>
            <a:ext uri="{FF2B5EF4-FFF2-40B4-BE49-F238E27FC236}">
              <a16:creationId xmlns:a16="http://schemas.microsoft.com/office/drawing/2014/main" id="{D7017D0E-25D2-47A8-8C5A-B41AC3B8670E}"/>
            </a:ext>
          </a:extLst>
        </xdr:cNvPr>
        <xdr:cNvPicPr>
          <a:picLocks noChangeAspect="1"/>
        </xdr:cNvPicPr>
      </xdr:nvPicPr>
      <xdr:blipFill>
        <a:blip xmlns:r="http://schemas.openxmlformats.org/officeDocument/2006/relationships" r:embed="rId1"/>
        <a:stretch>
          <a:fillRect/>
        </a:stretch>
      </xdr:blipFill>
      <xdr:spPr>
        <a:xfrm>
          <a:off x="320386" y="44602977"/>
          <a:ext cx="5593773" cy="48176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476250</xdr:colOff>
      <xdr:row>51</xdr:row>
      <xdr:rowOff>34638</xdr:rowOff>
    </xdr:from>
    <xdr:to>
      <xdr:col>5</xdr:col>
      <xdr:colOff>787978</xdr:colOff>
      <xdr:row>51</xdr:row>
      <xdr:rowOff>4919360</xdr:rowOff>
    </xdr:to>
    <xdr:pic>
      <xdr:nvPicPr>
        <xdr:cNvPr id="3" name="Slika 2">
          <a:extLst>
            <a:ext uri="{FF2B5EF4-FFF2-40B4-BE49-F238E27FC236}">
              <a16:creationId xmlns:a16="http://schemas.microsoft.com/office/drawing/2014/main" id="{FECC4F01-009C-40B0-B775-B424598FE965}"/>
            </a:ext>
          </a:extLst>
        </xdr:cNvPr>
        <xdr:cNvPicPr>
          <a:picLocks noChangeAspect="1"/>
        </xdr:cNvPicPr>
      </xdr:nvPicPr>
      <xdr:blipFill>
        <a:blip xmlns:r="http://schemas.openxmlformats.org/officeDocument/2006/relationships" r:embed="rId1"/>
        <a:stretch>
          <a:fillRect/>
        </a:stretch>
      </xdr:blipFill>
      <xdr:spPr>
        <a:xfrm>
          <a:off x="770659" y="21942138"/>
          <a:ext cx="5671705" cy="488472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467592</xdr:colOff>
      <xdr:row>51</xdr:row>
      <xdr:rowOff>34637</xdr:rowOff>
    </xdr:from>
    <xdr:to>
      <xdr:col>5</xdr:col>
      <xdr:colOff>744683</xdr:colOff>
      <xdr:row>51</xdr:row>
      <xdr:rowOff>4889528</xdr:rowOff>
    </xdr:to>
    <xdr:pic>
      <xdr:nvPicPr>
        <xdr:cNvPr id="4" name="Slika 3">
          <a:extLst>
            <a:ext uri="{FF2B5EF4-FFF2-40B4-BE49-F238E27FC236}">
              <a16:creationId xmlns:a16="http://schemas.microsoft.com/office/drawing/2014/main" id="{92AAEBE0-52DF-451B-BC97-47AB5854AB62}"/>
            </a:ext>
          </a:extLst>
        </xdr:cNvPr>
        <xdr:cNvPicPr>
          <a:picLocks noChangeAspect="1"/>
        </xdr:cNvPicPr>
      </xdr:nvPicPr>
      <xdr:blipFill>
        <a:blip xmlns:r="http://schemas.openxmlformats.org/officeDocument/2006/relationships" r:embed="rId1"/>
        <a:stretch>
          <a:fillRect/>
        </a:stretch>
      </xdr:blipFill>
      <xdr:spPr>
        <a:xfrm>
          <a:off x="762001" y="21942137"/>
          <a:ext cx="5637068" cy="485489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476251</xdr:colOff>
      <xdr:row>51</xdr:row>
      <xdr:rowOff>43295</xdr:rowOff>
    </xdr:from>
    <xdr:to>
      <xdr:col>5</xdr:col>
      <xdr:colOff>726500</xdr:colOff>
      <xdr:row>51</xdr:row>
      <xdr:rowOff>4875068</xdr:rowOff>
    </xdr:to>
    <xdr:pic>
      <xdr:nvPicPr>
        <xdr:cNvPr id="3" name="Slika 2">
          <a:extLst>
            <a:ext uri="{FF2B5EF4-FFF2-40B4-BE49-F238E27FC236}">
              <a16:creationId xmlns:a16="http://schemas.microsoft.com/office/drawing/2014/main" id="{BD8AF8EB-A0AC-4B2E-8E20-9A4F53B08928}"/>
            </a:ext>
          </a:extLst>
        </xdr:cNvPr>
        <xdr:cNvPicPr>
          <a:picLocks noChangeAspect="1"/>
        </xdr:cNvPicPr>
      </xdr:nvPicPr>
      <xdr:blipFill>
        <a:blip xmlns:r="http://schemas.openxmlformats.org/officeDocument/2006/relationships" r:embed="rId1"/>
        <a:stretch>
          <a:fillRect/>
        </a:stretch>
      </xdr:blipFill>
      <xdr:spPr>
        <a:xfrm>
          <a:off x="770660" y="21950795"/>
          <a:ext cx="5610226" cy="48317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xdr:colOff>
      <xdr:row>160</xdr:row>
      <xdr:rowOff>43295</xdr:rowOff>
    </xdr:from>
    <xdr:to>
      <xdr:col>5</xdr:col>
      <xdr:colOff>758346</xdr:colOff>
      <xdr:row>160</xdr:row>
      <xdr:rowOff>4857750</xdr:rowOff>
    </xdr:to>
    <xdr:pic>
      <xdr:nvPicPr>
        <xdr:cNvPr id="3" name="Slika 2">
          <a:extLst>
            <a:ext uri="{FF2B5EF4-FFF2-40B4-BE49-F238E27FC236}">
              <a16:creationId xmlns:a16="http://schemas.microsoft.com/office/drawing/2014/main" id="{27538C7A-FA93-4C46-8CC0-A95EE9746E5E}"/>
            </a:ext>
          </a:extLst>
        </xdr:cNvPr>
        <xdr:cNvPicPr>
          <a:picLocks noChangeAspect="1"/>
        </xdr:cNvPicPr>
      </xdr:nvPicPr>
      <xdr:blipFill>
        <a:blip xmlns:r="http://schemas.openxmlformats.org/officeDocument/2006/relationships" r:embed="rId1"/>
        <a:stretch>
          <a:fillRect/>
        </a:stretch>
      </xdr:blipFill>
      <xdr:spPr>
        <a:xfrm>
          <a:off x="787978" y="61392954"/>
          <a:ext cx="5590118" cy="48144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450274</xdr:colOff>
      <xdr:row>137</xdr:row>
      <xdr:rowOff>34637</xdr:rowOff>
    </xdr:from>
    <xdr:to>
      <xdr:col>6</xdr:col>
      <xdr:colOff>11980</xdr:colOff>
      <xdr:row>137</xdr:row>
      <xdr:rowOff>4892387</xdr:rowOff>
    </xdr:to>
    <xdr:pic>
      <xdr:nvPicPr>
        <xdr:cNvPr id="3" name="Slika 2">
          <a:extLst>
            <a:ext uri="{FF2B5EF4-FFF2-40B4-BE49-F238E27FC236}">
              <a16:creationId xmlns:a16="http://schemas.microsoft.com/office/drawing/2014/main" id="{FEB01BA2-92C3-4CCA-99DF-C41F855DE3C7}"/>
            </a:ext>
          </a:extLst>
        </xdr:cNvPr>
        <xdr:cNvPicPr>
          <a:picLocks noChangeAspect="1"/>
        </xdr:cNvPicPr>
      </xdr:nvPicPr>
      <xdr:blipFill>
        <a:blip xmlns:r="http://schemas.openxmlformats.org/officeDocument/2006/relationships" r:embed="rId1"/>
        <a:stretch>
          <a:fillRect/>
        </a:stretch>
      </xdr:blipFill>
      <xdr:spPr>
        <a:xfrm>
          <a:off x="744683" y="38654182"/>
          <a:ext cx="5640388" cy="4857750"/>
        </a:xfrm>
        <a:prstGeom prst="rect">
          <a:avLst/>
        </a:prstGeom>
      </xdr:spPr>
    </xdr:pic>
    <xdr:clientData/>
  </xdr:twoCellAnchor>
  <xdr:twoCellAnchor editAs="oneCell">
    <xdr:from>
      <xdr:col>1</xdr:col>
      <xdr:colOff>251113</xdr:colOff>
      <xdr:row>118</xdr:row>
      <xdr:rowOff>43295</xdr:rowOff>
    </xdr:from>
    <xdr:to>
      <xdr:col>5</xdr:col>
      <xdr:colOff>776862</xdr:colOff>
      <xdr:row>124</xdr:row>
      <xdr:rowOff>1393894</xdr:rowOff>
    </xdr:to>
    <xdr:pic>
      <xdr:nvPicPr>
        <xdr:cNvPr id="2" name="Slika 1">
          <a:extLst>
            <a:ext uri="{FF2B5EF4-FFF2-40B4-BE49-F238E27FC236}">
              <a16:creationId xmlns:a16="http://schemas.microsoft.com/office/drawing/2014/main" id="{0CD3E089-3C37-4071-A2B6-3BADB05834AF}"/>
            </a:ext>
          </a:extLst>
        </xdr:cNvPr>
        <xdr:cNvPicPr>
          <a:picLocks noChangeAspect="1"/>
        </xdr:cNvPicPr>
      </xdr:nvPicPr>
      <xdr:blipFill>
        <a:blip xmlns:r="http://schemas.openxmlformats.org/officeDocument/2006/relationships" r:embed="rId2"/>
        <a:stretch>
          <a:fillRect/>
        </a:stretch>
      </xdr:blipFill>
      <xdr:spPr>
        <a:xfrm>
          <a:off x="545522" y="28393159"/>
          <a:ext cx="5790476" cy="86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51955</xdr:colOff>
      <xdr:row>135</xdr:row>
      <xdr:rowOff>25977</xdr:rowOff>
    </xdr:from>
    <xdr:to>
      <xdr:col>5</xdr:col>
      <xdr:colOff>753341</xdr:colOff>
      <xdr:row>135</xdr:row>
      <xdr:rowOff>4873410</xdr:rowOff>
    </xdr:to>
    <xdr:pic>
      <xdr:nvPicPr>
        <xdr:cNvPr id="3" name="Slika 2">
          <a:extLst>
            <a:ext uri="{FF2B5EF4-FFF2-40B4-BE49-F238E27FC236}">
              <a16:creationId xmlns:a16="http://schemas.microsoft.com/office/drawing/2014/main" id="{611C282C-2C4D-47DC-82C8-8CB01E9C0229}"/>
            </a:ext>
          </a:extLst>
        </xdr:cNvPr>
        <xdr:cNvPicPr>
          <a:picLocks noChangeAspect="1"/>
        </xdr:cNvPicPr>
      </xdr:nvPicPr>
      <xdr:blipFill>
        <a:blip xmlns:r="http://schemas.openxmlformats.org/officeDocument/2006/relationships" r:embed="rId1"/>
        <a:stretch>
          <a:fillRect/>
        </a:stretch>
      </xdr:blipFill>
      <xdr:spPr>
        <a:xfrm>
          <a:off x="839932" y="64163863"/>
          <a:ext cx="5628409" cy="4847433"/>
        </a:xfrm>
        <a:prstGeom prst="rect">
          <a:avLst/>
        </a:prstGeom>
      </xdr:spPr>
    </xdr:pic>
    <xdr:clientData/>
  </xdr:twoCellAnchor>
  <xdr:twoCellAnchor editAs="oneCell">
    <xdr:from>
      <xdr:col>2</xdr:col>
      <xdr:colOff>0</xdr:colOff>
      <xdr:row>92</xdr:row>
      <xdr:rowOff>0</xdr:rowOff>
    </xdr:from>
    <xdr:to>
      <xdr:col>5</xdr:col>
      <xdr:colOff>768215</xdr:colOff>
      <xdr:row>98</xdr:row>
      <xdr:rowOff>1502980</xdr:rowOff>
    </xdr:to>
    <xdr:pic>
      <xdr:nvPicPr>
        <xdr:cNvPr id="2" name="Slika 1">
          <a:extLst>
            <a:ext uri="{FF2B5EF4-FFF2-40B4-BE49-F238E27FC236}">
              <a16:creationId xmlns:a16="http://schemas.microsoft.com/office/drawing/2014/main" id="{ACDD4CDB-C2BF-44BE-B700-D1A43DA905B2}"/>
            </a:ext>
          </a:extLst>
        </xdr:cNvPr>
        <xdr:cNvPicPr>
          <a:picLocks noChangeAspect="1"/>
        </xdr:cNvPicPr>
      </xdr:nvPicPr>
      <xdr:blipFill>
        <a:blip xmlns:r="http://schemas.openxmlformats.org/officeDocument/2006/relationships" r:embed="rId2"/>
        <a:stretch>
          <a:fillRect/>
        </a:stretch>
      </xdr:blipFill>
      <xdr:spPr>
        <a:xfrm>
          <a:off x="787977" y="31926068"/>
          <a:ext cx="5695238" cy="8828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458933</xdr:colOff>
      <xdr:row>131</xdr:row>
      <xdr:rowOff>17318</xdr:rowOff>
    </xdr:from>
    <xdr:to>
      <xdr:col>5</xdr:col>
      <xdr:colOff>810011</xdr:colOff>
      <xdr:row>131</xdr:row>
      <xdr:rowOff>4883727</xdr:rowOff>
    </xdr:to>
    <xdr:pic>
      <xdr:nvPicPr>
        <xdr:cNvPr id="4" name="Slika 3">
          <a:extLst>
            <a:ext uri="{FF2B5EF4-FFF2-40B4-BE49-F238E27FC236}">
              <a16:creationId xmlns:a16="http://schemas.microsoft.com/office/drawing/2014/main" id="{AF4F7117-1D0A-42F4-8C91-7F0C7286802C}"/>
            </a:ext>
          </a:extLst>
        </xdr:cNvPr>
        <xdr:cNvPicPr>
          <a:picLocks noChangeAspect="1"/>
        </xdr:cNvPicPr>
      </xdr:nvPicPr>
      <xdr:blipFill>
        <a:blip xmlns:r="http://schemas.openxmlformats.org/officeDocument/2006/relationships" r:embed="rId1"/>
        <a:stretch>
          <a:fillRect/>
        </a:stretch>
      </xdr:blipFill>
      <xdr:spPr>
        <a:xfrm>
          <a:off x="753342" y="63280636"/>
          <a:ext cx="5650442" cy="4866409"/>
        </a:xfrm>
        <a:prstGeom prst="rect">
          <a:avLst/>
        </a:prstGeom>
      </xdr:spPr>
    </xdr:pic>
    <xdr:clientData/>
  </xdr:twoCellAnchor>
  <xdr:twoCellAnchor editAs="oneCell">
    <xdr:from>
      <xdr:col>1</xdr:col>
      <xdr:colOff>458932</xdr:colOff>
      <xdr:row>88</xdr:row>
      <xdr:rowOff>43296</xdr:rowOff>
    </xdr:from>
    <xdr:to>
      <xdr:col>5</xdr:col>
      <xdr:colOff>767719</xdr:colOff>
      <xdr:row>94</xdr:row>
      <xdr:rowOff>1307524</xdr:rowOff>
    </xdr:to>
    <xdr:pic>
      <xdr:nvPicPr>
        <xdr:cNvPr id="2" name="Slika 1">
          <a:extLst>
            <a:ext uri="{FF2B5EF4-FFF2-40B4-BE49-F238E27FC236}">
              <a16:creationId xmlns:a16="http://schemas.microsoft.com/office/drawing/2014/main" id="{E8F7E183-2B04-41F3-97FE-EC3BF0E4744B}"/>
            </a:ext>
          </a:extLst>
        </xdr:cNvPr>
        <xdr:cNvPicPr>
          <a:picLocks noChangeAspect="1"/>
        </xdr:cNvPicPr>
      </xdr:nvPicPr>
      <xdr:blipFill>
        <a:blip xmlns:r="http://schemas.openxmlformats.org/officeDocument/2006/relationships" r:embed="rId2"/>
        <a:stretch>
          <a:fillRect/>
        </a:stretch>
      </xdr:blipFill>
      <xdr:spPr>
        <a:xfrm>
          <a:off x="753341" y="32194501"/>
          <a:ext cx="5608151" cy="85898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43295</xdr:colOff>
      <xdr:row>87</xdr:row>
      <xdr:rowOff>51956</xdr:rowOff>
    </xdr:from>
    <xdr:to>
      <xdr:col>5</xdr:col>
      <xdr:colOff>770659</xdr:colOff>
      <xdr:row>87</xdr:row>
      <xdr:rowOff>4891932</xdr:rowOff>
    </xdr:to>
    <xdr:pic>
      <xdr:nvPicPr>
        <xdr:cNvPr id="3" name="Slika 2">
          <a:extLst>
            <a:ext uri="{FF2B5EF4-FFF2-40B4-BE49-F238E27FC236}">
              <a16:creationId xmlns:a16="http://schemas.microsoft.com/office/drawing/2014/main" id="{826E9F45-6AFF-459C-9EB4-EE876266026B}"/>
            </a:ext>
          </a:extLst>
        </xdr:cNvPr>
        <xdr:cNvPicPr>
          <a:picLocks noChangeAspect="1"/>
        </xdr:cNvPicPr>
      </xdr:nvPicPr>
      <xdr:blipFill>
        <a:blip xmlns:r="http://schemas.openxmlformats.org/officeDocument/2006/relationships" r:embed="rId1"/>
        <a:stretch>
          <a:fillRect/>
        </a:stretch>
      </xdr:blipFill>
      <xdr:spPr>
        <a:xfrm>
          <a:off x="831272" y="41866706"/>
          <a:ext cx="5619751" cy="4839976"/>
        </a:xfrm>
        <a:prstGeom prst="rect">
          <a:avLst/>
        </a:prstGeom>
      </xdr:spPr>
    </xdr:pic>
    <xdr:clientData/>
  </xdr:twoCellAnchor>
  <xdr:twoCellAnchor editAs="oneCell">
    <xdr:from>
      <xdr:col>2</xdr:col>
      <xdr:colOff>25977</xdr:colOff>
      <xdr:row>42</xdr:row>
      <xdr:rowOff>60616</xdr:rowOff>
    </xdr:from>
    <xdr:to>
      <xdr:col>5</xdr:col>
      <xdr:colOff>789921</xdr:colOff>
      <xdr:row>48</xdr:row>
      <xdr:rowOff>1238252</xdr:rowOff>
    </xdr:to>
    <xdr:pic>
      <xdr:nvPicPr>
        <xdr:cNvPr id="2" name="Slika 1">
          <a:extLst>
            <a:ext uri="{FF2B5EF4-FFF2-40B4-BE49-F238E27FC236}">
              <a16:creationId xmlns:a16="http://schemas.microsoft.com/office/drawing/2014/main" id="{D08368EA-E886-4756-9CFD-C41A747B4478}"/>
            </a:ext>
          </a:extLst>
        </xdr:cNvPr>
        <xdr:cNvPicPr>
          <a:picLocks noChangeAspect="1"/>
        </xdr:cNvPicPr>
      </xdr:nvPicPr>
      <xdr:blipFill>
        <a:blip xmlns:r="http://schemas.openxmlformats.org/officeDocument/2006/relationships" r:embed="rId2"/>
        <a:stretch>
          <a:fillRect/>
        </a:stretch>
      </xdr:blipFill>
      <xdr:spPr>
        <a:xfrm>
          <a:off x="813954" y="9732821"/>
          <a:ext cx="5656331" cy="85032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C61D-D7A9-4083-8E8A-659B8094FCA0}">
  <sheetPr codeName="Sheet1">
    <tabColor rgb="FFFF0000"/>
    <pageSetUpPr fitToPage="1"/>
  </sheetPr>
  <dimension ref="A2:AC56"/>
  <sheetViews>
    <sheetView showZeros="0" topLeftCell="A34" zoomScale="110" zoomScaleNormal="110" workbookViewId="0">
      <selection activeCell="C51" sqref="C51:F51"/>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4.140625" style="4" customWidth="1"/>
    <col min="7" max="7" width="16.5703125" style="3" bestFit="1" customWidth="1"/>
    <col min="8" max="8" width="17.42578125" style="2" bestFit="1"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29" ht="24.75" customHeight="1" x14ac:dyDescent="0.2">
      <c r="A2" s="121"/>
      <c r="B2" s="137"/>
      <c r="C2" s="354" t="s">
        <v>0</v>
      </c>
      <c r="D2" s="155"/>
      <c r="E2" s="156"/>
      <c r="F2" s="157"/>
      <c r="G2" s="355"/>
      <c r="H2" s="122"/>
      <c r="I2" s="121"/>
      <c r="J2" s="121"/>
      <c r="K2" s="121"/>
      <c r="L2" s="121"/>
      <c r="M2" s="121"/>
      <c r="N2" s="121"/>
      <c r="O2" s="121"/>
      <c r="P2" s="121"/>
      <c r="Q2" s="121"/>
      <c r="R2" s="121"/>
      <c r="S2" s="121"/>
      <c r="T2" s="121"/>
      <c r="U2" s="121"/>
      <c r="V2" s="121"/>
      <c r="W2" s="121"/>
      <c r="X2" s="121"/>
      <c r="Y2" s="121"/>
      <c r="Z2" s="121"/>
      <c r="AA2" s="121"/>
      <c r="AB2" s="121"/>
      <c r="AC2" s="121"/>
    </row>
    <row r="4" spans="1:29" s="24" customFormat="1" ht="18" customHeight="1" x14ac:dyDescent="0.2">
      <c r="A4" s="140"/>
      <c r="B4" s="143" t="s">
        <v>1</v>
      </c>
      <c r="C4" s="168"/>
      <c r="D4" s="170"/>
      <c r="E4" s="170"/>
      <c r="F4" s="170"/>
      <c r="G4" s="169"/>
      <c r="H4" s="139"/>
      <c r="I4" s="139"/>
      <c r="J4" s="139"/>
      <c r="K4" s="139"/>
      <c r="L4" s="139"/>
      <c r="M4" s="139"/>
      <c r="N4" s="139"/>
      <c r="O4" s="139"/>
      <c r="P4" s="139"/>
      <c r="Q4" s="139"/>
      <c r="R4" s="139"/>
      <c r="S4" s="139"/>
      <c r="T4" s="139"/>
      <c r="U4" s="139"/>
      <c r="V4" s="139"/>
      <c r="W4" s="139"/>
      <c r="X4" s="139"/>
      <c r="Y4" s="139"/>
      <c r="Z4" s="139"/>
      <c r="AA4" s="139"/>
      <c r="AB4" s="139"/>
      <c r="AC4" s="139"/>
    </row>
    <row r="5" spans="1:29" s="24" customFormat="1" ht="18" customHeight="1" x14ac:dyDescent="0.25">
      <c r="A5" s="141"/>
      <c r="B5" s="144" t="s">
        <v>2</v>
      </c>
      <c r="C5" s="171"/>
      <c r="D5" s="172"/>
      <c r="E5" s="173"/>
      <c r="F5" s="173"/>
      <c r="G5" s="172"/>
      <c r="H5" s="139"/>
      <c r="I5" s="139"/>
      <c r="J5" s="139"/>
      <c r="K5" s="139"/>
      <c r="L5" s="139"/>
      <c r="M5" s="139"/>
      <c r="N5" s="139"/>
      <c r="O5" s="139"/>
      <c r="P5" s="139"/>
      <c r="Q5" s="139"/>
      <c r="R5" s="139"/>
      <c r="S5" s="139"/>
      <c r="T5" s="139"/>
      <c r="U5" s="139"/>
      <c r="V5" s="139"/>
      <c r="W5" s="139"/>
      <c r="X5" s="139"/>
      <c r="Y5" s="139"/>
      <c r="Z5" s="139"/>
      <c r="AA5" s="139"/>
      <c r="AB5" s="139"/>
      <c r="AC5" s="139"/>
    </row>
    <row r="6" spans="1:29" s="24" customFormat="1" ht="18" customHeight="1" x14ac:dyDescent="0.2">
      <c r="A6" s="140"/>
      <c r="B6" s="143" t="s">
        <v>3</v>
      </c>
      <c r="C6" s="168"/>
      <c r="D6" s="170"/>
      <c r="E6" s="170"/>
      <c r="F6" s="170"/>
      <c r="G6" s="169"/>
      <c r="H6" s="139"/>
      <c r="I6" s="139"/>
      <c r="J6" s="139"/>
      <c r="K6" s="139"/>
      <c r="L6" s="139"/>
      <c r="M6" s="139"/>
      <c r="N6" s="139"/>
      <c r="O6" s="139"/>
      <c r="P6" s="139"/>
      <c r="Q6" s="139"/>
      <c r="R6" s="139"/>
      <c r="S6" s="139"/>
      <c r="T6" s="139"/>
      <c r="U6" s="139"/>
      <c r="V6" s="139"/>
      <c r="W6" s="139"/>
      <c r="X6" s="139"/>
      <c r="Y6" s="139"/>
      <c r="Z6" s="139"/>
      <c r="AA6" s="139"/>
      <c r="AB6" s="139"/>
      <c r="AC6" s="139"/>
    </row>
    <row r="7" spans="1:29" s="24" customFormat="1" ht="18" customHeight="1" x14ac:dyDescent="0.25">
      <c r="A7" s="141"/>
      <c r="B7" s="144" t="s">
        <v>4</v>
      </c>
      <c r="C7" s="171"/>
      <c r="D7" s="173"/>
      <c r="E7" s="173"/>
      <c r="F7" s="173"/>
      <c r="G7" s="172"/>
      <c r="H7" s="139"/>
      <c r="I7" s="139"/>
      <c r="J7" s="139"/>
      <c r="K7" s="139"/>
      <c r="L7" s="139"/>
      <c r="M7" s="139"/>
      <c r="N7" s="139"/>
      <c r="O7" s="139"/>
      <c r="P7" s="139"/>
      <c r="Q7" s="139"/>
      <c r="R7" s="139"/>
      <c r="S7" s="139"/>
      <c r="T7" s="139"/>
      <c r="U7" s="139"/>
      <c r="V7" s="139"/>
      <c r="W7" s="139"/>
      <c r="X7" s="139"/>
      <c r="Y7" s="139"/>
      <c r="Z7" s="139"/>
      <c r="AA7" s="139"/>
      <c r="AB7" s="139"/>
      <c r="AC7" s="139"/>
    </row>
    <row r="8" spans="1:29" s="23" customFormat="1" ht="14.25" x14ac:dyDescent="0.2">
      <c r="A8" s="125"/>
      <c r="B8" s="142"/>
      <c r="C8" s="174"/>
      <c r="D8" s="175"/>
      <c r="E8" s="176"/>
      <c r="F8" s="177"/>
      <c r="G8" s="178"/>
      <c r="H8" s="123"/>
      <c r="I8" s="124"/>
      <c r="J8" s="124"/>
      <c r="K8" s="124"/>
      <c r="L8" s="124"/>
      <c r="M8" s="125"/>
      <c r="N8" s="125"/>
      <c r="O8" s="125"/>
      <c r="P8" s="125"/>
      <c r="Q8" s="125"/>
      <c r="R8" s="125"/>
      <c r="S8" s="125"/>
      <c r="T8" s="125"/>
      <c r="U8" s="125"/>
      <c r="V8" s="125"/>
      <c r="W8" s="125"/>
      <c r="X8" s="125"/>
      <c r="Y8" s="125"/>
      <c r="Z8" s="125"/>
      <c r="AA8" s="125"/>
      <c r="AB8" s="125"/>
      <c r="AC8" s="125"/>
    </row>
    <row r="9" spans="1:29" s="23" customFormat="1" ht="20.25" customHeight="1" x14ac:dyDescent="0.2">
      <c r="A9" s="125"/>
      <c r="B9" s="33"/>
      <c r="C9" s="32" t="s">
        <v>5</v>
      </c>
      <c r="D9" s="323"/>
      <c r="E9" s="324"/>
      <c r="F9" s="325"/>
      <c r="G9" s="2793" t="s">
        <v>64</v>
      </c>
      <c r="H9" s="123"/>
      <c r="I9" s="124"/>
      <c r="J9" s="124"/>
      <c r="K9" s="124"/>
      <c r="L9" s="124"/>
      <c r="M9" s="125"/>
      <c r="N9" s="125"/>
      <c r="O9" s="125"/>
      <c r="P9" s="125"/>
      <c r="Q9" s="125"/>
      <c r="R9" s="125"/>
      <c r="S9" s="125"/>
      <c r="T9" s="125"/>
      <c r="U9" s="125"/>
      <c r="V9" s="125"/>
      <c r="W9" s="125"/>
      <c r="X9" s="125"/>
      <c r="Y9" s="125"/>
      <c r="Z9" s="125"/>
      <c r="AA9" s="125"/>
      <c r="AB9" s="125"/>
      <c r="AC9" s="125"/>
    </row>
    <row r="10" spans="1:29" s="21" customFormat="1" ht="20.25" customHeight="1" x14ac:dyDescent="0.25">
      <c r="A10" s="126"/>
      <c r="B10" s="1917" t="s">
        <v>6</v>
      </c>
      <c r="C10" s="2716" t="s">
        <v>7</v>
      </c>
      <c r="D10" s="3170"/>
      <c r="E10" s="3170"/>
      <c r="F10" s="3171"/>
      <c r="G10" s="1918" t="s">
        <v>2523</v>
      </c>
      <c r="H10" s="26"/>
      <c r="I10" s="119"/>
      <c r="J10" s="119"/>
      <c r="K10" s="119"/>
      <c r="L10" s="119"/>
      <c r="M10" s="119"/>
      <c r="N10" s="119"/>
      <c r="O10" s="119"/>
      <c r="P10" s="119"/>
      <c r="Q10" s="119"/>
      <c r="R10" s="119"/>
      <c r="S10" s="119"/>
      <c r="T10" s="119"/>
      <c r="U10" s="119"/>
      <c r="V10" s="119"/>
      <c r="W10" s="119"/>
      <c r="X10" s="119"/>
      <c r="Y10" s="119"/>
      <c r="Z10" s="119"/>
      <c r="AA10" s="119"/>
      <c r="AB10" s="119"/>
      <c r="AC10" s="119"/>
    </row>
    <row r="11" spans="1:29" s="126" customFormat="1" ht="20.25" customHeight="1" x14ac:dyDescent="0.25">
      <c r="B11" s="30" t="s">
        <v>8</v>
      </c>
      <c r="C11" s="29" t="s">
        <v>9</v>
      </c>
      <c r="D11" s="318"/>
      <c r="E11" s="319"/>
      <c r="F11" s="317"/>
      <c r="G11" s="320"/>
      <c r="H11" s="26"/>
      <c r="I11" s="119"/>
      <c r="J11" s="119"/>
      <c r="K11" s="119"/>
      <c r="L11" s="119"/>
      <c r="M11" s="119"/>
      <c r="N11" s="119"/>
      <c r="O11" s="119"/>
      <c r="P11" s="119"/>
      <c r="Q11" s="119"/>
      <c r="R11" s="119"/>
      <c r="S11" s="119"/>
      <c r="T11" s="119"/>
      <c r="U11" s="119"/>
      <c r="V11" s="119"/>
      <c r="W11" s="119"/>
      <c r="X11" s="119"/>
      <c r="Y11" s="119"/>
      <c r="Z11" s="119"/>
      <c r="AA11" s="119"/>
      <c r="AB11" s="119"/>
      <c r="AC11" s="119"/>
    </row>
    <row r="12" spans="1:29" s="126" customFormat="1" ht="20.25" customHeight="1" x14ac:dyDescent="0.25">
      <c r="B12" s="321" t="s">
        <v>10</v>
      </c>
      <c r="C12" s="1921" t="s">
        <v>11</v>
      </c>
      <c r="D12" s="318"/>
      <c r="E12" s="319"/>
      <c r="F12" s="317"/>
      <c r="G12" s="1958">
        <f>+'REKAPITULACIJA CANKOVA'!G17</f>
        <v>0</v>
      </c>
      <c r="H12" s="26"/>
      <c r="I12" s="119"/>
      <c r="J12" s="119"/>
      <c r="K12" s="119"/>
      <c r="L12" s="119"/>
      <c r="M12" s="119"/>
      <c r="N12" s="119"/>
      <c r="O12" s="119"/>
      <c r="P12" s="119"/>
      <c r="Q12" s="119"/>
      <c r="R12" s="119"/>
      <c r="S12" s="119"/>
      <c r="T12" s="119"/>
      <c r="U12" s="119"/>
      <c r="V12" s="119"/>
      <c r="W12" s="119"/>
      <c r="X12" s="119"/>
      <c r="Y12" s="119"/>
      <c r="Z12" s="119"/>
      <c r="AA12" s="119"/>
      <c r="AB12" s="119"/>
      <c r="AC12" s="119"/>
    </row>
    <row r="13" spans="1:29" s="126" customFormat="1" ht="20.25" customHeight="1" x14ac:dyDescent="0.25">
      <c r="B13" s="321" t="s">
        <v>12</v>
      </c>
      <c r="C13" s="3172" t="s">
        <v>13</v>
      </c>
      <c r="D13" s="3173"/>
      <c r="E13" s="3173"/>
      <c r="F13" s="3174"/>
      <c r="G13" s="1943">
        <f>+'REKAPITULACIJA CANKOVA'!G21+'REKAPITULACIJA CANKOVA'!G26</f>
        <v>0</v>
      </c>
      <c r="H13" s="26"/>
      <c r="I13" s="119"/>
      <c r="J13" s="119"/>
      <c r="K13" s="119"/>
      <c r="L13" s="119"/>
      <c r="M13" s="119"/>
      <c r="N13" s="119"/>
      <c r="O13" s="119"/>
      <c r="P13" s="119"/>
      <c r="Q13" s="119"/>
      <c r="R13" s="119"/>
      <c r="S13" s="119"/>
      <c r="T13" s="119"/>
      <c r="U13" s="119"/>
      <c r="V13" s="119"/>
      <c r="W13" s="119"/>
      <c r="X13" s="119"/>
      <c r="Y13" s="119"/>
      <c r="Z13" s="119"/>
      <c r="AA13" s="119"/>
      <c r="AB13" s="119"/>
      <c r="AC13" s="119"/>
    </row>
    <row r="14" spans="1:29" s="126" customFormat="1" ht="20.25" customHeight="1" x14ac:dyDescent="0.25">
      <c r="B14" s="1919"/>
      <c r="C14" s="3175" t="s">
        <v>14</v>
      </c>
      <c r="D14" s="3170"/>
      <c r="E14" s="3170"/>
      <c r="F14" s="3171"/>
      <c r="G14" s="1959">
        <f>G12+G13</f>
        <v>0</v>
      </c>
      <c r="H14" s="26"/>
      <c r="I14" s="119"/>
      <c r="J14" s="119"/>
      <c r="K14" s="119"/>
      <c r="L14" s="119"/>
      <c r="M14" s="119"/>
      <c r="N14" s="119"/>
      <c r="O14" s="119"/>
      <c r="P14" s="119"/>
      <c r="Q14" s="119"/>
      <c r="R14" s="119"/>
      <c r="S14" s="119"/>
      <c r="T14" s="119"/>
      <c r="U14" s="119"/>
      <c r="V14" s="119"/>
      <c r="W14" s="119"/>
      <c r="X14" s="119"/>
      <c r="Y14" s="119"/>
      <c r="Z14" s="119"/>
      <c r="AA14" s="119"/>
      <c r="AB14" s="119"/>
      <c r="AC14" s="119"/>
    </row>
    <row r="15" spans="1:29" s="1922" customFormat="1" ht="20.25" customHeight="1" x14ac:dyDescent="0.25">
      <c r="B15" s="30" t="s">
        <v>15</v>
      </c>
      <c r="C15" s="29" t="s">
        <v>16</v>
      </c>
      <c r="D15" s="1923"/>
      <c r="E15" s="1924"/>
      <c r="F15" s="317"/>
      <c r="G15" s="320"/>
      <c r="H15" s="1925"/>
    </row>
    <row r="16" spans="1:29" s="126" customFormat="1" ht="20.25" customHeight="1" x14ac:dyDescent="0.25">
      <c r="B16" s="321" t="s">
        <v>17</v>
      </c>
      <c r="C16" s="1921" t="s">
        <v>11</v>
      </c>
      <c r="D16" s="318"/>
      <c r="E16" s="319"/>
      <c r="F16" s="317"/>
      <c r="G16" s="1943">
        <f>+'REKAPITULACIJA G.PETROVCI'!G14</f>
        <v>0</v>
      </c>
      <c r="H16" s="26"/>
      <c r="I16" s="119"/>
      <c r="J16" s="119"/>
      <c r="K16" s="119"/>
      <c r="L16" s="119"/>
      <c r="M16" s="119"/>
      <c r="N16" s="119"/>
      <c r="O16" s="119"/>
      <c r="P16" s="119"/>
      <c r="Q16" s="119"/>
      <c r="R16" s="119"/>
      <c r="S16" s="119"/>
      <c r="T16" s="119"/>
      <c r="U16" s="119"/>
      <c r="V16" s="119"/>
      <c r="W16" s="119"/>
      <c r="X16" s="119"/>
      <c r="Y16" s="119"/>
      <c r="Z16" s="119"/>
      <c r="AA16" s="119"/>
      <c r="AB16" s="119"/>
      <c r="AC16" s="119"/>
    </row>
    <row r="17" spans="2:29" s="126" customFormat="1" ht="20.25" customHeight="1" x14ac:dyDescent="0.25">
      <c r="B17" s="321" t="s">
        <v>18</v>
      </c>
      <c r="C17" s="3172" t="s">
        <v>13</v>
      </c>
      <c r="D17" s="3173"/>
      <c r="E17" s="3173"/>
      <c r="F17" s="3174"/>
      <c r="G17" s="1943">
        <f>+'REKAPITULACIJA G.PETROVCI'!G22</f>
        <v>0</v>
      </c>
      <c r="H17" s="26"/>
      <c r="I17" s="119"/>
      <c r="J17" s="119"/>
      <c r="K17" s="119"/>
      <c r="L17" s="119"/>
      <c r="M17" s="119"/>
      <c r="N17" s="119"/>
      <c r="O17" s="119"/>
      <c r="P17" s="119"/>
      <c r="Q17" s="119"/>
      <c r="R17" s="119"/>
      <c r="S17" s="119"/>
      <c r="T17" s="119"/>
      <c r="U17" s="119"/>
      <c r="V17" s="119"/>
      <c r="W17" s="119"/>
      <c r="X17" s="119"/>
      <c r="Y17" s="119"/>
      <c r="Z17" s="119"/>
      <c r="AA17" s="119"/>
      <c r="AB17" s="119"/>
      <c r="AC17" s="119"/>
    </row>
    <row r="18" spans="2:29" s="126" customFormat="1" ht="20.25" customHeight="1" x14ac:dyDescent="0.25">
      <c r="B18" s="1919"/>
      <c r="C18" s="3175" t="s">
        <v>19</v>
      </c>
      <c r="D18" s="3170"/>
      <c r="E18" s="3170"/>
      <c r="F18" s="3171"/>
      <c r="G18" s="1920">
        <f>G16+G17</f>
        <v>0</v>
      </c>
      <c r="H18" s="26"/>
      <c r="I18" s="119"/>
      <c r="J18" s="119"/>
      <c r="K18" s="119"/>
      <c r="L18" s="119"/>
      <c r="M18" s="119"/>
      <c r="N18" s="119"/>
      <c r="O18" s="119"/>
      <c r="P18" s="119"/>
      <c r="Q18" s="119"/>
      <c r="R18" s="119"/>
      <c r="S18" s="119"/>
      <c r="T18" s="119"/>
      <c r="U18" s="119"/>
      <c r="V18" s="119"/>
      <c r="W18" s="119"/>
      <c r="X18" s="119"/>
      <c r="Y18" s="119"/>
      <c r="Z18" s="119"/>
      <c r="AA18" s="119"/>
      <c r="AB18" s="119"/>
      <c r="AC18" s="119"/>
    </row>
    <row r="19" spans="2:29" s="1922" customFormat="1" ht="20.25" customHeight="1" x14ac:dyDescent="0.25">
      <c r="B19" s="30" t="s">
        <v>20</v>
      </c>
      <c r="C19" s="29" t="s">
        <v>21</v>
      </c>
      <c r="D19" s="1923"/>
      <c r="E19" s="1924"/>
      <c r="F19" s="317"/>
      <c r="G19" s="320"/>
      <c r="H19" s="1925"/>
    </row>
    <row r="20" spans="2:29" s="1922" customFormat="1" ht="20.25" customHeight="1" x14ac:dyDescent="0.25">
      <c r="B20" s="321" t="s">
        <v>22</v>
      </c>
      <c r="C20" s="3172" t="s">
        <v>13</v>
      </c>
      <c r="D20" s="3173"/>
      <c r="E20" s="3173"/>
      <c r="F20" s="3174"/>
      <c r="G20" s="1943">
        <f>+'REKAPITULACIJA GRAD'!G19</f>
        <v>0</v>
      </c>
      <c r="H20" s="1925"/>
    </row>
    <row r="21" spans="2:29" s="1922" customFormat="1" ht="20.25" customHeight="1" x14ac:dyDescent="0.25">
      <c r="B21" s="1919"/>
      <c r="C21" s="3175" t="s">
        <v>23</v>
      </c>
      <c r="D21" s="3170"/>
      <c r="E21" s="3170"/>
      <c r="F21" s="3171"/>
      <c r="G21" s="1920">
        <f>G20</f>
        <v>0</v>
      </c>
      <c r="H21" s="1925"/>
    </row>
    <row r="22" spans="2:29" s="1922" customFormat="1" ht="20.25" customHeight="1" x14ac:dyDescent="0.25">
      <c r="B22" s="30" t="s">
        <v>24</v>
      </c>
      <c r="C22" s="1926" t="s">
        <v>25</v>
      </c>
      <c r="D22" s="1927"/>
      <c r="E22" s="1928"/>
      <c r="F22" s="117"/>
      <c r="G22" s="320"/>
      <c r="H22" s="1925"/>
    </row>
    <row r="23" spans="2:29" s="1922" customFormat="1" ht="20.25" customHeight="1" x14ac:dyDescent="0.25">
      <c r="B23" s="321" t="s">
        <v>26</v>
      </c>
      <c r="C23" s="1921" t="s">
        <v>11</v>
      </c>
      <c r="D23" s="318"/>
      <c r="E23" s="319"/>
      <c r="F23" s="317"/>
      <c r="G23" s="1943">
        <f>+'REKAPITULACIJA HODOŠ'!G13</f>
        <v>0</v>
      </c>
      <c r="H23" s="1925"/>
    </row>
    <row r="24" spans="2:29" s="1922" customFormat="1" ht="20.25" customHeight="1" x14ac:dyDescent="0.25">
      <c r="B24" s="321" t="s">
        <v>27</v>
      </c>
      <c r="C24" s="3172" t="s">
        <v>13</v>
      </c>
      <c r="D24" s="3173"/>
      <c r="E24" s="3173"/>
      <c r="F24" s="3174"/>
      <c r="G24" s="1943">
        <f>+'REKAPITULACIJA HODOŠ'!G16</f>
        <v>0</v>
      </c>
      <c r="H24" s="1925"/>
    </row>
    <row r="25" spans="2:29" s="1922" customFormat="1" ht="20.25" customHeight="1" x14ac:dyDescent="0.25">
      <c r="B25" s="1919"/>
      <c r="C25" s="3175" t="s">
        <v>28</v>
      </c>
      <c r="D25" s="3170"/>
      <c r="E25" s="3170"/>
      <c r="F25" s="3171"/>
      <c r="G25" s="1920">
        <f>G23+G24</f>
        <v>0</v>
      </c>
      <c r="H25" s="1925"/>
    </row>
    <row r="26" spans="2:29" s="1922" customFormat="1" ht="20.25" customHeight="1" x14ac:dyDescent="0.25">
      <c r="B26" s="30" t="s">
        <v>29</v>
      </c>
      <c r="C26" s="29" t="s">
        <v>30</v>
      </c>
      <c r="D26" s="1923"/>
      <c r="E26" s="1924"/>
      <c r="F26" s="317"/>
      <c r="G26" s="320"/>
      <c r="H26" s="1925"/>
    </row>
    <row r="27" spans="2:29" s="1922" customFormat="1" ht="20.25" customHeight="1" x14ac:dyDescent="0.25">
      <c r="B27" s="321" t="s">
        <v>31</v>
      </c>
      <c r="C27" s="3172" t="s">
        <v>13</v>
      </c>
      <c r="D27" s="3173"/>
      <c r="E27" s="3173"/>
      <c r="F27" s="3174"/>
      <c r="G27" s="1943">
        <f>+'REKAPITULACIJA KUZMA'!G18+'REKAPITULACIJA KUZMA'!G21</f>
        <v>0</v>
      </c>
      <c r="H27" s="1925"/>
    </row>
    <row r="28" spans="2:29" s="1922" customFormat="1" ht="20.25" customHeight="1" x14ac:dyDescent="0.25">
      <c r="B28" s="1919"/>
      <c r="C28" s="3175" t="s">
        <v>32</v>
      </c>
      <c r="D28" s="3170"/>
      <c r="E28" s="3170"/>
      <c r="F28" s="3171"/>
      <c r="G28" s="1920">
        <f>G27</f>
        <v>0</v>
      </c>
      <c r="H28" s="1925"/>
    </row>
    <row r="29" spans="2:29" s="1922" customFormat="1" ht="20.25" customHeight="1" x14ac:dyDescent="0.25">
      <c r="B29" s="30" t="s">
        <v>33</v>
      </c>
      <c r="C29" s="29" t="s">
        <v>34</v>
      </c>
      <c r="D29" s="1923"/>
      <c r="E29" s="1924"/>
      <c r="F29" s="317"/>
      <c r="G29" s="320"/>
      <c r="H29" s="1925"/>
    </row>
    <row r="30" spans="2:29" s="1922" customFormat="1" ht="20.25" customHeight="1" x14ac:dyDescent="0.25">
      <c r="B30" s="321" t="s">
        <v>35</v>
      </c>
      <c r="C30" s="1921" t="s">
        <v>11</v>
      </c>
      <c r="D30" s="318"/>
      <c r="E30" s="319"/>
      <c r="F30" s="317"/>
      <c r="G30" s="1943">
        <f>+'REKAPITULACIJA M.TOPLICE'!G13</f>
        <v>0</v>
      </c>
      <c r="H30" s="1925"/>
    </row>
    <row r="31" spans="2:29" s="1922" customFormat="1" ht="20.25" customHeight="1" x14ac:dyDescent="0.25">
      <c r="B31" s="321" t="s">
        <v>36</v>
      </c>
      <c r="C31" s="3172" t="s">
        <v>13</v>
      </c>
      <c r="D31" s="3173"/>
      <c r="E31" s="3173"/>
      <c r="F31" s="3174"/>
      <c r="G31" s="1943">
        <f>+'REKAPITULACIJA M.TOPLICE'!G29+'REKAPITULACIJA M.TOPLICE'!G35</f>
        <v>0</v>
      </c>
      <c r="H31" s="1925"/>
    </row>
    <row r="32" spans="2:29" s="1922" customFormat="1" ht="20.25" customHeight="1" x14ac:dyDescent="0.25">
      <c r="B32" s="1919"/>
      <c r="C32" s="3175" t="s">
        <v>37</v>
      </c>
      <c r="D32" s="3170"/>
      <c r="E32" s="3170"/>
      <c r="F32" s="3171"/>
      <c r="G32" s="1920">
        <f>G30+G31</f>
        <v>0</v>
      </c>
      <c r="H32" s="1925"/>
    </row>
    <row r="33" spans="2:29" s="1922" customFormat="1" ht="20.25" customHeight="1" x14ac:dyDescent="0.25">
      <c r="B33" s="30" t="s">
        <v>38</v>
      </c>
      <c r="C33" s="29" t="s">
        <v>39</v>
      </c>
      <c r="D33" s="1923"/>
      <c r="E33" s="1924"/>
      <c r="F33" s="317"/>
      <c r="G33" s="320"/>
      <c r="H33" s="1925"/>
    </row>
    <row r="34" spans="2:29" s="1922" customFormat="1" ht="20.25" customHeight="1" x14ac:dyDescent="0.25">
      <c r="B34" s="321" t="s">
        <v>40</v>
      </c>
      <c r="C34" s="1921" t="s">
        <v>11</v>
      </c>
      <c r="D34" s="318"/>
      <c r="E34" s="319"/>
      <c r="F34" s="317"/>
      <c r="G34" s="1943">
        <f>+'REKAPITULACIJA ROGAŠOVCI'!G15</f>
        <v>0</v>
      </c>
      <c r="H34" s="1925"/>
    </row>
    <row r="35" spans="2:29" s="1922" customFormat="1" ht="20.25" customHeight="1" x14ac:dyDescent="0.25">
      <c r="B35" s="321" t="s">
        <v>41</v>
      </c>
      <c r="C35" s="3172" t="s">
        <v>13</v>
      </c>
      <c r="D35" s="3173"/>
      <c r="E35" s="3173"/>
      <c r="F35" s="3174"/>
      <c r="G35" s="1943">
        <f>+'REKAPITULACIJA ROGAŠOVCI'!G36+'REKAPITULACIJA ROGAŠOVCI'!G41</f>
        <v>0</v>
      </c>
      <c r="H35" s="1925"/>
    </row>
    <row r="36" spans="2:29" s="1922" customFormat="1" ht="20.25" customHeight="1" x14ac:dyDescent="0.25">
      <c r="B36" s="1919"/>
      <c r="C36" s="3175" t="s">
        <v>42</v>
      </c>
      <c r="D36" s="3170"/>
      <c r="E36" s="3170"/>
      <c r="F36" s="3171"/>
      <c r="G36" s="1920">
        <f>G34+G35</f>
        <v>0</v>
      </c>
      <c r="H36" s="1925"/>
    </row>
    <row r="37" spans="2:29" s="1922" customFormat="1" ht="20.25" customHeight="1" x14ac:dyDescent="0.25">
      <c r="B37" s="30" t="s">
        <v>43</v>
      </c>
      <c r="C37" s="29" t="s">
        <v>44</v>
      </c>
      <c r="D37" s="1923"/>
      <c r="E37" s="1924"/>
      <c r="F37" s="317"/>
      <c r="G37" s="320"/>
      <c r="H37" s="1925"/>
    </row>
    <row r="38" spans="2:29" s="1922" customFormat="1" ht="20.25" customHeight="1" x14ac:dyDescent="0.25">
      <c r="B38" s="321" t="s">
        <v>45</v>
      </c>
      <c r="C38" s="3172" t="s">
        <v>13</v>
      </c>
      <c r="D38" s="3173"/>
      <c r="E38" s="3173"/>
      <c r="F38" s="3174"/>
      <c r="G38" s="1943">
        <f>+'REKAPITULACIJA ŠALOVCI'!G20</f>
        <v>0</v>
      </c>
      <c r="H38" s="1925"/>
    </row>
    <row r="39" spans="2:29" s="1922" customFormat="1" ht="20.25" customHeight="1" x14ac:dyDescent="0.25">
      <c r="B39" s="1919"/>
      <c r="C39" s="3175" t="s">
        <v>46</v>
      </c>
      <c r="D39" s="3170"/>
      <c r="E39" s="3170"/>
      <c r="F39" s="3171"/>
      <c r="G39" s="1920">
        <f>G38</f>
        <v>0</v>
      </c>
      <c r="H39" s="1925"/>
    </row>
    <row r="40" spans="2:29" s="1922" customFormat="1" ht="20.25" customHeight="1" x14ac:dyDescent="0.25">
      <c r="B40" s="1936"/>
      <c r="C40" s="1937"/>
      <c r="D40" s="1937"/>
      <c r="E40" s="1938"/>
      <c r="F40" s="1939"/>
      <c r="G40" s="1940"/>
      <c r="H40" s="1925"/>
    </row>
    <row r="41" spans="2:29" s="1922" customFormat="1" ht="20.25" customHeight="1" x14ac:dyDescent="0.25">
      <c r="B41" s="1930"/>
      <c r="C41" s="2716" t="s">
        <v>47</v>
      </c>
      <c r="D41" s="1931"/>
      <c r="E41" s="1932"/>
      <c r="F41" s="1929"/>
      <c r="G41" s="1933"/>
      <c r="H41" s="1925"/>
    </row>
    <row r="42" spans="2:29" s="1922" customFormat="1" ht="20.25" customHeight="1" x14ac:dyDescent="0.25">
      <c r="B42" s="1934"/>
      <c r="C42" s="3172" t="s">
        <v>48</v>
      </c>
      <c r="D42" s="3173"/>
      <c r="E42" s="3173"/>
      <c r="F42" s="3174"/>
      <c r="G42" s="1935">
        <f>G12+G16+G23+G30+G34</f>
        <v>0</v>
      </c>
      <c r="H42" s="1925"/>
    </row>
    <row r="43" spans="2:29" s="1922" customFormat="1" ht="20.25" customHeight="1" x14ac:dyDescent="0.25">
      <c r="B43" s="1934"/>
      <c r="C43" s="3172" t="s">
        <v>49</v>
      </c>
      <c r="D43" s="3173"/>
      <c r="E43" s="3173"/>
      <c r="F43" s="3174"/>
      <c r="G43" s="1935">
        <f>G13+G17+G20+G24+G27+G31+G35+G38</f>
        <v>0</v>
      </c>
      <c r="H43" s="1925"/>
    </row>
    <row r="44" spans="2:29" s="1922" customFormat="1" ht="20.25" customHeight="1" x14ac:dyDescent="0.25">
      <c r="B44" s="1937"/>
      <c r="C44" s="1937"/>
      <c r="D44" s="1937"/>
      <c r="E44" s="1937"/>
      <c r="F44" s="1937"/>
      <c r="G44" s="1937"/>
      <c r="H44" s="1925"/>
    </row>
    <row r="45" spans="2:29" s="21" customFormat="1" ht="20.25" customHeight="1" x14ac:dyDescent="0.25">
      <c r="B45" s="316"/>
      <c r="C45" s="1941" t="s">
        <v>50</v>
      </c>
      <c r="D45" s="323"/>
      <c r="E45" s="324"/>
      <c r="F45" s="325"/>
      <c r="G45" s="31">
        <f>G42+G43</f>
        <v>0</v>
      </c>
      <c r="H45" s="26"/>
      <c r="I45" s="119"/>
      <c r="J45" s="119"/>
      <c r="K45" s="119"/>
      <c r="L45" s="119"/>
      <c r="M45" s="119"/>
      <c r="N45" s="119"/>
      <c r="O45" s="119"/>
      <c r="P45" s="119"/>
      <c r="Q45" s="119"/>
      <c r="R45" s="119"/>
      <c r="S45" s="119"/>
      <c r="T45" s="119"/>
      <c r="U45" s="119"/>
      <c r="V45" s="119"/>
      <c r="W45" s="119"/>
      <c r="X45" s="119"/>
      <c r="Y45" s="119"/>
      <c r="Z45" s="119"/>
      <c r="AA45" s="119"/>
      <c r="AB45" s="119"/>
      <c r="AC45" s="119"/>
    </row>
    <row r="46" spans="2:29" s="21" customFormat="1" ht="20.25" customHeight="1" x14ac:dyDescent="0.25">
      <c r="B46" s="30" t="s">
        <v>51</v>
      </c>
      <c r="C46" s="29" t="s">
        <v>52</v>
      </c>
      <c r="D46" s="318"/>
      <c r="E46" s="319"/>
      <c r="F46" s="1942"/>
      <c r="G46" s="320">
        <v>715843.46941562358</v>
      </c>
      <c r="H46" s="26"/>
      <c r="I46" s="119"/>
      <c r="J46" s="119"/>
      <c r="K46" s="119"/>
      <c r="L46" s="119"/>
      <c r="M46" s="119"/>
      <c r="N46" s="119"/>
      <c r="O46" s="119"/>
      <c r="P46" s="119"/>
      <c r="Q46" s="119"/>
      <c r="R46" s="119"/>
      <c r="S46" s="119"/>
      <c r="T46" s="119"/>
      <c r="U46" s="119"/>
      <c r="V46" s="119"/>
      <c r="W46" s="119"/>
      <c r="X46" s="119"/>
      <c r="Y46" s="119"/>
      <c r="Z46" s="119"/>
      <c r="AA46" s="119"/>
      <c r="AB46" s="119"/>
      <c r="AC46" s="119"/>
    </row>
    <row r="47" spans="2:29" s="121" customFormat="1" ht="27" customHeight="1" x14ac:dyDescent="0.2">
      <c r="B47" s="3163" t="s">
        <v>53</v>
      </c>
      <c r="C47" s="3167" t="s">
        <v>2582</v>
      </c>
      <c r="D47" s="3168"/>
      <c r="E47" s="3168"/>
      <c r="F47" s="3169"/>
      <c r="G47" s="3164"/>
    </row>
    <row r="48" spans="2:29" s="121" customFormat="1" ht="27" customHeight="1" x14ac:dyDescent="0.2">
      <c r="B48" s="3163" t="s">
        <v>2583</v>
      </c>
      <c r="C48" s="3167" t="s">
        <v>54</v>
      </c>
      <c r="D48" s="3168"/>
      <c r="E48" s="3168"/>
      <c r="F48" s="3169"/>
      <c r="G48" s="320">
        <v>35792.173470781177</v>
      </c>
    </row>
    <row r="49" spans="2:29" s="121" customFormat="1" ht="36.75" customHeight="1" x14ac:dyDescent="0.2">
      <c r="B49" s="3163" t="s">
        <v>2584</v>
      </c>
      <c r="C49" s="3167" t="s">
        <v>2585</v>
      </c>
      <c r="D49" s="3168"/>
      <c r="E49" s="3168"/>
      <c r="F49" s="3169"/>
      <c r="G49" s="320">
        <v>34567</v>
      </c>
    </row>
    <row r="50" spans="2:29" s="121" customFormat="1" ht="27.75" customHeight="1" x14ac:dyDescent="0.2">
      <c r="B50" s="3163" t="s">
        <v>2586</v>
      </c>
      <c r="C50" s="3167" t="s">
        <v>2587</v>
      </c>
      <c r="D50" s="3168"/>
      <c r="E50" s="3168"/>
      <c r="F50" s="3169"/>
      <c r="G50" s="320">
        <v>57395.4</v>
      </c>
    </row>
    <row r="51" spans="2:29" s="121" customFormat="1" ht="30.75" customHeight="1" x14ac:dyDescent="0.2">
      <c r="B51" s="3163" t="s">
        <v>2588</v>
      </c>
      <c r="C51" s="3167" t="s">
        <v>2589</v>
      </c>
      <c r="D51" s="3168"/>
      <c r="E51" s="3168"/>
      <c r="F51" s="3169"/>
      <c r="G51" s="320">
        <v>63804</v>
      </c>
    </row>
    <row r="52" spans="2:29" s="21" customFormat="1" ht="20.25" customHeight="1" x14ac:dyDescent="0.25">
      <c r="B52" s="316"/>
      <c r="C52" s="326" t="s">
        <v>55</v>
      </c>
      <c r="D52" s="323"/>
      <c r="E52" s="324"/>
      <c r="F52" s="325"/>
      <c r="G52" s="31">
        <f>SUM(G45:G51)</f>
        <v>907402.04288640479</v>
      </c>
      <c r="H52" s="26"/>
      <c r="I52" s="119"/>
      <c r="J52" s="119"/>
      <c r="K52" s="119"/>
      <c r="L52" s="119"/>
      <c r="M52" s="119"/>
      <c r="N52" s="119"/>
      <c r="O52" s="119"/>
      <c r="P52" s="119"/>
      <c r="Q52" s="119"/>
      <c r="R52" s="119"/>
      <c r="S52" s="119"/>
      <c r="T52" s="119"/>
      <c r="U52" s="119"/>
      <c r="V52" s="119"/>
      <c r="W52" s="119"/>
      <c r="X52" s="119"/>
      <c r="Y52" s="119"/>
      <c r="Z52" s="119"/>
      <c r="AA52" s="119"/>
      <c r="AB52" s="119"/>
      <c r="AC52" s="119"/>
    </row>
    <row r="53" spans="2:29" s="21" customFormat="1" ht="20.25" customHeight="1" x14ac:dyDescent="0.25">
      <c r="B53" s="30"/>
      <c r="C53" s="29" t="s">
        <v>56</v>
      </c>
      <c r="D53" s="318"/>
      <c r="E53" s="319"/>
      <c r="F53" s="317"/>
      <c r="G53" s="320">
        <f>G52*0.22</f>
        <v>199628.44943500907</v>
      </c>
      <c r="H53" s="26"/>
      <c r="I53" s="119"/>
      <c r="J53" s="119"/>
      <c r="K53" s="119"/>
      <c r="L53" s="119"/>
      <c r="M53" s="119"/>
      <c r="N53" s="119"/>
      <c r="O53" s="119"/>
      <c r="P53" s="119"/>
      <c r="Q53" s="119"/>
      <c r="R53" s="119"/>
      <c r="S53" s="119"/>
      <c r="T53" s="119"/>
      <c r="U53" s="119"/>
      <c r="V53" s="119"/>
      <c r="W53" s="119"/>
      <c r="X53" s="119"/>
      <c r="Y53" s="119"/>
      <c r="Z53" s="119"/>
      <c r="AA53" s="119"/>
      <c r="AB53" s="119"/>
      <c r="AC53" s="119"/>
    </row>
    <row r="54" spans="2:29" s="21" customFormat="1" ht="20.25" customHeight="1" x14ac:dyDescent="0.25">
      <c r="B54" s="28"/>
      <c r="C54" s="326" t="s">
        <v>57</v>
      </c>
      <c r="D54" s="323"/>
      <c r="E54" s="324"/>
      <c r="F54" s="325"/>
      <c r="G54" s="27">
        <f>G52+G53</f>
        <v>1107030.4923214139</v>
      </c>
      <c r="H54" s="26"/>
      <c r="I54" s="119"/>
      <c r="J54" s="119"/>
      <c r="K54" s="119"/>
      <c r="L54" s="119"/>
      <c r="M54" s="119"/>
      <c r="N54" s="119"/>
      <c r="O54" s="119"/>
      <c r="P54" s="119"/>
      <c r="Q54" s="119"/>
      <c r="R54" s="119"/>
      <c r="S54" s="119"/>
      <c r="T54" s="119"/>
      <c r="U54" s="119"/>
      <c r="V54" s="119"/>
      <c r="W54" s="119"/>
      <c r="X54" s="119"/>
      <c r="Y54" s="119"/>
      <c r="Z54" s="119"/>
      <c r="AA54" s="119"/>
      <c r="AB54" s="119"/>
      <c r="AC54" s="119"/>
    </row>
    <row r="56" spans="2:29" x14ac:dyDescent="0.2">
      <c r="B56" s="139" t="s">
        <v>58</v>
      </c>
      <c r="C56" s="188"/>
      <c r="D56" s="189"/>
      <c r="E56" s="190"/>
      <c r="F56" s="191"/>
      <c r="G56" s="187"/>
      <c r="H56" s="122"/>
      <c r="I56" s="121"/>
      <c r="J56" s="121"/>
      <c r="K56" s="121"/>
      <c r="L56" s="121"/>
      <c r="M56" s="121"/>
      <c r="N56" s="121"/>
      <c r="O56" s="121"/>
      <c r="P56" s="121"/>
      <c r="Q56" s="121"/>
      <c r="R56" s="121"/>
      <c r="S56" s="121"/>
      <c r="T56" s="121"/>
      <c r="U56" s="121"/>
      <c r="V56" s="121"/>
      <c r="W56" s="121"/>
      <c r="X56" s="121"/>
      <c r="Y56" s="121"/>
      <c r="Z56" s="121"/>
      <c r="AA56" s="121"/>
      <c r="AB56" s="121"/>
      <c r="AC56" s="121"/>
    </row>
  </sheetData>
  <mergeCells count="24">
    <mergeCell ref="C36:F36"/>
    <mergeCell ref="C39:F39"/>
    <mergeCell ref="C42:F42"/>
    <mergeCell ref="C43:F43"/>
    <mergeCell ref="C38:F38"/>
    <mergeCell ref="C31:F31"/>
    <mergeCell ref="C35:F35"/>
    <mergeCell ref="C20:F20"/>
    <mergeCell ref="C14:F14"/>
    <mergeCell ref="C18:F18"/>
    <mergeCell ref="C25:F25"/>
    <mergeCell ref="C27:F27"/>
    <mergeCell ref="C28:F28"/>
    <mergeCell ref="C32:F32"/>
    <mergeCell ref="D10:F10"/>
    <mergeCell ref="C13:F13"/>
    <mergeCell ref="C17:F17"/>
    <mergeCell ref="C21:F21"/>
    <mergeCell ref="C24:F24"/>
    <mergeCell ref="C50:F50"/>
    <mergeCell ref="C47:F47"/>
    <mergeCell ref="C48:F48"/>
    <mergeCell ref="C49:F49"/>
    <mergeCell ref="C51:F51"/>
  </mergeCells>
  <phoneticPr fontId="40" type="noConversion"/>
  <pageMargins left="0.25" right="0.25" top="0.75" bottom="0.75" header="0.3" footer="0.3"/>
  <pageSetup paperSize="9" scale="66" orientation="portrait" r:id="rId1"/>
  <headerFooter alignWithMargins="0">
    <oddFooter>&amp;C&amp;8&amp;P/&amp;N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F29DA-B2F6-485B-B808-CEFE730637E8}">
  <sheetPr codeName="Sheet50">
    <tabColor rgb="FFFFC000"/>
  </sheetPr>
  <dimension ref="A2:J171"/>
  <sheetViews>
    <sheetView showZeros="0" topLeftCell="A40" zoomScale="110" zoomScaleNormal="110" workbookViewId="0">
      <selection activeCell="D51" sqref="D51"/>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425781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10" ht="16.5" customHeight="1" x14ac:dyDescent="0.2">
      <c r="B2" s="137"/>
      <c r="C2" s="108" t="s">
        <v>59</v>
      </c>
      <c r="D2" s="155"/>
      <c r="E2" s="156"/>
      <c r="F2" s="157"/>
      <c r="G2" s="363" t="s">
        <v>60</v>
      </c>
      <c r="H2" s="122"/>
    </row>
    <row r="4" spans="1:10" s="119" customFormat="1" x14ac:dyDescent="0.2">
      <c r="B4" s="146" t="s">
        <v>7</v>
      </c>
      <c r="C4" s="330" t="s">
        <v>63</v>
      </c>
      <c r="D4" s="158"/>
      <c r="E4" s="159"/>
      <c r="F4" s="160"/>
      <c r="G4" s="161"/>
    </row>
    <row r="5" spans="1:10" s="119" customFormat="1" ht="12" customHeight="1" x14ac:dyDescent="0.2">
      <c r="B5" s="145"/>
      <c r="C5" s="162"/>
      <c r="D5" s="163"/>
      <c r="E5" s="164"/>
      <c r="F5" s="165"/>
      <c r="G5" s="166"/>
    </row>
    <row r="6" spans="1:10" s="125" customFormat="1" ht="21" customHeight="1" x14ac:dyDescent="0.2">
      <c r="B6" s="328" t="s">
        <v>80</v>
      </c>
      <c r="C6" s="473" t="s">
        <v>820</v>
      </c>
      <c r="D6" s="158"/>
      <c r="E6" s="159"/>
      <c r="F6" s="160"/>
      <c r="G6" s="161"/>
      <c r="H6" s="124"/>
      <c r="I6" s="124"/>
      <c r="J6" s="124"/>
    </row>
    <row r="7" spans="1:10" s="125" customFormat="1" ht="14.25" x14ac:dyDescent="0.2">
      <c r="B7" s="145"/>
      <c r="C7" s="162"/>
      <c r="D7" s="163"/>
      <c r="E7" s="164"/>
      <c r="F7" s="165"/>
      <c r="G7" s="167"/>
      <c r="H7" s="124"/>
      <c r="I7" s="124"/>
      <c r="J7" s="124"/>
    </row>
    <row r="8" spans="1:10" s="139" customFormat="1" ht="18" customHeight="1" x14ac:dyDescent="0.2">
      <c r="A8" s="140"/>
      <c r="B8" s="143" t="s">
        <v>1</v>
      </c>
      <c r="C8" s="168"/>
      <c r="D8" s="170"/>
      <c r="E8" s="170"/>
      <c r="F8" s="170"/>
      <c r="G8" s="169"/>
    </row>
    <row r="9" spans="1:10" s="139" customFormat="1" ht="18" customHeight="1" x14ac:dyDescent="0.25">
      <c r="A9" s="141"/>
      <c r="B9" s="144" t="s">
        <v>2</v>
      </c>
      <c r="C9" s="171"/>
      <c r="D9" s="172"/>
      <c r="E9" s="173"/>
      <c r="F9" s="173"/>
      <c r="G9" s="172"/>
    </row>
    <row r="10" spans="1:10" s="139" customFormat="1" ht="18" customHeight="1" x14ac:dyDescent="0.2">
      <c r="A10" s="140"/>
      <c r="B10" s="143" t="s">
        <v>3</v>
      </c>
      <c r="C10" s="168"/>
      <c r="D10" s="170"/>
      <c r="E10" s="170"/>
      <c r="F10" s="170"/>
      <c r="G10" s="169"/>
    </row>
    <row r="11" spans="1:10" s="139" customFormat="1" ht="18" customHeight="1" x14ac:dyDescent="0.25">
      <c r="A11" s="141"/>
      <c r="B11" s="144" t="s">
        <v>4</v>
      </c>
      <c r="C11" s="171"/>
      <c r="D11" s="173"/>
      <c r="E11" s="173"/>
      <c r="F11" s="173"/>
      <c r="G11" s="172"/>
    </row>
    <row r="12" spans="1:10" s="125" customFormat="1" ht="14.25" x14ac:dyDescent="0.2">
      <c r="B12" s="142"/>
      <c r="C12" s="174"/>
      <c r="D12" s="175"/>
      <c r="E12" s="176"/>
      <c r="F12" s="177"/>
      <c r="G12" s="178"/>
      <c r="H12" s="124"/>
      <c r="I12" s="124"/>
      <c r="J12" s="124"/>
    </row>
    <row r="13" spans="1:10" s="125" customFormat="1" ht="18.75" customHeight="1" x14ac:dyDescent="0.2">
      <c r="B13" s="138"/>
      <c r="C13" s="334" t="s">
        <v>82</v>
      </c>
      <c r="D13" s="179"/>
      <c r="E13" s="180"/>
      <c r="F13" s="181"/>
      <c r="G13" s="182"/>
      <c r="H13" s="124"/>
      <c r="I13" s="124"/>
      <c r="J13" s="124"/>
    </row>
    <row r="14" spans="1:10" s="126" customFormat="1" ht="18.75" customHeight="1" x14ac:dyDescent="0.2">
      <c r="B14" s="315" t="s">
        <v>83</v>
      </c>
      <c r="C14" s="335" t="s">
        <v>84</v>
      </c>
      <c r="D14" s="336"/>
      <c r="E14" s="337"/>
      <c r="F14" s="338"/>
      <c r="G14" s="339" t="s">
        <v>64</v>
      </c>
    </row>
    <row r="15" spans="1:10" s="331" customFormat="1" ht="18.75" customHeight="1" x14ac:dyDescent="0.25">
      <c r="B15" s="332" t="s">
        <v>10</v>
      </c>
      <c r="C15" s="340" t="s">
        <v>85</v>
      </c>
      <c r="D15" s="341"/>
      <c r="E15" s="342"/>
      <c r="F15" s="343"/>
      <c r="G15" s="1954">
        <f>G36</f>
        <v>0</v>
      </c>
    </row>
    <row r="16" spans="1:10" s="331" customFormat="1" ht="18.75" customHeight="1" x14ac:dyDescent="0.25">
      <c r="B16" s="332" t="s">
        <v>12</v>
      </c>
      <c r="C16" s="340" t="s">
        <v>86</v>
      </c>
      <c r="D16" s="341"/>
      <c r="E16" s="342"/>
      <c r="F16" s="343"/>
      <c r="G16" s="1954">
        <f>G70</f>
        <v>0</v>
      </c>
    </row>
    <row r="17" spans="2:7" s="331" customFormat="1" ht="18.75" customHeight="1" x14ac:dyDescent="0.25">
      <c r="B17" s="332" t="s">
        <v>17</v>
      </c>
      <c r="C17" s="340" t="s">
        <v>87</v>
      </c>
      <c r="D17" s="341"/>
      <c r="E17" s="342"/>
      <c r="F17" s="343"/>
      <c r="G17" s="1954">
        <f>G171</f>
        <v>0</v>
      </c>
    </row>
    <row r="18" spans="2:7" s="331" customFormat="1" ht="18.75" customHeight="1" x14ac:dyDescent="0.25">
      <c r="B18" s="333"/>
      <c r="C18" s="344" t="s">
        <v>88</v>
      </c>
      <c r="D18" s="345"/>
      <c r="E18" s="346"/>
      <c r="F18" s="347"/>
      <c r="G18" s="1955">
        <f>SUM(G15:G17)</f>
        <v>0</v>
      </c>
    </row>
    <row r="19" spans="2:7" x14ac:dyDescent="0.2">
      <c r="B19" s="127"/>
      <c r="C19" s="183"/>
      <c r="D19" s="184"/>
      <c r="E19" s="461"/>
      <c r="F19" s="462"/>
    </row>
    <row r="20" spans="2:7" x14ac:dyDescent="0.2">
      <c r="G20" s="466"/>
    </row>
    <row r="21" spans="2:7" ht="24" x14ac:dyDescent="0.2">
      <c r="B21" s="128" t="s">
        <v>83</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ht="27.75" customHeight="1" x14ac:dyDescent="0.2">
      <c r="B24" s="129">
        <v>1</v>
      </c>
      <c r="C24" s="206" t="s">
        <v>94</v>
      </c>
      <c r="D24" s="207" t="s">
        <v>95</v>
      </c>
      <c r="E24" s="353">
        <v>1357</v>
      </c>
      <c r="F24" s="467">
        <v>0</v>
      </c>
      <c r="G24" s="352">
        <f>E24*F24</f>
        <v>0</v>
      </c>
    </row>
    <row r="25" spans="2:7" x14ac:dyDescent="0.2">
      <c r="B25" s="129">
        <v>2</v>
      </c>
      <c r="C25" s="206" t="s">
        <v>96</v>
      </c>
      <c r="D25" s="207" t="s">
        <v>95</v>
      </c>
      <c r="E25" s="353">
        <v>1357</v>
      </c>
      <c r="F25" s="467">
        <v>0</v>
      </c>
      <c r="G25" s="352">
        <f>E25*F25</f>
        <v>0</v>
      </c>
    </row>
    <row r="26" spans="2:7" ht="53.25" customHeight="1" x14ac:dyDescent="0.2">
      <c r="B26" s="129">
        <v>3</v>
      </c>
      <c r="C26" s="206" t="s">
        <v>97</v>
      </c>
      <c r="D26" s="207" t="s">
        <v>98</v>
      </c>
      <c r="E26" s="353">
        <v>1</v>
      </c>
      <c r="F26" s="467">
        <v>0</v>
      </c>
      <c r="G26" s="352">
        <f t="shared" ref="G26:G35" si="0">E26*F26</f>
        <v>0</v>
      </c>
    </row>
    <row r="27" spans="2:7" ht="127.5" customHeight="1" x14ac:dyDescent="0.2">
      <c r="B27" s="129">
        <v>4</v>
      </c>
      <c r="C27" s="208" t="s">
        <v>99</v>
      </c>
      <c r="D27" s="209" t="s">
        <v>98</v>
      </c>
      <c r="E27" s="353">
        <v>1</v>
      </c>
      <c r="F27" s="467">
        <v>0</v>
      </c>
      <c r="G27" s="352">
        <f t="shared" si="0"/>
        <v>0</v>
      </c>
    </row>
    <row r="28" spans="2:7" ht="30.75" customHeight="1" x14ac:dyDescent="0.2">
      <c r="B28" s="129">
        <v>5</v>
      </c>
      <c r="C28" s="208" t="s">
        <v>100</v>
      </c>
      <c r="D28" s="210" t="s">
        <v>98</v>
      </c>
      <c r="E28" s="353">
        <v>1</v>
      </c>
      <c r="F28" s="467">
        <v>0</v>
      </c>
      <c r="G28" s="352">
        <f t="shared" si="0"/>
        <v>0</v>
      </c>
    </row>
    <row r="29" spans="2:7" ht="27" customHeight="1" x14ac:dyDescent="0.2">
      <c r="B29" s="129">
        <v>6</v>
      </c>
      <c r="C29" s="211" t="s">
        <v>101</v>
      </c>
      <c r="D29" s="210" t="s">
        <v>98</v>
      </c>
      <c r="E29" s="353">
        <v>1</v>
      </c>
      <c r="F29" s="467">
        <v>0</v>
      </c>
      <c r="G29" s="352">
        <f t="shared" si="0"/>
        <v>0</v>
      </c>
    </row>
    <row r="30" spans="2:7" ht="52.5" customHeight="1" x14ac:dyDescent="0.2">
      <c r="B30" s="129">
        <v>7</v>
      </c>
      <c r="C30" s="211" t="s">
        <v>102</v>
      </c>
      <c r="D30" s="210" t="s">
        <v>98</v>
      </c>
      <c r="E30" s="353">
        <v>1</v>
      </c>
      <c r="F30" s="467">
        <v>0</v>
      </c>
      <c r="G30" s="352">
        <f t="shared" si="0"/>
        <v>0</v>
      </c>
    </row>
    <row r="31" spans="2:7" ht="40.5" customHeight="1" x14ac:dyDescent="0.2">
      <c r="B31" s="129">
        <v>8</v>
      </c>
      <c r="C31" s="3165" t="s">
        <v>2590</v>
      </c>
      <c r="D31" s="210" t="s">
        <v>95</v>
      </c>
      <c r="E31" s="353">
        <v>1499</v>
      </c>
      <c r="F31" s="467">
        <v>0</v>
      </c>
      <c r="G31" s="352">
        <f>E31*F31</f>
        <v>0</v>
      </c>
    </row>
    <row r="32" spans="2:7" ht="27.75" customHeight="1" x14ac:dyDescent="0.2">
      <c r="B32" s="129">
        <v>9</v>
      </c>
      <c r="C32" s="3165" t="s">
        <v>2591</v>
      </c>
      <c r="D32" s="210" t="s">
        <v>98</v>
      </c>
      <c r="E32" s="353">
        <v>1</v>
      </c>
      <c r="F32" s="467">
        <v>0</v>
      </c>
      <c r="G32" s="352">
        <f t="shared" si="0"/>
        <v>0</v>
      </c>
    </row>
    <row r="33" spans="2:10" ht="14.25" customHeight="1" x14ac:dyDescent="0.2">
      <c r="B33" s="129">
        <v>10</v>
      </c>
      <c r="C33" s="211" t="s">
        <v>105</v>
      </c>
      <c r="D33" s="210" t="s">
        <v>98</v>
      </c>
      <c r="E33" s="353">
        <v>1</v>
      </c>
      <c r="F33" s="467">
        <v>0</v>
      </c>
      <c r="G33" s="352">
        <f t="shared" si="0"/>
        <v>0</v>
      </c>
    </row>
    <row r="34" spans="2:10" ht="38.25" customHeight="1" x14ac:dyDescent="0.2">
      <c r="B34" s="129">
        <v>11</v>
      </c>
      <c r="C34" s="212" t="s">
        <v>106</v>
      </c>
      <c r="D34" s="210" t="s">
        <v>98</v>
      </c>
      <c r="E34" s="468">
        <v>1</v>
      </c>
      <c r="F34" s="467">
        <v>0</v>
      </c>
      <c r="G34" s="352">
        <f t="shared" si="0"/>
        <v>0</v>
      </c>
    </row>
    <row r="35" spans="2:10" ht="39.75" customHeight="1" x14ac:dyDescent="0.2">
      <c r="B35" s="129">
        <v>12</v>
      </c>
      <c r="C35" s="307" t="s">
        <v>107</v>
      </c>
      <c r="D35" s="210" t="s">
        <v>98</v>
      </c>
      <c r="E35" s="468">
        <v>1</v>
      </c>
      <c r="F35" s="467">
        <v>0</v>
      </c>
      <c r="G35" s="352">
        <f t="shared" si="0"/>
        <v>0</v>
      </c>
    </row>
    <row r="36" spans="2:10" s="147" customFormat="1" ht="23.25" customHeight="1" x14ac:dyDescent="0.25">
      <c r="B36" s="327" t="s">
        <v>10</v>
      </c>
      <c r="C36" s="214" t="s">
        <v>108</v>
      </c>
      <c r="D36" s="214"/>
      <c r="E36" s="215"/>
      <c r="F36" s="216"/>
      <c r="G36" s="290">
        <f>SUM(G24:G35)</f>
        <v>0</v>
      </c>
    </row>
    <row r="37" spans="2:10" x14ac:dyDescent="0.2">
      <c r="B37" s="129"/>
      <c r="C37" s="197"/>
      <c r="D37" s="198"/>
      <c r="E37" s="353"/>
      <c r="F37" s="358"/>
      <c r="G37" s="350"/>
    </row>
    <row r="38" spans="2:10" ht="24" x14ac:dyDescent="0.2">
      <c r="B38" s="128" t="s">
        <v>83</v>
      </c>
      <c r="C38" s="192" t="s">
        <v>89</v>
      </c>
      <c r="D38" s="193" t="s">
        <v>90</v>
      </c>
      <c r="E38" s="194" t="s">
        <v>91</v>
      </c>
      <c r="F38" s="195" t="s">
        <v>92</v>
      </c>
      <c r="G38" s="196" t="s">
        <v>93</v>
      </c>
    </row>
    <row r="39" spans="2:10" x14ac:dyDescent="0.2">
      <c r="B39" s="129"/>
      <c r="C39" s="217"/>
      <c r="D39" s="207"/>
      <c r="E39" s="353"/>
      <c r="F39" s="358"/>
      <c r="G39" s="350"/>
    </row>
    <row r="40" spans="2:10" s="295" customFormat="1" ht="20.25" x14ac:dyDescent="0.3">
      <c r="B40" s="303" t="s">
        <v>12</v>
      </c>
      <c r="C40" s="304" t="s">
        <v>109</v>
      </c>
      <c r="D40" s="298"/>
      <c r="E40" s="299"/>
      <c r="F40" s="300"/>
      <c r="G40" s="301"/>
    </row>
    <row r="41" spans="2:10" s="130" customFormat="1" ht="71.25" customHeight="1" x14ac:dyDescent="0.2">
      <c r="B41" s="3184" t="s">
        <v>110</v>
      </c>
      <c r="C41" s="3185"/>
      <c r="D41" s="3185"/>
      <c r="E41" s="3185"/>
      <c r="F41" s="3185"/>
      <c r="G41" s="3186"/>
    </row>
    <row r="42" spans="2:10" ht="27.75" customHeight="1" x14ac:dyDescent="0.2">
      <c r="B42" s="131">
        <v>1</v>
      </c>
      <c r="C42" s="206" t="s">
        <v>111</v>
      </c>
      <c r="D42" s="207" t="s">
        <v>112</v>
      </c>
      <c r="E42" s="353">
        <v>29.98</v>
      </c>
      <c r="F42" s="467">
        <v>0</v>
      </c>
      <c r="G42" s="1956">
        <f>E42*F42</f>
        <v>0</v>
      </c>
    </row>
    <row r="43" spans="2:10" ht="39" customHeight="1" x14ac:dyDescent="0.2">
      <c r="B43" s="131">
        <v>2</v>
      </c>
      <c r="C43" s="206" t="s">
        <v>113</v>
      </c>
      <c r="D43" s="207" t="s">
        <v>95</v>
      </c>
      <c r="E43" s="353">
        <v>749.5</v>
      </c>
      <c r="F43" s="467">
        <v>0</v>
      </c>
      <c r="G43" s="352">
        <f t="shared" ref="G43:G66" si="1">E43*F43</f>
        <v>0</v>
      </c>
    </row>
    <row r="44" spans="2:10" ht="36" x14ac:dyDescent="0.2">
      <c r="B44" s="131">
        <v>3</v>
      </c>
      <c r="C44" s="206" t="s">
        <v>114</v>
      </c>
      <c r="D44" s="209" t="s">
        <v>112</v>
      </c>
      <c r="E44" s="353">
        <v>236.09</v>
      </c>
      <c r="F44" s="467">
        <v>0</v>
      </c>
      <c r="G44" s="352">
        <f t="shared" si="1"/>
        <v>0</v>
      </c>
      <c r="I44" s="134"/>
      <c r="J44" s="134"/>
    </row>
    <row r="45" spans="2:10" ht="39.75" customHeight="1" x14ac:dyDescent="0.2">
      <c r="B45" s="131">
        <v>4</v>
      </c>
      <c r="C45" s="206" t="s">
        <v>115</v>
      </c>
      <c r="D45" s="209" t="s">
        <v>112</v>
      </c>
      <c r="E45" s="353">
        <v>1337.86</v>
      </c>
      <c r="F45" s="467">
        <v>0</v>
      </c>
      <c r="G45" s="352">
        <f t="shared" si="1"/>
        <v>0</v>
      </c>
    </row>
    <row r="46" spans="2:10" ht="29.25" customHeight="1" x14ac:dyDescent="0.2">
      <c r="B46" s="131">
        <v>5</v>
      </c>
      <c r="C46" s="311" t="s">
        <v>116</v>
      </c>
      <c r="D46" s="219" t="s">
        <v>117</v>
      </c>
      <c r="E46" s="471">
        <v>1124.25</v>
      </c>
      <c r="F46" s="467">
        <v>0</v>
      </c>
      <c r="G46" s="352">
        <f t="shared" si="1"/>
        <v>0</v>
      </c>
    </row>
    <row r="47" spans="2:10" ht="29.25" customHeight="1" x14ac:dyDescent="0.2">
      <c r="B47" s="131">
        <v>6</v>
      </c>
      <c r="C47" s="206" t="s">
        <v>118</v>
      </c>
      <c r="D47" s="209" t="s">
        <v>117</v>
      </c>
      <c r="E47" s="353">
        <v>1049.3</v>
      </c>
      <c r="F47" s="467">
        <v>0</v>
      </c>
      <c r="G47" s="352">
        <f t="shared" si="1"/>
        <v>0</v>
      </c>
    </row>
    <row r="48" spans="2:10" ht="24" x14ac:dyDescent="0.2">
      <c r="B48" s="131">
        <v>8</v>
      </c>
      <c r="C48" s="206" t="s">
        <v>119</v>
      </c>
      <c r="D48" s="209" t="s">
        <v>112</v>
      </c>
      <c r="E48" s="353">
        <v>1154.23</v>
      </c>
      <c r="F48" s="467">
        <v>0</v>
      </c>
      <c r="G48" s="352">
        <f t="shared" si="1"/>
        <v>0</v>
      </c>
    </row>
    <row r="49" spans="2:7" ht="40.5" customHeight="1" x14ac:dyDescent="0.2">
      <c r="B49" s="131">
        <v>9</v>
      </c>
      <c r="C49" s="208" t="s">
        <v>120</v>
      </c>
      <c r="D49" s="209" t="s">
        <v>112</v>
      </c>
      <c r="E49" s="353">
        <v>139.72</v>
      </c>
      <c r="F49" s="467">
        <v>0</v>
      </c>
      <c r="G49" s="352">
        <f t="shared" si="1"/>
        <v>0</v>
      </c>
    </row>
    <row r="50" spans="2:7" s="130" customFormat="1" ht="39" customHeight="1" x14ac:dyDescent="0.2">
      <c r="B50" s="131">
        <v>10</v>
      </c>
      <c r="C50" s="314" t="s">
        <v>121</v>
      </c>
      <c r="D50" s="210" t="s">
        <v>112</v>
      </c>
      <c r="E50" s="353">
        <v>280</v>
      </c>
      <c r="F50" s="467">
        <v>0</v>
      </c>
      <c r="G50" s="352">
        <f t="shared" si="1"/>
        <v>0</v>
      </c>
    </row>
    <row r="51" spans="2:7" s="147" customFormat="1" ht="54" customHeight="1" x14ac:dyDescent="0.25">
      <c r="B51" s="3187">
        <v>11</v>
      </c>
      <c r="C51" s="308" t="s">
        <v>122</v>
      </c>
      <c r="D51" s="210"/>
      <c r="E51" s="353">
        <v>0</v>
      </c>
      <c r="F51" s="467"/>
      <c r="G51" s="352"/>
    </row>
    <row r="52" spans="2:7" s="147" customFormat="1" ht="15" customHeight="1" x14ac:dyDescent="0.25">
      <c r="B52" s="3188"/>
      <c r="C52" s="308" t="s">
        <v>124</v>
      </c>
      <c r="D52" s="207" t="s">
        <v>95</v>
      </c>
      <c r="E52" s="353">
        <v>20</v>
      </c>
      <c r="F52" s="467">
        <v>0</v>
      </c>
      <c r="G52" s="352">
        <f>E52*F52</f>
        <v>0</v>
      </c>
    </row>
    <row r="53" spans="2:7" ht="25.5" customHeight="1" x14ac:dyDescent="0.2">
      <c r="B53" s="131">
        <v>12</v>
      </c>
      <c r="C53" s="206" t="s">
        <v>125</v>
      </c>
      <c r="D53" s="209" t="s">
        <v>95</v>
      </c>
      <c r="E53" s="353">
        <v>1000</v>
      </c>
      <c r="F53" s="467">
        <v>0</v>
      </c>
      <c r="G53" s="352">
        <f t="shared" si="1"/>
        <v>0</v>
      </c>
    </row>
    <row r="54" spans="2:7" ht="16.5" customHeight="1" x14ac:dyDescent="0.2">
      <c r="B54" s="131">
        <v>13</v>
      </c>
      <c r="C54" s="206" t="s">
        <v>126</v>
      </c>
      <c r="D54" s="207" t="s">
        <v>117</v>
      </c>
      <c r="E54" s="353">
        <v>1000</v>
      </c>
      <c r="F54" s="467">
        <v>0</v>
      </c>
      <c r="G54" s="352">
        <f t="shared" si="1"/>
        <v>0</v>
      </c>
    </row>
    <row r="55" spans="2:7" ht="41.25" customHeight="1" x14ac:dyDescent="0.2">
      <c r="B55" s="131">
        <v>14</v>
      </c>
      <c r="C55" s="206" t="s">
        <v>127</v>
      </c>
      <c r="D55" s="207" t="s">
        <v>117</v>
      </c>
      <c r="E55" s="353">
        <v>1000</v>
      </c>
      <c r="F55" s="467">
        <v>0</v>
      </c>
      <c r="G55" s="352">
        <f t="shared" si="1"/>
        <v>0</v>
      </c>
    </row>
    <row r="56" spans="2:7" ht="51.75" customHeight="1" x14ac:dyDescent="0.2">
      <c r="B56" s="312" t="s">
        <v>128</v>
      </c>
      <c r="C56" s="208" t="s">
        <v>129</v>
      </c>
      <c r="D56" s="209" t="s">
        <v>117</v>
      </c>
      <c r="E56" s="353">
        <v>1000</v>
      </c>
      <c r="F56" s="467">
        <v>0</v>
      </c>
      <c r="G56" s="352">
        <f t="shared" si="1"/>
        <v>0</v>
      </c>
    </row>
    <row r="57" spans="2:7" ht="64.5" customHeight="1" x14ac:dyDescent="0.2">
      <c r="B57" s="312" t="s">
        <v>130</v>
      </c>
      <c r="C57" s="208" t="s">
        <v>131</v>
      </c>
      <c r="D57" s="209" t="s">
        <v>117</v>
      </c>
      <c r="E57" s="353">
        <v>1400</v>
      </c>
      <c r="F57" s="467">
        <v>0</v>
      </c>
      <c r="G57" s="352">
        <f t="shared" si="1"/>
        <v>0</v>
      </c>
    </row>
    <row r="58" spans="2:7" ht="38.25" customHeight="1" x14ac:dyDescent="0.2">
      <c r="B58" s="131">
        <v>16</v>
      </c>
      <c r="C58" s="206" t="s">
        <v>132</v>
      </c>
      <c r="D58" s="207" t="s">
        <v>117</v>
      </c>
      <c r="E58" s="353">
        <v>400</v>
      </c>
      <c r="F58" s="467">
        <v>0</v>
      </c>
      <c r="G58" s="352">
        <f t="shared" si="1"/>
        <v>0</v>
      </c>
    </row>
    <row r="59" spans="2:7" ht="14.25" customHeight="1" x14ac:dyDescent="0.2">
      <c r="B59" s="131">
        <v>17</v>
      </c>
      <c r="C59" s="206" t="s">
        <v>133</v>
      </c>
      <c r="D59" s="209" t="s">
        <v>112</v>
      </c>
      <c r="E59" s="353">
        <v>29.98</v>
      </c>
      <c r="F59" s="467">
        <v>0</v>
      </c>
      <c r="G59" s="352">
        <f t="shared" si="1"/>
        <v>0</v>
      </c>
    </row>
    <row r="60" spans="2:7" ht="14.25" customHeight="1" x14ac:dyDescent="0.2">
      <c r="B60" s="131">
        <v>18</v>
      </c>
      <c r="C60" s="206" t="s">
        <v>134</v>
      </c>
      <c r="D60" s="209" t="s">
        <v>112</v>
      </c>
      <c r="E60" s="353">
        <v>1049.3</v>
      </c>
      <c r="F60" s="467">
        <v>0</v>
      </c>
      <c r="G60" s="352">
        <f t="shared" si="1"/>
        <v>0</v>
      </c>
    </row>
    <row r="61" spans="2:7" ht="15.75" customHeight="1" x14ac:dyDescent="0.2">
      <c r="B61" s="131">
        <v>19</v>
      </c>
      <c r="C61" s="206" t="s">
        <v>135</v>
      </c>
      <c r="D61" s="209" t="s">
        <v>112</v>
      </c>
      <c r="E61" s="353">
        <v>1049.3</v>
      </c>
      <c r="F61" s="467">
        <v>0</v>
      </c>
      <c r="G61" s="352">
        <f t="shared" si="1"/>
        <v>0</v>
      </c>
    </row>
    <row r="62" spans="2:7" ht="27.75" customHeight="1" x14ac:dyDescent="0.2">
      <c r="B62" s="131">
        <v>20</v>
      </c>
      <c r="C62" s="206" t="s">
        <v>136</v>
      </c>
      <c r="D62" s="209" t="s">
        <v>137</v>
      </c>
      <c r="E62" s="353">
        <v>200</v>
      </c>
      <c r="F62" s="467">
        <v>0</v>
      </c>
      <c r="G62" s="352">
        <f t="shared" si="1"/>
        <v>0</v>
      </c>
    </row>
    <row r="63" spans="2:7" ht="30" customHeight="1" x14ac:dyDescent="0.2">
      <c r="B63" s="131">
        <v>21</v>
      </c>
      <c r="C63" s="206" t="s">
        <v>138</v>
      </c>
      <c r="D63" s="207" t="s">
        <v>117</v>
      </c>
      <c r="E63" s="353">
        <v>500</v>
      </c>
      <c r="F63" s="467">
        <v>0</v>
      </c>
      <c r="G63" s="352">
        <f t="shared" si="1"/>
        <v>0</v>
      </c>
    </row>
    <row r="64" spans="2:7" ht="75" customHeight="1" x14ac:dyDescent="0.2">
      <c r="B64" s="312" t="s">
        <v>594</v>
      </c>
      <c r="C64" s="409" t="s">
        <v>146</v>
      </c>
      <c r="D64" s="207" t="s">
        <v>117</v>
      </c>
      <c r="E64" s="353">
        <v>100</v>
      </c>
      <c r="F64" s="467">
        <v>0</v>
      </c>
      <c r="G64" s="352">
        <f t="shared" si="1"/>
        <v>0</v>
      </c>
    </row>
    <row r="65" spans="1:7" ht="29.25" customHeight="1" x14ac:dyDescent="0.2">
      <c r="B65" s="411">
        <v>30</v>
      </c>
      <c r="C65" s="410" t="s">
        <v>151</v>
      </c>
      <c r="D65" s="222" t="s">
        <v>112</v>
      </c>
      <c r="E65" s="472">
        <v>3</v>
      </c>
      <c r="F65" s="467">
        <v>0</v>
      </c>
      <c r="G65" s="352">
        <f t="shared" si="1"/>
        <v>0</v>
      </c>
    </row>
    <row r="66" spans="1:7" ht="36.75" customHeight="1" x14ac:dyDescent="0.2">
      <c r="B66" s="131">
        <v>31</v>
      </c>
      <c r="C66" s="223" t="s">
        <v>152</v>
      </c>
      <c r="D66" s="222" t="s">
        <v>149</v>
      </c>
      <c r="E66" s="472">
        <v>25</v>
      </c>
      <c r="F66" s="467">
        <v>0</v>
      </c>
      <c r="G66" s="352">
        <f t="shared" si="1"/>
        <v>0</v>
      </c>
    </row>
    <row r="67" spans="1:7" ht="30" customHeight="1" x14ac:dyDescent="0.2">
      <c r="B67" s="411">
        <v>32</v>
      </c>
      <c r="C67" s="223" t="s">
        <v>153</v>
      </c>
      <c r="D67" s="222" t="s">
        <v>112</v>
      </c>
      <c r="E67" s="472">
        <v>5</v>
      </c>
      <c r="F67" s="467">
        <v>0</v>
      </c>
      <c r="G67" s="352">
        <f>E67*F67</f>
        <v>0</v>
      </c>
    </row>
    <row r="68" spans="1:7" ht="30" customHeight="1" x14ac:dyDescent="0.2">
      <c r="B68" s="411"/>
      <c r="C68" s="223" t="s">
        <v>154</v>
      </c>
      <c r="D68" s="222" t="s">
        <v>149</v>
      </c>
      <c r="E68" s="472">
        <v>1</v>
      </c>
      <c r="F68" s="467">
        <v>0</v>
      </c>
      <c r="G68" s="352">
        <f>E68*F68</f>
        <v>0</v>
      </c>
    </row>
    <row r="69" spans="1:7" ht="28.5" customHeight="1" x14ac:dyDescent="0.2">
      <c r="B69" s="131">
        <v>33</v>
      </c>
      <c r="C69" s="223" t="s">
        <v>155</v>
      </c>
      <c r="D69" s="222" t="s">
        <v>156</v>
      </c>
      <c r="E69" s="472">
        <v>10</v>
      </c>
      <c r="F69" s="467">
        <v>0</v>
      </c>
      <c r="G69" s="352">
        <f>E69*F69</f>
        <v>0</v>
      </c>
    </row>
    <row r="70" spans="1:7" s="147" customFormat="1" ht="21.75" customHeight="1" x14ac:dyDescent="0.25">
      <c r="B70" s="327" t="s">
        <v>12</v>
      </c>
      <c r="C70" s="214" t="s">
        <v>157</v>
      </c>
      <c r="D70" s="224"/>
      <c r="E70" s="215"/>
      <c r="F70" s="216"/>
      <c r="G70" s="290">
        <f>SUM(G42:G69)</f>
        <v>0</v>
      </c>
    </row>
    <row r="71" spans="1:7" x14ac:dyDescent="0.2">
      <c r="B71" s="129"/>
      <c r="C71" s="197"/>
      <c r="D71" s="198"/>
      <c r="E71" s="353"/>
      <c r="F71" s="358"/>
      <c r="G71" s="350"/>
    </row>
    <row r="72" spans="1:7" ht="24" x14ac:dyDescent="0.2">
      <c r="B72" s="128" t="s">
        <v>83</v>
      </c>
      <c r="C72" s="192" t="s">
        <v>89</v>
      </c>
      <c r="D72" s="192" t="s">
        <v>90</v>
      </c>
      <c r="E72" s="194" t="s">
        <v>91</v>
      </c>
      <c r="F72" s="195" t="s">
        <v>92</v>
      </c>
      <c r="G72" s="196" t="s">
        <v>93</v>
      </c>
    </row>
    <row r="73" spans="1:7" x14ac:dyDescent="0.2">
      <c r="B73" s="129"/>
      <c r="C73" s="197"/>
      <c r="D73" s="207"/>
      <c r="E73" s="353"/>
      <c r="F73" s="358"/>
      <c r="G73" s="350"/>
    </row>
    <row r="74" spans="1:7" s="295" customFormat="1" ht="20.25" x14ac:dyDescent="0.3">
      <c r="B74" s="296" t="s">
        <v>17</v>
      </c>
      <c r="C74" s="297" t="s">
        <v>158</v>
      </c>
      <c r="D74" s="298"/>
      <c r="E74" s="299"/>
      <c r="F74" s="300"/>
      <c r="G74" s="301"/>
    </row>
    <row r="75" spans="1:7" s="139" customFormat="1" ht="18" customHeight="1" x14ac:dyDescent="0.2">
      <c r="A75" s="140"/>
      <c r="B75" s="143" t="s">
        <v>1</v>
      </c>
      <c r="C75" s="168"/>
      <c r="D75" s="170"/>
      <c r="E75" s="170"/>
      <c r="F75" s="170"/>
      <c r="G75" s="169"/>
    </row>
    <row r="76" spans="1:7" s="139" customFormat="1" ht="18" customHeight="1" x14ac:dyDescent="0.25">
      <c r="A76" s="141"/>
      <c r="B76" s="144" t="s">
        <v>2</v>
      </c>
      <c r="C76" s="171"/>
      <c r="D76" s="172"/>
      <c r="E76" s="173"/>
      <c r="F76" s="173"/>
      <c r="G76" s="172"/>
    </row>
    <row r="77" spans="1:7" s="139" customFormat="1" ht="18" customHeight="1" x14ac:dyDescent="0.2">
      <c r="A77" s="140"/>
      <c r="B77" s="143" t="s">
        <v>3</v>
      </c>
      <c r="C77" s="168"/>
      <c r="D77" s="170"/>
      <c r="E77" s="170"/>
      <c r="F77" s="170"/>
      <c r="G77" s="169"/>
    </row>
    <row r="78" spans="1:7" s="139" customFormat="1" ht="18" customHeight="1" x14ac:dyDescent="0.25">
      <c r="A78" s="141"/>
      <c r="B78" s="144" t="s">
        <v>4</v>
      </c>
      <c r="C78" s="171"/>
      <c r="D78" s="173"/>
      <c r="E78" s="173"/>
      <c r="F78" s="173"/>
      <c r="G78" s="172"/>
    </row>
    <row r="79" spans="1:7" s="130" customFormat="1" ht="18.75" customHeight="1" x14ac:dyDescent="0.2">
      <c r="B79" s="3184" t="s">
        <v>159</v>
      </c>
      <c r="C79" s="3185"/>
      <c r="D79" s="3185"/>
      <c r="E79" s="3185"/>
      <c r="F79" s="3185"/>
      <c r="G79" s="3186"/>
    </row>
    <row r="80" spans="1:7" s="130" customFormat="1" ht="18.75" customHeight="1" x14ac:dyDescent="0.2">
      <c r="B80" s="3184" t="s">
        <v>160</v>
      </c>
      <c r="C80" s="3185"/>
      <c r="D80" s="3185"/>
      <c r="E80" s="3185"/>
      <c r="F80" s="3185"/>
      <c r="G80" s="3186"/>
    </row>
    <row r="81" spans="2:10" s="130" customFormat="1" ht="18.75" customHeight="1" x14ac:dyDescent="0.2">
      <c r="B81" s="3184" t="s">
        <v>161</v>
      </c>
      <c r="C81" s="3185"/>
      <c r="D81" s="3185"/>
      <c r="E81" s="3185"/>
      <c r="F81" s="3185"/>
      <c r="G81" s="3186"/>
    </row>
    <row r="82" spans="2:10" ht="30" customHeight="1" x14ac:dyDescent="0.2">
      <c r="B82" s="153">
        <v>1</v>
      </c>
      <c r="C82" s="225" t="s">
        <v>162</v>
      </c>
      <c r="D82" s="226"/>
      <c r="E82" s="353"/>
      <c r="F82" s="358"/>
      <c r="G82" s="350"/>
    </row>
    <row r="83" spans="2:10" s="147" customFormat="1" ht="18.75" customHeight="1" x14ac:dyDescent="0.25">
      <c r="B83" s="148"/>
      <c r="C83" s="151" t="s">
        <v>163</v>
      </c>
      <c r="D83" s="226" t="s">
        <v>95</v>
      </c>
      <c r="E83" s="353">
        <v>477.90000000000003</v>
      </c>
      <c r="F83" s="467">
        <v>0</v>
      </c>
      <c r="G83" s="352">
        <f t="shared" ref="G83:G95" si="2">E83*F83</f>
        <v>0</v>
      </c>
    </row>
    <row r="84" spans="2:10" s="147" customFormat="1" ht="24.75" customHeight="1" x14ac:dyDescent="0.25">
      <c r="B84" s="148"/>
      <c r="C84" s="151" t="s">
        <v>164</v>
      </c>
      <c r="D84" s="226" t="s">
        <v>95</v>
      </c>
      <c r="E84" s="353">
        <v>53.1</v>
      </c>
      <c r="F84" s="467">
        <v>0</v>
      </c>
      <c r="G84" s="352">
        <f t="shared" si="2"/>
        <v>0</v>
      </c>
      <c r="I84" s="490"/>
      <c r="J84" s="490"/>
    </row>
    <row r="85" spans="2:10" s="147" customFormat="1" ht="24.75" customHeight="1" x14ac:dyDescent="0.25">
      <c r="B85" s="148"/>
      <c r="C85" s="418" t="s">
        <v>821</v>
      </c>
      <c r="D85" s="226" t="s">
        <v>95</v>
      </c>
      <c r="E85" s="353">
        <v>535.6</v>
      </c>
      <c r="F85" s="467">
        <v>0</v>
      </c>
      <c r="G85" s="352">
        <f t="shared" si="2"/>
        <v>0</v>
      </c>
      <c r="I85" s="490"/>
      <c r="J85" s="490"/>
    </row>
    <row r="86" spans="2:10" s="147" customFormat="1" ht="24.75" customHeight="1" x14ac:dyDescent="0.25">
      <c r="B86" s="148"/>
      <c r="C86" s="418" t="s">
        <v>822</v>
      </c>
      <c r="D86" s="226" t="s">
        <v>95</v>
      </c>
      <c r="E86" s="353">
        <v>60.4</v>
      </c>
      <c r="F86" s="467">
        <v>0</v>
      </c>
      <c r="G86" s="352">
        <f t="shared" si="2"/>
        <v>0</v>
      </c>
      <c r="J86" s="490"/>
    </row>
    <row r="87" spans="2:10" s="147" customFormat="1" ht="19.5" customHeight="1" x14ac:dyDescent="0.25">
      <c r="B87" s="148"/>
      <c r="C87" s="151" t="s">
        <v>823</v>
      </c>
      <c r="D87" s="226" t="s">
        <v>95</v>
      </c>
      <c r="E87" s="353">
        <v>207</v>
      </c>
      <c r="F87" s="467">
        <v>0</v>
      </c>
      <c r="G87" s="352">
        <f t="shared" si="2"/>
        <v>0</v>
      </c>
      <c r="J87" s="491"/>
    </row>
    <row r="88" spans="2:10" s="147" customFormat="1" ht="27" customHeight="1" x14ac:dyDescent="0.25">
      <c r="B88" s="148"/>
      <c r="C88" s="151" t="s">
        <v>824</v>
      </c>
      <c r="D88" s="226" t="s">
        <v>95</v>
      </c>
      <c r="E88" s="353">
        <v>23</v>
      </c>
      <c r="F88" s="467">
        <v>0</v>
      </c>
      <c r="G88" s="352">
        <f t="shared" si="2"/>
        <v>0</v>
      </c>
      <c r="J88" s="491"/>
    </row>
    <row r="89" spans="2:10" s="147" customFormat="1" ht="19.5" customHeight="1" x14ac:dyDescent="0.25">
      <c r="B89" s="148"/>
      <c r="C89" s="151" t="s">
        <v>165</v>
      </c>
      <c r="D89" s="226" t="s">
        <v>95</v>
      </c>
      <c r="E89" s="353">
        <v>127.8</v>
      </c>
      <c r="F89" s="467">
        <v>0</v>
      </c>
      <c r="G89" s="352">
        <f t="shared" si="2"/>
        <v>0</v>
      </c>
      <c r="J89" s="491"/>
    </row>
    <row r="90" spans="2:10" s="147" customFormat="1" ht="27.75" customHeight="1" x14ac:dyDescent="0.25">
      <c r="B90" s="148"/>
      <c r="C90" s="151" t="s">
        <v>166</v>
      </c>
      <c r="D90" s="226" t="s">
        <v>95</v>
      </c>
      <c r="E90" s="353">
        <v>14.200000000000001</v>
      </c>
      <c r="F90" s="467">
        <v>0</v>
      </c>
      <c r="G90" s="352">
        <f t="shared" si="2"/>
        <v>0</v>
      </c>
    </row>
    <row r="91" spans="2:10" s="130" customFormat="1" ht="40.5" customHeight="1" x14ac:dyDescent="0.2">
      <c r="B91" s="3181" t="s">
        <v>167</v>
      </c>
      <c r="C91" s="310" t="s">
        <v>168</v>
      </c>
      <c r="D91" s="221"/>
      <c r="E91" s="353"/>
      <c r="F91" s="467"/>
      <c r="G91" s="352"/>
    </row>
    <row r="92" spans="2:10" s="130" customFormat="1" x14ac:dyDescent="0.2">
      <c r="B92" s="3182"/>
      <c r="C92" s="291" t="s">
        <v>169</v>
      </c>
      <c r="D92" s="221" t="s">
        <v>95</v>
      </c>
      <c r="E92" s="353">
        <v>30</v>
      </c>
      <c r="F92" s="467">
        <v>0</v>
      </c>
      <c r="G92" s="352">
        <f>E92*F92</f>
        <v>0</v>
      </c>
    </row>
    <row r="93" spans="2:10" s="130" customFormat="1" x14ac:dyDescent="0.2">
      <c r="B93" s="3182"/>
      <c r="C93" s="291" t="s">
        <v>170</v>
      </c>
      <c r="D93" s="221" t="s">
        <v>95</v>
      </c>
      <c r="E93" s="353">
        <v>10</v>
      </c>
      <c r="F93" s="467">
        <v>0</v>
      </c>
      <c r="G93" s="352">
        <f>E93*F93</f>
        <v>0</v>
      </c>
    </row>
    <row r="94" spans="2:10" s="130" customFormat="1" x14ac:dyDescent="0.2">
      <c r="B94" s="3183"/>
      <c r="C94" s="291" t="s">
        <v>171</v>
      </c>
      <c r="D94" s="221" t="s">
        <v>95</v>
      </c>
      <c r="E94" s="353">
        <v>10</v>
      </c>
      <c r="F94" s="467">
        <v>0</v>
      </c>
      <c r="G94" s="352">
        <f>E94*F94</f>
        <v>0</v>
      </c>
    </row>
    <row r="95" spans="2:10" ht="40.5" customHeight="1" x14ac:dyDescent="0.2">
      <c r="B95" s="154">
        <v>2</v>
      </c>
      <c r="C95" s="227" t="s">
        <v>172</v>
      </c>
      <c r="D95" s="209" t="s">
        <v>95</v>
      </c>
      <c r="E95" s="348">
        <v>1499</v>
      </c>
      <c r="F95" s="467">
        <v>0</v>
      </c>
      <c r="G95" s="352">
        <f t="shared" si="2"/>
        <v>0</v>
      </c>
    </row>
    <row r="96" spans="2:10" ht="41.25" customHeight="1" x14ac:dyDescent="0.2">
      <c r="B96" s="309" t="s">
        <v>173</v>
      </c>
      <c r="C96" s="227" t="s">
        <v>174</v>
      </c>
      <c r="D96" s="209" t="s">
        <v>95</v>
      </c>
      <c r="E96" s="348">
        <v>1499</v>
      </c>
      <c r="F96" s="467">
        <v>0</v>
      </c>
      <c r="G96" s="352">
        <f>E96*F96</f>
        <v>0</v>
      </c>
    </row>
    <row r="97" spans="2:7" ht="27" customHeight="1" x14ac:dyDescent="0.2">
      <c r="B97" s="309" t="s">
        <v>175</v>
      </c>
      <c r="C97" s="227" t="s">
        <v>176</v>
      </c>
      <c r="D97" s="209" t="s">
        <v>95</v>
      </c>
      <c r="E97" s="348">
        <v>1499</v>
      </c>
      <c r="F97" s="467">
        <v>0</v>
      </c>
      <c r="G97" s="352">
        <f>E97*F97</f>
        <v>0</v>
      </c>
    </row>
    <row r="98" spans="2:7" ht="39" customHeight="1" x14ac:dyDescent="0.2">
      <c r="B98" s="309" t="s">
        <v>177</v>
      </c>
      <c r="C98" s="227" t="s">
        <v>178</v>
      </c>
      <c r="D98" s="209" t="s">
        <v>95</v>
      </c>
      <c r="E98" s="348">
        <v>1499</v>
      </c>
      <c r="F98" s="467">
        <v>0</v>
      </c>
      <c r="G98" s="352">
        <f>E98*F98</f>
        <v>0</v>
      </c>
    </row>
    <row r="99" spans="2:7" ht="27.75" customHeight="1" x14ac:dyDescent="0.2">
      <c r="B99" s="153">
        <v>3</v>
      </c>
      <c r="C99" s="229" t="s">
        <v>179</v>
      </c>
      <c r="D99" s="198"/>
      <c r="E99" s="353"/>
      <c r="F99" s="353"/>
      <c r="G99" s="350"/>
    </row>
    <row r="100" spans="2:7" x14ac:dyDescent="0.2">
      <c r="B100" s="292" t="s">
        <v>180</v>
      </c>
      <c r="C100" s="230" t="s">
        <v>181</v>
      </c>
      <c r="D100" s="231"/>
      <c r="E100" s="232"/>
      <c r="F100" s="233"/>
      <c r="G100" s="234"/>
    </row>
    <row r="101" spans="2:7" x14ac:dyDescent="0.2">
      <c r="B101" s="129"/>
      <c r="C101" s="230" t="s">
        <v>185</v>
      </c>
      <c r="D101" s="231"/>
      <c r="E101" s="232"/>
      <c r="F101" s="233"/>
      <c r="G101" s="234"/>
    </row>
    <row r="102" spans="2:7" s="147" customFormat="1" ht="18" customHeight="1" x14ac:dyDescent="0.25">
      <c r="B102" s="152"/>
      <c r="C102" s="235" t="s">
        <v>186</v>
      </c>
      <c r="D102" s="236" t="s">
        <v>149</v>
      </c>
      <c r="E102" s="232">
        <v>1</v>
      </c>
      <c r="F102" s="271">
        <v>0</v>
      </c>
      <c r="G102" s="272">
        <f>E102*F102</f>
        <v>0</v>
      </c>
    </row>
    <row r="103" spans="2:7" s="147" customFormat="1" ht="18" customHeight="1" x14ac:dyDescent="0.25">
      <c r="B103" s="152"/>
      <c r="C103" s="235" t="s">
        <v>187</v>
      </c>
      <c r="D103" s="236" t="s">
        <v>149</v>
      </c>
      <c r="E103" s="232">
        <v>1</v>
      </c>
      <c r="F103" s="271">
        <v>0</v>
      </c>
      <c r="G103" s="272">
        <f>E103*F103</f>
        <v>0</v>
      </c>
    </row>
    <row r="104" spans="2:7" s="136" customFormat="1" x14ac:dyDescent="0.2">
      <c r="B104" s="292" t="s">
        <v>188</v>
      </c>
      <c r="C104" s="238" t="s">
        <v>189</v>
      </c>
      <c r="D104" s="239"/>
      <c r="E104" s="240"/>
      <c r="F104" s="241">
        <v>0</v>
      </c>
      <c r="G104" s="242"/>
    </row>
    <row r="105" spans="2:7" s="136" customFormat="1" x14ac:dyDescent="0.2">
      <c r="B105" s="135"/>
      <c r="C105" s="238" t="s">
        <v>190</v>
      </c>
      <c r="D105" s="476"/>
      <c r="E105" s="477"/>
      <c r="F105" s="478"/>
      <c r="G105" s="479"/>
    </row>
    <row r="106" spans="2:7" s="136" customFormat="1" x14ac:dyDescent="0.2">
      <c r="B106" s="135"/>
      <c r="C106" s="243" t="s">
        <v>191</v>
      </c>
      <c r="D106" s="239" t="s">
        <v>149</v>
      </c>
      <c r="E106" s="240">
        <v>2</v>
      </c>
      <c r="F106" s="273">
        <v>0</v>
      </c>
      <c r="G106" s="274">
        <f t="shared" ref="G106:G113" si="3">E106*F106</f>
        <v>0</v>
      </c>
    </row>
    <row r="107" spans="2:7" s="136" customFormat="1" ht="38.25" customHeight="1" x14ac:dyDescent="0.2">
      <c r="B107" s="135"/>
      <c r="C107" s="244" t="s">
        <v>192</v>
      </c>
      <c r="D107" s="239" t="s">
        <v>149</v>
      </c>
      <c r="E107" s="240">
        <v>2</v>
      </c>
      <c r="F107" s="273">
        <v>0</v>
      </c>
      <c r="G107" s="274">
        <f t="shared" si="3"/>
        <v>0</v>
      </c>
    </row>
    <row r="108" spans="2:7" s="136" customFormat="1" x14ac:dyDescent="0.2">
      <c r="B108" s="135"/>
      <c r="C108" s="244" t="s">
        <v>193</v>
      </c>
      <c r="D108" s="239" t="s">
        <v>149</v>
      </c>
      <c r="E108" s="240">
        <v>2</v>
      </c>
      <c r="F108" s="273">
        <v>0</v>
      </c>
      <c r="G108" s="274">
        <f t="shared" si="3"/>
        <v>0</v>
      </c>
    </row>
    <row r="109" spans="2:7" s="136" customFormat="1" x14ac:dyDescent="0.2">
      <c r="B109" s="135"/>
      <c r="C109" s="244" t="s">
        <v>194</v>
      </c>
      <c r="D109" s="239" t="s">
        <v>149</v>
      </c>
      <c r="E109" s="240">
        <v>2</v>
      </c>
      <c r="F109" s="273">
        <v>0</v>
      </c>
      <c r="G109" s="274">
        <f t="shared" si="3"/>
        <v>0</v>
      </c>
    </row>
    <row r="110" spans="2:7" s="136" customFormat="1" x14ac:dyDescent="0.2">
      <c r="B110" s="135"/>
      <c r="C110" s="244" t="s">
        <v>195</v>
      </c>
      <c r="D110" s="239" t="s">
        <v>149</v>
      </c>
      <c r="E110" s="240">
        <v>4</v>
      </c>
      <c r="F110" s="273">
        <v>0</v>
      </c>
      <c r="G110" s="274">
        <f t="shared" si="3"/>
        <v>0</v>
      </c>
    </row>
    <row r="111" spans="2:7" s="136" customFormat="1" x14ac:dyDescent="0.2">
      <c r="B111" s="135"/>
      <c r="C111" s="244" t="s">
        <v>196</v>
      </c>
      <c r="D111" s="239" t="s">
        <v>149</v>
      </c>
      <c r="E111" s="240">
        <v>4</v>
      </c>
      <c r="F111" s="273">
        <v>0</v>
      </c>
      <c r="G111" s="274">
        <f t="shared" si="3"/>
        <v>0</v>
      </c>
    </row>
    <row r="112" spans="2:7" s="136" customFormat="1" x14ac:dyDescent="0.2">
      <c r="B112" s="135"/>
      <c r="C112" s="244" t="s">
        <v>197</v>
      </c>
      <c r="D112" s="239" t="s">
        <v>149</v>
      </c>
      <c r="E112" s="240">
        <v>2</v>
      </c>
      <c r="F112" s="273">
        <v>0</v>
      </c>
      <c r="G112" s="274">
        <f t="shared" si="3"/>
        <v>0</v>
      </c>
    </row>
    <row r="113" spans="2:7" s="136" customFormat="1" x14ac:dyDescent="0.2">
      <c r="B113" s="135"/>
      <c r="C113" s="244" t="s">
        <v>198</v>
      </c>
      <c r="D113" s="239" t="s">
        <v>149</v>
      </c>
      <c r="E113" s="240">
        <v>2</v>
      </c>
      <c r="F113" s="273">
        <v>0</v>
      </c>
      <c r="G113" s="274">
        <f t="shared" si="3"/>
        <v>0</v>
      </c>
    </row>
    <row r="114" spans="2:7" s="136" customFormat="1" x14ac:dyDescent="0.2">
      <c r="B114" s="292" t="s">
        <v>204</v>
      </c>
      <c r="C114" s="253" t="s">
        <v>205</v>
      </c>
      <c r="D114" s="254"/>
      <c r="E114" s="255"/>
      <c r="F114" s="256"/>
      <c r="G114" s="257"/>
    </row>
    <row r="115" spans="2:7" s="136" customFormat="1" x14ac:dyDescent="0.2">
      <c r="B115" s="135"/>
      <c r="C115" s="253" t="s">
        <v>206</v>
      </c>
      <c r="D115" s="482"/>
      <c r="E115" s="483"/>
      <c r="F115" s="484"/>
      <c r="G115" s="485"/>
    </row>
    <row r="116" spans="2:7" s="136" customFormat="1" x14ac:dyDescent="0.2">
      <c r="B116" s="135"/>
      <c r="C116" s="258" t="s">
        <v>207</v>
      </c>
      <c r="D116" s="254" t="s">
        <v>149</v>
      </c>
      <c r="E116" s="255">
        <v>1</v>
      </c>
      <c r="F116" s="277">
        <v>0</v>
      </c>
      <c r="G116" s="278">
        <f t="shared" ref="G116:G130" si="4">E116*F116</f>
        <v>0</v>
      </c>
    </row>
    <row r="117" spans="2:7" s="136" customFormat="1" x14ac:dyDescent="0.2">
      <c r="B117" s="135"/>
      <c r="C117" s="258" t="s">
        <v>208</v>
      </c>
      <c r="D117" s="254" t="s">
        <v>149</v>
      </c>
      <c r="E117" s="255">
        <v>2</v>
      </c>
      <c r="F117" s="277">
        <v>0</v>
      </c>
      <c r="G117" s="278">
        <f t="shared" si="4"/>
        <v>0</v>
      </c>
    </row>
    <row r="118" spans="2:7" s="136" customFormat="1" ht="12.75" customHeight="1" x14ac:dyDescent="0.2">
      <c r="B118" s="135"/>
      <c r="C118" s="259" t="s">
        <v>209</v>
      </c>
      <c r="D118" s="254" t="s">
        <v>149</v>
      </c>
      <c r="E118" s="255">
        <v>1</v>
      </c>
      <c r="F118" s="277">
        <v>0</v>
      </c>
      <c r="G118" s="278">
        <f t="shared" si="4"/>
        <v>0</v>
      </c>
    </row>
    <row r="119" spans="2:7" s="136" customFormat="1" x14ac:dyDescent="0.2">
      <c r="B119" s="135"/>
      <c r="C119" s="259" t="s">
        <v>210</v>
      </c>
      <c r="D119" s="254" t="s">
        <v>149</v>
      </c>
      <c r="E119" s="255">
        <v>1</v>
      </c>
      <c r="F119" s="277">
        <v>0</v>
      </c>
      <c r="G119" s="278">
        <f t="shared" si="4"/>
        <v>0</v>
      </c>
    </row>
    <row r="120" spans="2:7" s="136" customFormat="1" x14ac:dyDescent="0.2">
      <c r="B120" s="135"/>
      <c r="C120" s="259" t="s">
        <v>211</v>
      </c>
      <c r="D120" s="254" t="s">
        <v>149</v>
      </c>
      <c r="E120" s="255">
        <v>1</v>
      </c>
      <c r="F120" s="277">
        <v>0</v>
      </c>
      <c r="G120" s="278">
        <f t="shared" si="4"/>
        <v>0</v>
      </c>
    </row>
    <row r="121" spans="2:7" s="136" customFormat="1" x14ac:dyDescent="0.2">
      <c r="B121" s="135"/>
      <c r="C121" s="259" t="s">
        <v>212</v>
      </c>
      <c r="D121" s="254" t="s">
        <v>149</v>
      </c>
      <c r="E121" s="255">
        <v>1</v>
      </c>
      <c r="F121" s="277">
        <v>0</v>
      </c>
      <c r="G121" s="278">
        <f t="shared" si="4"/>
        <v>0</v>
      </c>
    </row>
    <row r="122" spans="2:7" s="136" customFormat="1" x14ac:dyDescent="0.2">
      <c r="B122" s="135"/>
      <c r="C122" s="259" t="s">
        <v>825</v>
      </c>
      <c r="D122" s="254" t="s">
        <v>149</v>
      </c>
      <c r="E122" s="255">
        <v>1</v>
      </c>
      <c r="F122" s="277">
        <v>0</v>
      </c>
      <c r="G122" s="278">
        <f t="shared" si="4"/>
        <v>0</v>
      </c>
    </row>
    <row r="123" spans="2:7" s="136" customFormat="1" x14ac:dyDescent="0.2">
      <c r="B123" s="135"/>
      <c r="C123" s="259" t="s">
        <v>214</v>
      </c>
      <c r="D123" s="254" t="s">
        <v>149</v>
      </c>
      <c r="E123" s="255">
        <v>1</v>
      </c>
      <c r="F123" s="277">
        <v>0</v>
      </c>
      <c r="G123" s="278">
        <f t="shared" si="4"/>
        <v>0</v>
      </c>
    </row>
    <row r="124" spans="2:7" s="136" customFormat="1" x14ac:dyDescent="0.2">
      <c r="B124" s="135"/>
      <c r="C124" s="259" t="s">
        <v>215</v>
      </c>
      <c r="D124" s="254" t="s">
        <v>149</v>
      </c>
      <c r="E124" s="255">
        <v>1</v>
      </c>
      <c r="F124" s="277">
        <v>0</v>
      </c>
      <c r="G124" s="278">
        <f t="shared" si="4"/>
        <v>0</v>
      </c>
    </row>
    <row r="125" spans="2:7" s="136" customFormat="1" x14ac:dyDescent="0.2">
      <c r="B125" s="135"/>
      <c r="C125" s="260" t="s">
        <v>216</v>
      </c>
      <c r="D125" s="254" t="s">
        <v>149</v>
      </c>
      <c r="E125" s="255">
        <v>1</v>
      </c>
      <c r="F125" s="277">
        <v>0</v>
      </c>
      <c r="G125" s="278">
        <f t="shared" si="4"/>
        <v>0</v>
      </c>
    </row>
    <row r="126" spans="2:7" s="136" customFormat="1" x14ac:dyDescent="0.2">
      <c r="B126" s="135"/>
      <c r="C126" s="260" t="s">
        <v>217</v>
      </c>
      <c r="D126" s="254" t="s">
        <v>149</v>
      </c>
      <c r="E126" s="255">
        <v>1</v>
      </c>
      <c r="F126" s="277">
        <v>0</v>
      </c>
      <c r="G126" s="278">
        <f t="shared" si="4"/>
        <v>0</v>
      </c>
    </row>
    <row r="127" spans="2:7" s="136" customFormat="1" x14ac:dyDescent="0.2">
      <c r="B127" s="135"/>
      <c r="C127" s="260" t="s">
        <v>195</v>
      </c>
      <c r="D127" s="254" t="s">
        <v>149</v>
      </c>
      <c r="E127" s="255">
        <v>2</v>
      </c>
      <c r="F127" s="277">
        <v>0</v>
      </c>
      <c r="G127" s="278">
        <f t="shared" si="4"/>
        <v>0</v>
      </c>
    </row>
    <row r="128" spans="2:7" s="136" customFormat="1" x14ac:dyDescent="0.2">
      <c r="B128" s="135"/>
      <c r="C128" s="260" t="s">
        <v>218</v>
      </c>
      <c r="D128" s="254" t="s">
        <v>149</v>
      </c>
      <c r="E128" s="255">
        <v>2</v>
      </c>
      <c r="F128" s="277">
        <v>0</v>
      </c>
      <c r="G128" s="278">
        <f t="shared" si="4"/>
        <v>0</v>
      </c>
    </row>
    <row r="129" spans="2:7" s="136" customFormat="1" x14ac:dyDescent="0.2">
      <c r="B129" s="135"/>
      <c r="C129" s="260" t="s">
        <v>219</v>
      </c>
      <c r="D129" s="254" t="s">
        <v>149</v>
      </c>
      <c r="E129" s="255">
        <v>1</v>
      </c>
      <c r="F129" s="277">
        <v>0</v>
      </c>
      <c r="G129" s="278">
        <f t="shared" si="4"/>
        <v>0</v>
      </c>
    </row>
    <row r="130" spans="2:7" s="136" customFormat="1" x14ac:dyDescent="0.2">
      <c r="B130" s="135"/>
      <c r="C130" s="261" t="s">
        <v>198</v>
      </c>
      <c r="D130" s="254" t="s">
        <v>149</v>
      </c>
      <c r="E130" s="255">
        <v>1</v>
      </c>
      <c r="F130" s="277">
        <v>0</v>
      </c>
      <c r="G130" s="278">
        <f t="shared" si="4"/>
        <v>0</v>
      </c>
    </row>
    <row r="131" spans="2:7" s="136" customFormat="1" x14ac:dyDescent="0.2">
      <c r="B131" s="292" t="s">
        <v>220</v>
      </c>
      <c r="C131" s="238" t="s">
        <v>221</v>
      </c>
      <c r="D131" s="239"/>
      <c r="E131" s="240"/>
      <c r="F131" s="241"/>
      <c r="G131" s="242"/>
    </row>
    <row r="132" spans="2:7" s="136" customFormat="1" x14ac:dyDescent="0.2">
      <c r="B132" s="135"/>
      <c r="C132" s="238" t="s">
        <v>222</v>
      </c>
      <c r="D132" s="476"/>
      <c r="E132" s="477"/>
      <c r="F132" s="478"/>
      <c r="G132" s="479"/>
    </row>
    <row r="133" spans="2:7" s="136" customFormat="1" x14ac:dyDescent="0.2">
      <c r="B133" s="135"/>
      <c r="C133" s="243" t="s">
        <v>207</v>
      </c>
      <c r="D133" s="239" t="s">
        <v>149</v>
      </c>
      <c r="E133" s="240">
        <v>3</v>
      </c>
      <c r="F133" s="273">
        <v>0</v>
      </c>
      <c r="G133" s="274">
        <f t="shared" ref="G133:G143" si="5">E133*F133</f>
        <v>0</v>
      </c>
    </row>
    <row r="134" spans="2:7" s="136" customFormat="1" ht="24" customHeight="1" x14ac:dyDescent="0.2">
      <c r="B134" s="135"/>
      <c r="C134" s="244" t="s">
        <v>223</v>
      </c>
      <c r="D134" s="239" t="s">
        <v>149</v>
      </c>
      <c r="E134" s="240">
        <v>3</v>
      </c>
      <c r="F134" s="273">
        <v>0</v>
      </c>
      <c r="G134" s="274">
        <f t="shared" si="5"/>
        <v>0</v>
      </c>
    </row>
    <row r="135" spans="2:7" s="136" customFormat="1" x14ac:dyDescent="0.2">
      <c r="B135" s="135"/>
      <c r="C135" s="244" t="s">
        <v>213</v>
      </c>
      <c r="D135" s="239" t="s">
        <v>149</v>
      </c>
      <c r="E135" s="240">
        <v>3</v>
      </c>
      <c r="F135" s="273">
        <v>0</v>
      </c>
      <c r="G135" s="274">
        <f t="shared" si="5"/>
        <v>0</v>
      </c>
    </row>
    <row r="136" spans="2:7" s="136" customFormat="1" x14ac:dyDescent="0.2">
      <c r="B136" s="135"/>
      <c r="C136" s="244" t="s">
        <v>224</v>
      </c>
      <c r="D136" s="239" t="s">
        <v>149</v>
      </c>
      <c r="E136" s="240">
        <v>3</v>
      </c>
      <c r="F136" s="273">
        <v>0</v>
      </c>
      <c r="G136" s="274">
        <f t="shared" si="5"/>
        <v>0</v>
      </c>
    </row>
    <row r="137" spans="2:7" s="136" customFormat="1" x14ac:dyDescent="0.2">
      <c r="B137" s="135"/>
      <c r="C137" s="244" t="s">
        <v>225</v>
      </c>
      <c r="D137" s="239" t="s">
        <v>149</v>
      </c>
      <c r="E137" s="240">
        <v>3</v>
      </c>
      <c r="F137" s="273">
        <v>0</v>
      </c>
      <c r="G137" s="274">
        <f t="shared" si="5"/>
        <v>0</v>
      </c>
    </row>
    <row r="138" spans="2:7" s="136" customFormat="1" x14ac:dyDescent="0.2">
      <c r="B138" s="135"/>
      <c r="C138" s="245" t="s">
        <v>226</v>
      </c>
      <c r="D138" s="239" t="s">
        <v>149</v>
      </c>
      <c r="E138" s="240">
        <v>3</v>
      </c>
      <c r="F138" s="273">
        <v>0</v>
      </c>
      <c r="G138" s="274">
        <f t="shared" si="5"/>
        <v>0</v>
      </c>
    </row>
    <row r="139" spans="2:7" s="136" customFormat="1" x14ac:dyDescent="0.2">
      <c r="B139" s="135"/>
      <c r="C139" s="245" t="s">
        <v>217</v>
      </c>
      <c r="D139" s="239" t="s">
        <v>149</v>
      </c>
      <c r="E139" s="240">
        <v>3</v>
      </c>
      <c r="F139" s="273">
        <v>0</v>
      </c>
      <c r="G139" s="274">
        <f t="shared" si="5"/>
        <v>0</v>
      </c>
    </row>
    <row r="140" spans="2:7" s="136" customFormat="1" x14ac:dyDescent="0.2">
      <c r="B140" s="135"/>
      <c r="C140" s="245" t="s">
        <v>195</v>
      </c>
      <c r="D140" s="239" t="s">
        <v>149</v>
      </c>
      <c r="E140" s="240">
        <v>6</v>
      </c>
      <c r="F140" s="273">
        <v>0</v>
      </c>
      <c r="G140" s="274">
        <f t="shared" si="5"/>
        <v>0</v>
      </c>
    </row>
    <row r="141" spans="2:7" s="136" customFormat="1" x14ac:dyDescent="0.2">
      <c r="B141" s="135"/>
      <c r="C141" s="245" t="s">
        <v>218</v>
      </c>
      <c r="D141" s="239" t="s">
        <v>149</v>
      </c>
      <c r="E141" s="240">
        <v>6</v>
      </c>
      <c r="F141" s="273">
        <v>0</v>
      </c>
      <c r="G141" s="274">
        <f t="shared" si="5"/>
        <v>0</v>
      </c>
    </row>
    <row r="142" spans="2:7" s="136" customFormat="1" x14ac:dyDescent="0.2">
      <c r="B142" s="135"/>
      <c r="C142" s="245" t="s">
        <v>227</v>
      </c>
      <c r="D142" s="239" t="s">
        <v>149</v>
      </c>
      <c r="E142" s="240">
        <v>3</v>
      </c>
      <c r="F142" s="273">
        <v>0</v>
      </c>
      <c r="G142" s="274">
        <f t="shared" si="5"/>
        <v>0</v>
      </c>
    </row>
    <row r="143" spans="2:7" s="136" customFormat="1" x14ac:dyDescent="0.2">
      <c r="B143" s="135"/>
      <c r="C143" s="246" t="s">
        <v>198</v>
      </c>
      <c r="D143" s="239" t="s">
        <v>149</v>
      </c>
      <c r="E143" s="240">
        <v>3</v>
      </c>
      <c r="F143" s="273">
        <v>0</v>
      </c>
      <c r="G143" s="274">
        <f t="shared" si="5"/>
        <v>0</v>
      </c>
    </row>
    <row r="144" spans="2:7" ht="30" customHeight="1" x14ac:dyDescent="0.2">
      <c r="B144" s="309" t="s">
        <v>228</v>
      </c>
      <c r="C144" s="238" t="s">
        <v>229</v>
      </c>
      <c r="D144" s="239" t="s">
        <v>149</v>
      </c>
      <c r="E144" s="240">
        <v>7</v>
      </c>
      <c r="F144" s="273">
        <v>0</v>
      </c>
      <c r="G144" s="274">
        <f>E144*F144</f>
        <v>0</v>
      </c>
    </row>
    <row r="145" spans="2:7" s="136" customFormat="1" x14ac:dyDescent="0.2">
      <c r="B145" s="292" t="s">
        <v>230</v>
      </c>
      <c r="C145" s="253" t="s">
        <v>231</v>
      </c>
      <c r="D145" s="254"/>
      <c r="E145" s="255"/>
      <c r="F145" s="256"/>
      <c r="G145" s="257"/>
    </row>
    <row r="146" spans="2:7" s="136" customFormat="1" x14ac:dyDescent="0.2">
      <c r="B146" s="135"/>
      <c r="C146" s="253" t="s">
        <v>237</v>
      </c>
      <c r="D146" s="482"/>
      <c r="E146" s="483"/>
      <c r="F146" s="484"/>
      <c r="G146" s="485"/>
    </row>
    <row r="147" spans="2:7" s="136" customFormat="1" ht="29.25" customHeight="1" x14ac:dyDescent="0.2">
      <c r="B147" s="135"/>
      <c r="C147" s="258" t="s">
        <v>238</v>
      </c>
      <c r="D147" s="254" t="s">
        <v>149</v>
      </c>
      <c r="E147" s="255">
        <v>1</v>
      </c>
      <c r="F147" s="277">
        <v>0</v>
      </c>
      <c r="G147" s="278">
        <f t="shared" ref="G147:G155" si="6">E147*F147</f>
        <v>0</v>
      </c>
    </row>
    <row r="148" spans="2:7" s="136" customFormat="1" x14ac:dyDescent="0.2">
      <c r="B148" s="135"/>
      <c r="C148" s="260" t="s">
        <v>195</v>
      </c>
      <c r="D148" s="254" t="s">
        <v>149</v>
      </c>
      <c r="E148" s="255">
        <v>2</v>
      </c>
      <c r="F148" s="277">
        <v>0</v>
      </c>
      <c r="G148" s="278">
        <f t="shared" si="6"/>
        <v>0</v>
      </c>
    </row>
    <row r="149" spans="2:7" s="136" customFormat="1" x14ac:dyDescent="0.2">
      <c r="B149" s="135"/>
      <c r="C149" s="260" t="s">
        <v>239</v>
      </c>
      <c r="D149" s="254" t="s">
        <v>149</v>
      </c>
      <c r="E149" s="255">
        <v>1</v>
      </c>
      <c r="F149" s="277">
        <v>0</v>
      </c>
      <c r="G149" s="278">
        <f t="shared" si="6"/>
        <v>0</v>
      </c>
    </row>
    <row r="150" spans="2:7" s="136" customFormat="1" x14ac:dyDescent="0.2">
      <c r="B150" s="135"/>
      <c r="C150" s="260" t="s">
        <v>218</v>
      </c>
      <c r="D150" s="254" t="s">
        <v>149</v>
      </c>
      <c r="E150" s="255">
        <v>2</v>
      </c>
      <c r="F150" s="277">
        <v>0</v>
      </c>
      <c r="G150" s="278">
        <f t="shared" si="6"/>
        <v>0</v>
      </c>
    </row>
    <row r="151" spans="2:7" s="136" customFormat="1" x14ac:dyDescent="0.2">
      <c r="B151" s="135"/>
      <c r="C151" s="260" t="s">
        <v>240</v>
      </c>
      <c r="D151" s="254" t="s">
        <v>149</v>
      </c>
      <c r="E151" s="255">
        <v>1</v>
      </c>
      <c r="F151" s="277">
        <v>0</v>
      </c>
      <c r="G151" s="278">
        <f t="shared" si="6"/>
        <v>0</v>
      </c>
    </row>
    <row r="152" spans="2:7" s="136" customFormat="1" x14ac:dyDescent="0.2">
      <c r="B152" s="135"/>
      <c r="C152" s="260" t="s">
        <v>241</v>
      </c>
      <c r="D152" s="254" t="s">
        <v>149</v>
      </c>
      <c r="E152" s="255">
        <v>1</v>
      </c>
      <c r="F152" s="277">
        <v>0</v>
      </c>
      <c r="G152" s="278">
        <f t="shared" si="6"/>
        <v>0</v>
      </c>
    </row>
    <row r="153" spans="2:7" s="136" customFormat="1" x14ac:dyDescent="0.2">
      <c r="B153" s="135"/>
      <c r="C153" s="260" t="s">
        <v>242</v>
      </c>
      <c r="D153" s="254" t="s">
        <v>149</v>
      </c>
      <c r="E153" s="255">
        <v>1</v>
      </c>
      <c r="F153" s="277">
        <v>0</v>
      </c>
      <c r="G153" s="278">
        <f t="shared" si="6"/>
        <v>0</v>
      </c>
    </row>
    <row r="154" spans="2:7" s="136" customFormat="1" x14ac:dyDescent="0.2">
      <c r="B154" s="135"/>
      <c r="C154" s="260" t="s">
        <v>227</v>
      </c>
      <c r="D154" s="254" t="s">
        <v>149</v>
      </c>
      <c r="E154" s="255">
        <v>1</v>
      </c>
      <c r="F154" s="277">
        <v>0</v>
      </c>
      <c r="G154" s="278">
        <f t="shared" si="6"/>
        <v>0</v>
      </c>
    </row>
    <row r="155" spans="2:7" s="136" customFormat="1" x14ac:dyDescent="0.2">
      <c r="B155" s="135"/>
      <c r="C155" s="261" t="s">
        <v>198</v>
      </c>
      <c r="D155" s="254" t="s">
        <v>149</v>
      </c>
      <c r="E155" s="255">
        <v>1</v>
      </c>
      <c r="F155" s="277">
        <v>0</v>
      </c>
      <c r="G155" s="278">
        <f t="shared" si="6"/>
        <v>0</v>
      </c>
    </row>
    <row r="156" spans="2:7" s="136" customFormat="1" x14ac:dyDescent="0.2">
      <c r="B156" s="292" t="s">
        <v>243</v>
      </c>
      <c r="C156" s="247" t="s">
        <v>244</v>
      </c>
      <c r="D156" s="202"/>
      <c r="E156" s="248"/>
      <c r="F156" s="249"/>
      <c r="G156" s="205"/>
    </row>
    <row r="157" spans="2:7" s="136" customFormat="1" x14ac:dyDescent="0.2">
      <c r="B157" s="135"/>
      <c r="C157" s="247" t="s">
        <v>249</v>
      </c>
      <c r="D157" s="214"/>
      <c r="E157" s="480"/>
      <c r="F157" s="481"/>
      <c r="G157" s="290"/>
    </row>
    <row r="158" spans="2:7" s="136" customFormat="1" ht="36" x14ac:dyDescent="0.2">
      <c r="B158" s="135"/>
      <c r="C158" s="262" t="s">
        <v>250</v>
      </c>
      <c r="D158" s="202" t="s">
        <v>149</v>
      </c>
      <c r="E158" s="248">
        <v>14</v>
      </c>
      <c r="F158" s="275">
        <v>0</v>
      </c>
      <c r="G158" s="276">
        <f t="shared" ref="G158:G168" si="7">E158*F158</f>
        <v>0</v>
      </c>
    </row>
    <row r="159" spans="2:7" s="136" customFormat="1" x14ac:dyDescent="0.2">
      <c r="B159" s="135"/>
      <c r="C159" s="251" t="s">
        <v>247</v>
      </c>
      <c r="D159" s="202" t="s">
        <v>149</v>
      </c>
      <c r="E159" s="248">
        <v>14</v>
      </c>
      <c r="F159" s="275">
        <v>0</v>
      </c>
      <c r="G159" s="276">
        <f t="shared" si="7"/>
        <v>0</v>
      </c>
    </row>
    <row r="160" spans="2:7" s="136" customFormat="1" x14ac:dyDescent="0.2">
      <c r="B160" s="135"/>
      <c r="C160" s="252" t="s">
        <v>198</v>
      </c>
      <c r="D160" s="202" t="s">
        <v>149</v>
      </c>
      <c r="E160" s="248">
        <v>14</v>
      </c>
      <c r="F160" s="275">
        <v>0</v>
      </c>
      <c r="G160" s="276">
        <f t="shared" si="7"/>
        <v>0</v>
      </c>
    </row>
    <row r="161" spans="2:7" s="136" customFormat="1" x14ac:dyDescent="0.2">
      <c r="B161" s="135"/>
      <c r="C161" s="247" t="s">
        <v>826</v>
      </c>
      <c r="D161" s="214"/>
      <c r="E161" s="480"/>
      <c r="F161" s="481"/>
      <c r="G161" s="290"/>
    </row>
    <row r="162" spans="2:7" s="136" customFormat="1" ht="39.75" customHeight="1" x14ac:dyDescent="0.2">
      <c r="B162" s="135"/>
      <c r="C162" s="262" t="s">
        <v>827</v>
      </c>
      <c r="D162" s="202" t="s">
        <v>149</v>
      </c>
      <c r="E162" s="248">
        <v>6</v>
      </c>
      <c r="F162" s="275">
        <v>0</v>
      </c>
      <c r="G162" s="276">
        <f t="shared" si="7"/>
        <v>0</v>
      </c>
    </row>
    <row r="163" spans="2:7" s="136" customFormat="1" x14ac:dyDescent="0.2">
      <c r="B163" s="135"/>
      <c r="C163" s="251" t="s">
        <v>247</v>
      </c>
      <c r="D163" s="202" t="s">
        <v>149</v>
      </c>
      <c r="E163" s="248">
        <v>6</v>
      </c>
      <c r="F163" s="275">
        <v>0</v>
      </c>
      <c r="G163" s="276">
        <f t="shared" si="7"/>
        <v>0</v>
      </c>
    </row>
    <row r="164" spans="2:7" s="136" customFormat="1" x14ac:dyDescent="0.2">
      <c r="B164" s="135"/>
      <c r="C164" s="263" t="s">
        <v>248</v>
      </c>
      <c r="D164" s="202" t="s">
        <v>149</v>
      </c>
      <c r="E164" s="248">
        <v>6</v>
      </c>
      <c r="F164" s="275">
        <v>0</v>
      </c>
      <c r="G164" s="276">
        <f t="shared" si="7"/>
        <v>0</v>
      </c>
    </row>
    <row r="165" spans="2:7" s="136" customFormat="1" x14ac:dyDescent="0.2">
      <c r="B165" s="135"/>
      <c r="C165" s="247" t="s">
        <v>828</v>
      </c>
      <c r="D165" s="214"/>
      <c r="E165" s="480"/>
      <c r="F165" s="481"/>
      <c r="G165" s="290"/>
    </row>
    <row r="166" spans="2:7" s="136" customFormat="1" ht="39.75" customHeight="1" x14ac:dyDescent="0.2">
      <c r="B166" s="135"/>
      <c r="C166" s="262" t="s">
        <v>829</v>
      </c>
      <c r="D166" s="202" t="s">
        <v>149</v>
      </c>
      <c r="E166" s="248">
        <v>4</v>
      </c>
      <c r="F166" s="275">
        <v>0</v>
      </c>
      <c r="G166" s="276">
        <f t="shared" si="7"/>
        <v>0</v>
      </c>
    </row>
    <row r="167" spans="2:7" s="136" customFormat="1" x14ac:dyDescent="0.2">
      <c r="B167" s="135"/>
      <c r="C167" s="251" t="s">
        <v>247</v>
      </c>
      <c r="D167" s="202" t="s">
        <v>149</v>
      </c>
      <c r="E167" s="248">
        <v>4</v>
      </c>
      <c r="F167" s="275">
        <v>0</v>
      </c>
      <c r="G167" s="276">
        <f t="shared" si="7"/>
        <v>0</v>
      </c>
    </row>
    <row r="168" spans="2:7" s="136" customFormat="1" x14ac:dyDescent="0.2">
      <c r="B168" s="135"/>
      <c r="C168" s="252" t="s">
        <v>198</v>
      </c>
      <c r="D168" s="202" t="s">
        <v>149</v>
      </c>
      <c r="E168" s="248">
        <v>4</v>
      </c>
      <c r="F168" s="275">
        <v>0</v>
      </c>
      <c r="G168" s="276">
        <f t="shared" si="7"/>
        <v>0</v>
      </c>
    </row>
    <row r="169" spans="2:7" x14ac:dyDescent="0.2">
      <c r="B169" s="292" t="s">
        <v>299</v>
      </c>
      <c r="C169" s="280" t="s">
        <v>300</v>
      </c>
      <c r="D169" s="281"/>
      <c r="E169" s="282"/>
      <c r="F169" s="283"/>
      <c r="G169" s="284"/>
    </row>
    <row r="170" spans="2:7" s="136" customFormat="1" ht="63" customHeight="1" x14ac:dyDescent="0.2">
      <c r="B170" s="135"/>
      <c r="C170" s="285" t="s">
        <v>301</v>
      </c>
      <c r="D170" s="286" t="s">
        <v>149</v>
      </c>
      <c r="E170" s="287">
        <v>19</v>
      </c>
      <c r="F170" s="288">
        <v>0</v>
      </c>
      <c r="G170" s="289">
        <f>E170*F170</f>
        <v>0</v>
      </c>
    </row>
    <row r="171" spans="2:7" s="147" customFormat="1" ht="25.5" customHeight="1" x14ac:dyDescent="0.25">
      <c r="B171" s="293" t="s">
        <v>17</v>
      </c>
      <c r="C171" s="294" t="s">
        <v>302</v>
      </c>
      <c r="D171" s="218"/>
      <c r="E171" s="203"/>
      <c r="F171" s="204"/>
      <c r="G171" s="290">
        <f>SUM(G82:G170)</f>
        <v>0</v>
      </c>
    </row>
  </sheetData>
  <mergeCells count="6">
    <mergeCell ref="B91:B94"/>
    <mergeCell ref="B41:G41"/>
    <mergeCell ref="B51:B52"/>
    <mergeCell ref="B79:G79"/>
    <mergeCell ref="B80:G80"/>
    <mergeCell ref="B81:G81"/>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8EDD-A5A4-4D62-80AA-5221F2A836B6}">
  <sheetPr codeName="Sheet51">
    <tabColor rgb="FFFFC000"/>
  </sheetPr>
  <dimension ref="A2:J320"/>
  <sheetViews>
    <sheetView showZeros="0" topLeftCell="A52" zoomScaleNormal="100" workbookViewId="0">
      <selection activeCell="C66" sqref="C6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8.1406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10" ht="16.5" customHeight="1" x14ac:dyDescent="0.2">
      <c r="B2" s="137"/>
      <c r="C2" s="108" t="s">
        <v>59</v>
      </c>
      <c r="D2" s="155"/>
      <c r="E2" s="156"/>
      <c r="F2" s="157"/>
      <c r="G2" s="363" t="s">
        <v>60</v>
      </c>
      <c r="H2" s="122"/>
    </row>
    <row r="4" spans="1:10" s="139" customFormat="1" x14ac:dyDescent="0.2">
      <c r="B4" s="364" t="s">
        <v>7</v>
      </c>
      <c r="C4" s="365" t="s">
        <v>63</v>
      </c>
      <c r="D4" s="366"/>
      <c r="E4" s="367"/>
      <c r="F4" s="368"/>
      <c r="G4" s="369"/>
    </row>
    <row r="5" spans="1:10" s="139" customFormat="1" ht="12" customHeight="1" x14ac:dyDescent="0.2">
      <c r="B5" s="370"/>
      <c r="C5" s="371"/>
      <c r="D5" s="372"/>
      <c r="E5" s="373"/>
      <c r="F5" s="374"/>
      <c r="G5" s="375"/>
    </row>
    <row r="6" spans="1:10" s="376" customFormat="1" ht="21" customHeight="1" x14ac:dyDescent="0.2">
      <c r="B6" s="377" t="s">
        <v>80</v>
      </c>
      <c r="C6" s="492" t="s">
        <v>830</v>
      </c>
      <c r="D6" s="366"/>
      <c r="E6" s="367"/>
      <c r="F6" s="368"/>
      <c r="G6" s="369"/>
      <c r="H6" s="378"/>
      <c r="I6" s="378"/>
      <c r="J6" s="378"/>
    </row>
    <row r="7" spans="1:10" s="376" customFormat="1" ht="14.25" x14ac:dyDescent="0.2">
      <c r="B7" s="370"/>
      <c r="C7" s="371"/>
      <c r="D7" s="372"/>
      <c r="E7" s="373"/>
      <c r="F7" s="374"/>
      <c r="G7" s="379"/>
      <c r="H7" s="378"/>
      <c r="I7" s="378"/>
      <c r="J7" s="378"/>
    </row>
    <row r="8" spans="1:10" s="139" customFormat="1" ht="18" customHeight="1" x14ac:dyDescent="0.2">
      <c r="A8" s="140"/>
      <c r="B8" s="143" t="s">
        <v>1</v>
      </c>
      <c r="C8" s="168"/>
      <c r="D8" s="170"/>
      <c r="E8" s="170"/>
      <c r="F8" s="170"/>
      <c r="G8" s="169"/>
    </row>
    <row r="9" spans="1:10" s="139" customFormat="1" ht="18" customHeight="1" x14ac:dyDescent="0.25">
      <c r="A9" s="141"/>
      <c r="B9" s="144" t="s">
        <v>2</v>
      </c>
      <c r="C9" s="171"/>
      <c r="D9" s="172"/>
      <c r="E9" s="173"/>
      <c r="F9" s="173"/>
      <c r="G9" s="172"/>
    </row>
    <row r="10" spans="1:10" s="139" customFormat="1" ht="18" customHeight="1" x14ac:dyDescent="0.2">
      <c r="A10" s="140"/>
      <c r="B10" s="143" t="s">
        <v>3</v>
      </c>
      <c r="C10" s="168"/>
      <c r="D10" s="170"/>
      <c r="E10" s="170"/>
      <c r="F10" s="170"/>
      <c r="G10" s="169"/>
    </row>
    <row r="11" spans="1:10" s="139" customFormat="1" ht="18" customHeight="1" x14ac:dyDescent="0.25">
      <c r="A11" s="141"/>
      <c r="B11" s="144" t="s">
        <v>4</v>
      </c>
      <c r="C11" s="171"/>
      <c r="D11" s="173"/>
      <c r="E11" s="173"/>
      <c r="F11" s="173"/>
      <c r="G11" s="172"/>
    </row>
    <row r="12" spans="1:10" s="376" customFormat="1" ht="14.25" x14ac:dyDescent="0.2">
      <c r="B12" s="380"/>
      <c r="C12" s="381"/>
      <c r="D12" s="382"/>
      <c r="E12" s="383"/>
      <c r="F12" s="384"/>
      <c r="G12" s="385"/>
      <c r="H12" s="378"/>
      <c r="I12" s="378"/>
      <c r="J12" s="378"/>
    </row>
    <row r="13" spans="1:10" s="376" customFormat="1" ht="18.75" customHeight="1" x14ac:dyDescent="0.2">
      <c r="B13" s="386"/>
      <c r="C13" s="387" t="s">
        <v>82</v>
      </c>
      <c r="D13" s="388"/>
      <c r="E13" s="389"/>
      <c r="F13" s="390"/>
      <c r="G13" s="391"/>
      <c r="H13" s="378"/>
      <c r="I13" s="378"/>
      <c r="J13" s="378"/>
    </row>
    <row r="14" spans="1:10" s="139" customFormat="1" ht="18.75" customHeight="1" x14ac:dyDescent="0.2">
      <c r="B14" s="392" t="s">
        <v>83</v>
      </c>
      <c r="C14" s="493" t="s">
        <v>84</v>
      </c>
      <c r="D14" s="393"/>
      <c r="E14" s="394"/>
      <c r="F14" s="395"/>
      <c r="G14" s="396" t="s">
        <v>64</v>
      </c>
    </row>
    <row r="15" spans="1:10" s="397" customFormat="1" ht="18.75" customHeight="1" x14ac:dyDescent="0.25">
      <c r="B15" s="494" t="s">
        <v>10</v>
      </c>
      <c r="C15" s="398" t="s">
        <v>85</v>
      </c>
      <c r="D15" s="399"/>
      <c r="E15" s="400"/>
      <c r="F15" s="401"/>
      <c r="G15" s="474">
        <f>G36</f>
        <v>0</v>
      </c>
    </row>
    <row r="16" spans="1:10" s="397" customFormat="1" ht="18.75" customHeight="1" x14ac:dyDescent="0.25">
      <c r="B16" s="494" t="s">
        <v>12</v>
      </c>
      <c r="C16" s="398" t="s">
        <v>86</v>
      </c>
      <c r="D16" s="399"/>
      <c r="E16" s="400"/>
      <c r="F16" s="401"/>
      <c r="G16" s="474">
        <f>G81</f>
        <v>0</v>
      </c>
    </row>
    <row r="17" spans="2:7" s="397" customFormat="1" ht="18.75" customHeight="1" x14ac:dyDescent="0.25">
      <c r="B17" s="494" t="s">
        <v>17</v>
      </c>
      <c r="C17" s="398" t="s">
        <v>87</v>
      </c>
      <c r="D17" s="399"/>
      <c r="E17" s="400"/>
      <c r="F17" s="401"/>
      <c r="G17" s="474">
        <f>G320</f>
        <v>0</v>
      </c>
    </row>
    <row r="18" spans="2:7" s="397" customFormat="1" ht="18.75" customHeight="1" x14ac:dyDescent="0.25">
      <c r="B18" s="402"/>
      <c r="C18" s="403" t="s">
        <v>88</v>
      </c>
      <c r="D18" s="404"/>
      <c r="E18" s="405"/>
      <c r="F18" s="406"/>
      <c r="G18" s="475">
        <f>SUM(G15:G17)</f>
        <v>0</v>
      </c>
    </row>
    <row r="19" spans="2:7" x14ac:dyDescent="0.2">
      <c r="B19" s="127"/>
      <c r="C19" s="183"/>
      <c r="D19" s="184"/>
      <c r="E19" s="461"/>
      <c r="F19" s="462"/>
    </row>
    <row r="20" spans="2:7" x14ac:dyDescent="0.2">
      <c r="G20" s="466"/>
    </row>
    <row r="21" spans="2:7" ht="24" x14ac:dyDescent="0.2">
      <c r="B21" s="128" t="s">
        <v>83</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ht="27.75" customHeight="1" x14ac:dyDescent="0.2">
      <c r="B24" s="129">
        <v>1</v>
      </c>
      <c r="C24" s="206" t="s">
        <v>94</v>
      </c>
      <c r="D24" s="207" t="s">
        <v>95</v>
      </c>
      <c r="E24" s="353">
        <v>10004</v>
      </c>
      <c r="F24" s="467">
        <v>0</v>
      </c>
      <c r="G24" s="352">
        <f>E24*F24</f>
        <v>0</v>
      </c>
    </row>
    <row r="25" spans="2:7" x14ac:dyDescent="0.2">
      <c r="B25" s="129">
        <v>2</v>
      </c>
      <c r="C25" s="206" t="s">
        <v>96</v>
      </c>
      <c r="D25" s="207" t="s">
        <v>95</v>
      </c>
      <c r="E25" s="353">
        <v>10004</v>
      </c>
      <c r="F25" s="467">
        <v>0</v>
      </c>
      <c r="G25" s="352">
        <f>E25*F25</f>
        <v>0</v>
      </c>
    </row>
    <row r="26" spans="2:7" ht="53.25" customHeight="1" x14ac:dyDescent="0.2">
      <c r="B26" s="129">
        <v>3</v>
      </c>
      <c r="C26" s="206" t="s">
        <v>97</v>
      </c>
      <c r="D26" s="207" t="s">
        <v>98</v>
      </c>
      <c r="E26" s="353">
        <v>1</v>
      </c>
      <c r="F26" s="467">
        <v>0</v>
      </c>
      <c r="G26" s="352">
        <f t="shared" ref="G26:G35" si="0">E26*F26</f>
        <v>0</v>
      </c>
    </row>
    <row r="27" spans="2:7" ht="127.5" customHeight="1" x14ac:dyDescent="0.2">
      <c r="B27" s="129">
        <v>4</v>
      </c>
      <c r="C27" s="208" t="s">
        <v>99</v>
      </c>
      <c r="D27" s="209" t="s">
        <v>98</v>
      </c>
      <c r="E27" s="353">
        <v>1</v>
      </c>
      <c r="F27" s="467">
        <v>0</v>
      </c>
      <c r="G27" s="352">
        <f t="shared" si="0"/>
        <v>0</v>
      </c>
    </row>
    <row r="28" spans="2:7" ht="30.75" customHeight="1" x14ac:dyDescent="0.2">
      <c r="B28" s="129">
        <v>5</v>
      </c>
      <c r="C28" s="208" t="s">
        <v>100</v>
      </c>
      <c r="D28" s="210" t="s">
        <v>98</v>
      </c>
      <c r="E28" s="353">
        <v>1</v>
      </c>
      <c r="F28" s="467">
        <v>0</v>
      </c>
      <c r="G28" s="352">
        <f t="shared" si="0"/>
        <v>0</v>
      </c>
    </row>
    <row r="29" spans="2:7" ht="27" customHeight="1" x14ac:dyDescent="0.2">
      <c r="B29" s="129">
        <v>6</v>
      </c>
      <c r="C29" s="407" t="s">
        <v>101</v>
      </c>
      <c r="D29" s="210" t="s">
        <v>98</v>
      </c>
      <c r="E29" s="353">
        <v>1</v>
      </c>
      <c r="F29" s="467">
        <v>0</v>
      </c>
      <c r="G29" s="352">
        <f t="shared" si="0"/>
        <v>0</v>
      </c>
    </row>
    <row r="30" spans="2:7" ht="52.5" customHeight="1" x14ac:dyDescent="0.2">
      <c r="B30" s="129">
        <v>7</v>
      </c>
      <c r="C30" s="407" t="s">
        <v>102</v>
      </c>
      <c r="D30" s="210" t="s">
        <v>98</v>
      </c>
      <c r="E30" s="353">
        <v>1</v>
      </c>
      <c r="F30" s="467">
        <v>0</v>
      </c>
      <c r="G30" s="352">
        <f t="shared" si="0"/>
        <v>0</v>
      </c>
    </row>
    <row r="31" spans="2:7" ht="38.25" customHeight="1" x14ac:dyDescent="0.2">
      <c r="B31" s="129">
        <v>8</v>
      </c>
      <c r="C31" s="3165" t="s">
        <v>2592</v>
      </c>
      <c r="D31" s="210" t="s">
        <v>95</v>
      </c>
      <c r="E31" s="353">
        <v>10694</v>
      </c>
      <c r="F31" s="467">
        <v>0</v>
      </c>
      <c r="G31" s="352">
        <f t="shared" si="0"/>
        <v>0</v>
      </c>
    </row>
    <row r="32" spans="2:7" ht="27.75" customHeight="1" x14ac:dyDescent="0.2">
      <c r="B32" s="129">
        <v>9</v>
      </c>
      <c r="C32" s="3165" t="s">
        <v>2591</v>
      </c>
      <c r="D32" s="210" t="s">
        <v>98</v>
      </c>
      <c r="E32" s="353">
        <v>1</v>
      </c>
      <c r="F32" s="467">
        <v>0</v>
      </c>
      <c r="G32" s="352">
        <f t="shared" si="0"/>
        <v>0</v>
      </c>
    </row>
    <row r="33" spans="2:10" ht="14.25" customHeight="1" x14ac:dyDescent="0.2">
      <c r="B33" s="129">
        <v>10</v>
      </c>
      <c r="C33" s="407" t="s">
        <v>105</v>
      </c>
      <c r="D33" s="210" t="s">
        <v>98</v>
      </c>
      <c r="E33" s="353">
        <v>1</v>
      </c>
      <c r="F33" s="467">
        <v>0</v>
      </c>
      <c r="G33" s="352">
        <f t="shared" si="0"/>
        <v>0</v>
      </c>
    </row>
    <row r="34" spans="2:10" ht="38.25" customHeight="1" x14ac:dyDescent="0.2">
      <c r="B34" s="129">
        <v>11</v>
      </c>
      <c r="C34" s="212" t="s">
        <v>106</v>
      </c>
      <c r="D34" s="210" t="s">
        <v>98</v>
      </c>
      <c r="E34" s="468">
        <v>1</v>
      </c>
      <c r="F34" s="467">
        <v>0</v>
      </c>
      <c r="G34" s="352">
        <f t="shared" si="0"/>
        <v>0</v>
      </c>
    </row>
    <row r="35" spans="2:10" ht="39.75" customHeight="1" x14ac:dyDescent="0.2">
      <c r="B35" s="129">
        <v>12</v>
      </c>
      <c r="C35" s="307" t="s">
        <v>107</v>
      </c>
      <c r="D35" s="210" t="s">
        <v>98</v>
      </c>
      <c r="E35" s="468">
        <v>1</v>
      </c>
      <c r="F35" s="467">
        <v>0</v>
      </c>
      <c r="G35" s="352">
        <f t="shared" si="0"/>
        <v>0</v>
      </c>
    </row>
    <row r="36" spans="2:10" s="147" customFormat="1" ht="23.25" customHeight="1" x14ac:dyDescent="0.25">
      <c r="B36" s="327" t="s">
        <v>10</v>
      </c>
      <c r="C36" s="214" t="s">
        <v>108</v>
      </c>
      <c r="D36" s="214"/>
      <c r="E36" s="215"/>
      <c r="F36" s="216"/>
      <c r="G36" s="290">
        <f>SUM(G24:G35)</f>
        <v>0</v>
      </c>
    </row>
    <row r="37" spans="2:10" x14ac:dyDescent="0.2">
      <c r="B37" s="129"/>
      <c r="C37" s="197"/>
      <c r="D37" s="198"/>
      <c r="E37" s="353"/>
      <c r="F37" s="358"/>
      <c r="G37" s="350"/>
    </row>
    <row r="38" spans="2:10" ht="24" x14ac:dyDescent="0.2">
      <c r="B38" s="128" t="s">
        <v>83</v>
      </c>
      <c r="C38" s="192" t="s">
        <v>89</v>
      </c>
      <c r="D38" s="193" t="s">
        <v>90</v>
      </c>
      <c r="E38" s="194" t="s">
        <v>91</v>
      </c>
      <c r="F38" s="195" t="s">
        <v>92</v>
      </c>
      <c r="G38" s="196" t="s">
        <v>93</v>
      </c>
    </row>
    <row r="39" spans="2:10" x14ac:dyDescent="0.2">
      <c r="B39" s="129"/>
      <c r="C39" s="217"/>
      <c r="D39" s="207"/>
      <c r="E39" s="353"/>
      <c r="F39" s="358"/>
      <c r="G39" s="350"/>
    </row>
    <row r="40" spans="2:10" s="295" customFormat="1" ht="20.25" x14ac:dyDescent="0.3">
      <c r="B40" s="303" t="s">
        <v>12</v>
      </c>
      <c r="C40" s="304" t="s">
        <v>109</v>
      </c>
      <c r="D40" s="298"/>
      <c r="E40" s="299"/>
      <c r="F40" s="300"/>
      <c r="G40" s="301"/>
    </row>
    <row r="41" spans="2:10" s="130" customFormat="1" ht="71.25" customHeight="1" x14ac:dyDescent="0.2">
      <c r="B41" s="3184" t="s">
        <v>110</v>
      </c>
      <c r="C41" s="3185"/>
      <c r="D41" s="3185"/>
      <c r="E41" s="3185"/>
      <c r="F41" s="3185"/>
      <c r="G41" s="3186"/>
    </row>
    <row r="42" spans="2:10" ht="27.75" customHeight="1" x14ac:dyDescent="0.2">
      <c r="B42" s="131">
        <v>1</v>
      </c>
      <c r="C42" s="206" t="s">
        <v>111</v>
      </c>
      <c r="D42" s="207" t="s">
        <v>112</v>
      </c>
      <c r="E42" s="353">
        <v>597.6</v>
      </c>
      <c r="F42" s="467">
        <v>0</v>
      </c>
      <c r="G42" s="352">
        <f t="shared" ref="G42:G80" si="1">E42*F42</f>
        <v>0</v>
      </c>
    </row>
    <row r="43" spans="2:10" ht="39" customHeight="1" x14ac:dyDescent="0.2">
      <c r="B43" s="131">
        <v>2</v>
      </c>
      <c r="C43" s="206" t="s">
        <v>113</v>
      </c>
      <c r="D43" s="207" t="s">
        <v>95</v>
      </c>
      <c r="E43" s="353">
        <v>3750</v>
      </c>
      <c r="F43" s="467">
        <v>0</v>
      </c>
      <c r="G43" s="352">
        <f t="shared" si="1"/>
        <v>0</v>
      </c>
    </row>
    <row r="44" spans="2:10" ht="27" customHeight="1" x14ac:dyDescent="0.2">
      <c r="B44" s="312" t="s">
        <v>173</v>
      </c>
      <c r="C44" s="206" t="s">
        <v>831</v>
      </c>
      <c r="D44" s="207" t="s">
        <v>95</v>
      </c>
      <c r="E44" s="353">
        <v>500</v>
      </c>
      <c r="F44" s="467">
        <v>0</v>
      </c>
      <c r="G44" s="352">
        <f t="shared" si="1"/>
        <v>0</v>
      </c>
    </row>
    <row r="45" spans="2:10" ht="36" x14ac:dyDescent="0.2">
      <c r="B45" s="131">
        <v>3</v>
      </c>
      <c r="C45" s="206" t="s">
        <v>114</v>
      </c>
      <c r="D45" s="209" t="s">
        <v>112</v>
      </c>
      <c r="E45" s="353">
        <v>1347.44</v>
      </c>
      <c r="F45" s="467">
        <v>0</v>
      </c>
      <c r="G45" s="352">
        <f t="shared" si="1"/>
        <v>0</v>
      </c>
      <c r="I45" s="134"/>
      <c r="J45" s="134"/>
    </row>
    <row r="46" spans="2:10" ht="39.75" customHeight="1" x14ac:dyDescent="0.2">
      <c r="B46" s="131">
        <v>4</v>
      </c>
      <c r="C46" s="206" t="s">
        <v>115</v>
      </c>
      <c r="D46" s="209" t="s">
        <v>112</v>
      </c>
      <c r="E46" s="353">
        <v>7635.52</v>
      </c>
      <c r="F46" s="467">
        <v>0</v>
      </c>
      <c r="G46" s="352">
        <f t="shared" si="1"/>
        <v>0</v>
      </c>
    </row>
    <row r="47" spans="2:10" ht="29.25" customHeight="1" x14ac:dyDescent="0.2">
      <c r="B47" s="131">
        <v>5</v>
      </c>
      <c r="C47" s="311" t="s">
        <v>116</v>
      </c>
      <c r="D47" s="219" t="s">
        <v>117</v>
      </c>
      <c r="E47" s="471">
        <v>3208.2</v>
      </c>
      <c r="F47" s="467">
        <v>0</v>
      </c>
      <c r="G47" s="352">
        <f t="shared" si="1"/>
        <v>0</v>
      </c>
    </row>
    <row r="48" spans="2:10" ht="29.25" customHeight="1" x14ac:dyDescent="0.2">
      <c r="B48" s="131">
        <v>6</v>
      </c>
      <c r="C48" s="206" t="s">
        <v>118</v>
      </c>
      <c r="D48" s="209" t="s">
        <v>117</v>
      </c>
      <c r="E48" s="353">
        <v>10694</v>
      </c>
      <c r="F48" s="467">
        <v>0</v>
      </c>
      <c r="G48" s="352">
        <f t="shared" si="1"/>
        <v>0</v>
      </c>
    </row>
    <row r="49" spans="2:7" ht="24" x14ac:dyDescent="0.2">
      <c r="B49" s="131">
        <v>8</v>
      </c>
      <c r="C49" s="206" t="s">
        <v>119</v>
      </c>
      <c r="D49" s="209" t="s">
        <v>112</v>
      </c>
      <c r="E49" s="353">
        <v>1743</v>
      </c>
      <c r="F49" s="467">
        <v>0</v>
      </c>
      <c r="G49" s="352">
        <f t="shared" si="1"/>
        <v>0</v>
      </c>
    </row>
    <row r="50" spans="2:7" ht="40.5" customHeight="1" x14ac:dyDescent="0.2">
      <c r="B50" s="131">
        <v>9</v>
      </c>
      <c r="C50" s="208" t="s">
        <v>120</v>
      </c>
      <c r="D50" s="209" t="s">
        <v>112</v>
      </c>
      <c r="E50" s="353">
        <v>5027.96</v>
      </c>
      <c r="F50" s="467">
        <v>0</v>
      </c>
      <c r="G50" s="352">
        <f t="shared" si="1"/>
        <v>0</v>
      </c>
    </row>
    <row r="51" spans="2:7" s="130" customFormat="1" ht="39" customHeight="1" x14ac:dyDescent="0.2">
      <c r="B51" s="131">
        <v>10</v>
      </c>
      <c r="C51" s="314" t="s">
        <v>121</v>
      </c>
      <c r="D51" s="210" t="s">
        <v>112</v>
      </c>
      <c r="E51" s="353">
        <v>2212</v>
      </c>
      <c r="F51" s="467">
        <v>0</v>
      </c>
      <c r="G51" s="352">
        <f t="shared" si="1"/>
        <v>0</v>
      </c>
    </row>
    <row r="52" spans="2:7" s="147" customFormat="1" ht="54" customHeight="1" x14ac:dyDescent="0.25">
      <c r="B52" s="3187">
        <v>11</v>
      </c>
      <c r="C52" s="308" t="s">
        <v>122</v>
      </c>
      <c r="D52" s="210"/>
      <c r="E52" s="353">
        <v>0</v>
      </c>
      <c r="F52" s="467"/>
      <c r="G52" s="352"/>
    </row>
    <row r="53" spans="2:7" s="147" customFormat="1" ht="15" customHeight="1" x14ac:dyDescent="0.25">
      <c r="B53" s="3188"/>
      <c r="C53" s="308" t="s">
        <v>124</v>
      </c>
      <c r="D53" s="207" t="s">
        <v>95</v>
      </c>
      <c r="E53" s="353">
        <v>50</v>
      </c>
      <c r="F53" s="467">
        <v>0</v>
      </c>
      <c r="G53" s="352">
        <f t="shared" si="1"/>
        <v>0</v>
      </c>
    </row>
    <row r="54" spans="2:7" ht="25.5" customHeight="1" x14ac:dyDescent="0.2">
      <c r="B54" s="131">
        <v>12</v>
      </c>
      <c r="C54" s="206" t="s">
        <v>125</v>
      </c>
      <c r="D54" s="209" t="s">
        <v>95</v>
      </c>
      <c r="E54" s="353">
        <v>2200</v>
      </c>
      <c r="F54" s="467">
        <v>0</v>
      </c>
      <c r="G54" s="352">
        <f t="shared" si="1"/>
        <v>0</v>
      </c>
    </row>
    <row r="55" spans="2:7" ht="16.5" customHeight="1" x14ac:dyDescent="0.2">
      <c r="B55" s="131">
        <v>13</v>
      </c>
      <c r="C55" s="206" t="s">
        <v>126</v>
      </c>
      <c r="D55" s="207" t="s">
        <v>117</v>
      </c>
      <c r="E55" s="353">
        <v>2200</v>
      </c>
      <c r="F55" s="467">
        <v>0</v>
      </c>
      <c r="G55" s="352">
        <f t="shared" si="1"/>
        <v>0</v>
      </c>
    </row>
    <row r="56" spans="2:7" ht="48" x14ac:dyDescent="0.2">
      <c r="B56" s="131">
        <v>14</v>
      </c>
      <c r="C56" s="206" t="s">
        <v>127</v>
      </c>
      <c r="D56" s="207" t="s">
        <v>117</v>
      </c>
      <c r="E56" s="353">
        <v>2200</v>
      </c>
      <c r="F56" s="467">
        <v>0</v>
      </c>
      <c r="G56" s="352">
        <f t="shared" si="1"/>
        <v>0</v>
      </c>
    </row>
    <row r="57" spans="2:7" ht="51.75" customHeight="1" x14ac:dyDescent="0.2">
      <c r="B57" s="312" t="s">
        <v>128</v>
      </c>
      <c r="C57" s="208" t="s">
        <v>129</v>
      </c>
      <c r="D57" s="209" t="s">
        <v>117</v>
      </c>
      <c r="E57" s="353">
        <v>2200</v>
      </c>
      <c r="F57" s="467">
        <v>0</v>
      </c>
      <c r="G57" s="352">
        <f t="shared" si="1"/>
        <v>0</v>
      </c>
    </row>
    <row r="58" spans="2:7" ht="64.5" customHeight="1" x14ac:dyDescent="0.2">
      <c r="B58" s="312" t="s">
        <v>130</v>
      </c>
      <c r="C58" s="208" t="s">
        <v>131</v>
      </c>
      <c r="D58" s="209" t="s">
        <v>117</v>
      </c>
      <c r="E58" s="353">
        <v>2640</v>
      </c>
      <c r="F58" s="467">
        <v>0</v>
      </c>
      <c r="G58" s="352">
        <f>E58*F58</f>
        <v>0</v>
      </c>
    </row>
    <row r="59" spans="2:7" ht="39" customHeight="1" x14ac:dyDescent="0.2">
      <c r="B59" s="312" t="s">
        <v>2596</v>
      </c>
      <c r="C59" s="206" t="s">
        <v>832</v>
      </c>
      <c r="D59" s="209" t="s">
        <v>117</v>
      </c>
      <c r="E59" s="353">
        <v>5250</v>
      </c>
      <c r="F59" s="467">
        <v>0</v>
      </c>
      <c r="G59" s="352">
        <f>E59*F59</f>
        <v>0</v>
      </c>
    </row>
    <row r="60" spans="2:7" ht="38.25" customHeight="1" x14ac:dyDescent="0.2">
      <c r="B60" s="131">
        <v>16</v>
      </c>
      <c r="C60" s="206" t="s">
        <v>132</v>
      </c>
      <c r="D60" s="207" t="s">
        <v>117</v>
      </c>
      <c r="E60" s="353">
        <v>440</v>
      </c>
      <c r="F60" s="467">
        <v>0</v>
      </c>
      <c r="G60" s="352">
        <f t="shared" si="1"/>
        <v>0</v>
      </c>
    </row>
    <row r="61" spans="2:7" ht="14.25" customHeight="1" x14ac:dyDescent="0.2">
      <c r="B61" s="131">
        <v>17</v>
      </c>
      <c r="C61" s="206" t="s">
        <v>133</v>
      </c>
      <c r="D61" s="209" t="s">
        <v>112</v>
      </c>
      <c r="E61" s="353">
        <v>597.6</v>
      </c>
      <c r="F61" s="467">
        <v>0</v>
      </c>
      <c r="G61" s="352">
        <f t="shared" si="1"/>
        <v>0</v>
      </c>
    </row>
    <row r="62" spans="2:7" ht="14.25" customHeight="1" x14ac:dyDescent="0.2">
      <c r="B62" s="131">
        <v>18</v>
      </c>
      <c r="C62" s="206" t="s">
        <v>134</v>
      </c>
      <c r="D62" s="209" t="s">
        <v>112</v>
      </c>
      <c r="E62" s="353">
        <v>10837.56</v>
      </c>
      <c r="F62" s="467">
        <v>0</v>
      </c>
      <c r="G62" s="352">
        <f t="shared" si="1"/>
        <v>0</v>
      </c>
    </row>
    <row r="63" spans="2:7" ht="15.75" customHeight="1" x14ac:dyDescent="0.2">
      <c r="B63" s="131">
        <v>19</v>
      </c>
      <c r="C63" s="206" t="s">
        <v>135</v>
      </c>
      <c r="D63" s="209" t="s">
        <v>112</v>
      </c>
      <c r="E63" s="353">
        <v>10837.56</v>
      </c>
      <c r="F63" s="467">
        <v>0</v>
      </c>
      <c r="G63" s="352">
        <f t="shared" si="1"/>
        <v>0</v>
      </c>
    </row>
    <row r="64" spans="2:7" ht="27.75" customHeight="1" x14ac:dyDescent="0.2">
      <c r="B64" s="131">
        <v>20</v>
      </c>
      <c r="C64" s="206" t="s">
        <v>136</v>
      </c>
      <c r="D64" s="209" t="s">
        <v>137</v>
      </c>
      <c r="E64" s="353">
        <v>440</v>
      </c>
      <c r="F64" s="467">
        <v>0</v>
      </c>
      <c r="G64" s="352">
        <f t="shared" si="1"/>
        <v>0</v>
      </c>
    </row>
    <row r="65" spans="2:7" ht="30" customHeight="1" x14ac:dyDescent="0.2">
      <c r="B65" s="131">
        <v>21</v>
      </c>
      <c r="C65" s="206" t="s">
        <v>138</v>
      </c>
      <c r="D65" s="207" t="s">
        <v>117</v>
      </c>
      <c r="E65" s="353">
        <v>3950</v>
      </c>
      <c r="F65" s="467">
        <v>0</v>
      </c>
      <c r="G65" s="352">
        <f t="shared" si="1"/>
        <v>0</v>
      </c>
    </row>
    <row r="66" spans="2:7" s="130" customFormat="1" ht="51.75" customHeight="1" x14ac:dyDescent="0.2">
      <c r="B66" s="3187">
        <v>22</v>
      </c>
      <c r="C66" s="408" t="s">
        <v>139</v>
      </c>
      <c r="D66" s="221"/>
      <c r="E66" s="353"/>
      <c r="F66" s="467"/>
      <c r="G66" s="352"/>
    </row>
    <row r="67" spans="2:7" s="130" customFormat="1" x14ac:dyDescent="0.2">
      <c r="B67" s="3188"/>
      <c r="C67" s="291" t="s">
        <v>713</v>
      </c>
      <c r="D67" s="221" t="s">
        <v>95</v>
      </c>
      <c r="E67" s="353">
        <v>37</v>
      </c>
      <c r="F67" s="467">
        <v>0</v>
      </c>
      <c r="G67" s="352">
        <f t="shared" si="1"/>
        <v>0</v>
      </c>
    </row>
    <row r="68" spans="2:7" ht="39.75" customHeight="1" x14ac:dyDescent="0.2">
      <c r="B68" s="3187">
        <v>23</v>
      </c>
      <c r="C68" s="409" t="s">
        <v>309</v>
      </c>
      <c r="D68" s="207"/>
      <c r="E68" s="353"/>
      <c r="F68" s="353"/>
      <c r="G68" s="352"/>
    </row>
    <row r="69" spans="2:7" s="130" customFormat="1" x14ac:dyDescent="0.2">
      <c r="B69" s="3188"/>
      <c r="C69" s="291" t="s">
        <v>714</v>
      </c>
      <c r="D69" s="221" t="s">
        <v>95</v>
      </c>
      <c r="E69" s="353">
        <v>103</v>
      </c>
      <c r="F69" s="467">
        <v>0</v>
      </c>
      <c r="G69" s="352">
        <f t="shared" ref="G69:G71" si="2">E69*F69</f>
        <v>0</v>
      </c>
    </row>
    <row r="70" spans="2:7" s="130" customFormat="1" x14ac:dyDescent="0.2">
      <c r="B70" s="3188"/>
      <c r="C70" s="291" t="s">
        <v>715</v>
      </c>
      <c r="D70" s="221" t="s">
        <v>95</v>
      </c>
      <c r="E70" s="353">
        <v>70</v>
      </c>
      <c r="F70" s="467">
        <v>0</v>
      </c>
      <c r="G70" s="352">
        <f t="shared" si="2"/>
        <v>0</v>
      </c>
    </row>
    <row r="71" spans="2:7" s="130" customFormat="1" x14ac:dyDescent="0.2">
      <c r="B71" s="3189"/>
      <c r="C71" s="291" t="s">
        <v>716</v>
      </c>
      <c r="D71" s="221" t="s">
        <v>95</v>
      </c>
      <c r="E71" s="353">
        <v>70</v>
      </c>
      <c r="F71" s="467">
        <v>0</v>
      </c>
      <c r="G71" s="352">
        <f t="shared" si="2"/>
        <v>0</v>
      </c>
    </row>
    <row r="72" spans="2:7" ht="39.75" customHeight="1" x14ac:dyDescent="0.2">
      <c r="B72" s="131">
        <v>24</v>
      </c>
      <c r="C72" s="409" t="s">
        <v>142</v>
      </c>
      <c r="D72" s="207" t="s">
        <v>117</v>
      </c>
      <c r="E72" s="353">
        <v>30</v>
      </c>
      <c r="F72" s="467">
        <v>0</v>
      </c>
      <c r="G72" s="352">
        <f t="shared" si="1"/>
        <v>0</v>
      </c>
    </row>
    <row r="73" spans="2:7" ht="25.5" customHeight="1" x14ac:dyDescent="0.2">
      <c r="B73" s="131">
        <v>25</v>
      </c>
      <c r="C73" s="409" t="s">
        <v>143</v>
      </c>
      <c r="D73" s="207" t="s">
        <v>95</v>
      </c>
      <c r="E73" s="353">
        <v>150</v>
      </c>
      <c r="F73" s="467">
        <v>0</v>
      </c>
      <c r="G73" s="352">
        <f t="shared" si="1"/>
        <v>0</v>
      </c>
    </row>
    <row r="74" spans="2:7" ht="25.5" customHeight="1" x14ac:dyDescent="0.2">
      <c r="B74" s="312"/>
      <c r="C74" s="409" t="s">
        <v>833</v>
      </c>
      <c r="D74" s="207" t="s">
        <v>117</v>
      </c>
      <c r="E74" s="353">
        <v>950</v>
      </c>
      <c r="F74" s="467">
        <v>0</v>
      </c>
      <c r="G74" s="352">
        <f t="shared" si="1"/>
        <v>0</v>
      </c>
    </row>
    <row r="75" spans="2:7" ht="75.75" customHeight="1" x14ac:dyDescent="0.2">
      <c r="B75" s="312"/>
      <c r="C75" s="409" t="s">
        <v>146</v>
      </c>
      <c r="D75" s="207" t="s">
        <v>117</v>
      </c>
      <c r="E75" s="353">
        <v>350</v>
      </c>
      <c r="F75" s="467">
        <v>0</v>
      </c>
      <c r="G75" s="352">
        <f t="shared" si="1"/>
        <v>0</v>
      </c>
    </row>
    <row r="76" spans="2:7" ht="186.75" customHeight="1" x14ac:dyDescent="0.2">
      <c r="B76" s="131">
        <v>28</v>
      </c>
      <c r="C76" s="410" t="s">
        <v>834</v>
      </c>
      <c r="D76" s="222" t="s">
        <v>149</v>
      </c>
      <c r="E76" s="472">
        <v>4</v>
      </c>
      <c r="F76" s="467">
        <v>0</v>
      </c>
      <c r="G76" s="352">
        <f t="shared" si="1"/>
        <v>0</v>
      </c>
    </row>
    <row r="77" spans="2:7" ht="29.25" customHeight="1" x14ac:dyDescent="0.2">
      <c r="B77" s="411">
        <v>30</v>
      </c>
      <c r="C77" s="410" t="s">
        <v>151</v>
      </c>
      <c r="D77" s="222" t="s">
        <v>112</v>
      </c>
      <c r="E77" s="472">
        <v>20</v>
      </c>
      <c r="F77" s="467">
        <v>0</v>
      </c>
      <c r="G77" s="352">
        <f t="shared" si="1"/>
        <v>0</v>
      </c>
    </row>
    <row r="78" spans="2:7" ht="36.75" customHeight="1" x14ac:dyDescent="0.2">
      <c r="B78" s="131">
        <v>31</v>
      </c>
      <c r="C78" s="223" t="s">
        <v>152</v>
      </c>
      <c r="D78" s="222" t="s">
        <v>149</v>
      </c>
      <c r="E78" s="472">
        <v>191</v>
      </c>
      <c r="F78" s="467">
        <v>0</v>
      </c>
      <c r="G78" s="352">
        <f t="shared" si="1"/>
        <v>0</v>
      </c>
    </row>
    <row r="79" spans="2:7" ht="30" customHeight="1" x14ac:dyDescent="0.2">
      <c r="B79" s="411">
        <v>32</v>
      </c>
      <c r="C79" s="223" t="s">
        <v>153</v>
      </c>
      <c r="D79" s="222" t="s">
        <v>112</v>
      </c>
      <c r="E79" s="472">
        <v>37</v>
      </c>
      <c r="F79" s="467">
        <v>0</v>
      </c>
      <c r="G79" s="352">
        <f t="shared" si="1"/>
        <v>0</v>
      </c>
    </row>
    <row r="80" spans="2:7" ht="28.5" customHeight="1" x14ac:dyDescent="0.2">
      <c r="B80" s="131">
        <v>33</v>
      </c>
      <c r="C80" s="223" t="s">
        <v>155</v>
      </c>
      <c r="D80" s="222" t="s">
        <v>156</v>
      </c>
      <c r="E80" s="472">
        <v>40</v>
      </c>
      <c r="F80" s="467">
        <v>0</v>
      </c>
      <c r="G80" s="352">
        <f t="shared" si="1"/>
        <v>0</v>
      </c>
    </row>
    <row r="81" spans="1:7" s="147" customFormat="1" ht="21.75" customHeight="1" x14ac:dyDescent="0.25">
      <c r="B81" s="327" t="s">
        <v>12</v>
      </c>
      <c r="C81" s="214" t="s">
        <v>157</v>
      </c>
      <c r="D81" s="224"/>
      <c r="E81" s="215"/>
      <c r="F81" s="216"/>
      <c r="G81" s="290">
        <f>SUM(G42:G80)</f>
        <v>0</v>
      </c>
    </row>
    <row r="82" spans="1:7" x14ac:dyDescent="0.2">
      <c r="B82" s="129"/>
      <c r="C82" s="197"/>
      <c r="D82" s="198"/>
      <c r="E82" s="353"/>
      <c r="F82" s="358"/>
      <c r="G82" s="350"/>
    </row>
    <row r="83" spans="1:7" ht="24" x14ac:dyDescent="0.2">
      <c r="B83" s="128" t="s">
        <v>83</v>
      </c>
      <c r="C83" s="192" t="s">
        <v>89</v>
      </c>
      <c r="D83" s="192" t="s">
        <v>90</v>
      </c>
      <c r="E83" s="194" t="s">
        <v>91</v>
      </c>
      <c r="F83" s="195" t="s">
        <v>92</v>
      </c>
      <c r="G83" s="196" t="s">
        <v>93</v>
      </c>
    </row>
    <row r="84" spans="1:7" x14ac:dyDescent="0.2">
      <c r="B84" s="129"/>
      <c r="C84" s="197"/>
      <c r="D84" s="207"/>
      <c r="E84" s="353"/>
      <c r="F84" s="358"/>
      <c r="G84" s="350"/>
    </row>
    <row r="85" spans="1:7" s="295" customFormat="1" ht="20.25" x14ac:dyDescent="0.3">
      <c r="B85" s="296" t="s">
        <v>17</v>
      </c>
      <c r="C85" s="297" t="s">
        <v>158</v>
      </c>
      <c r="D85" s="298"/>
      <c r="E85" s="299"/>
      <c r="F85" s="300"/>
      <c r="G85" s="301"/>
    </row>
    <row r="86" spans="1:7" s="139" customFormat="1" ht="18" customHeight="1" x14ac:dyDescent="0.2">
      <c r="A86" s="140"/>
      <c r="B86" s="143" t="s">
        <v>1</v>
      </c>
      <c r="C86" s="168"/>
      <c r="D86" s="170"/>
      <c r="E86" s="170"/>
      <c r="F86" s="170"/>
      <c r="G86" s="169"/>
    </row>
    <row r="87" spans="1:7" s="139" customFormat="1" ht="18" customHeight="1" x14ac:dyDescent="0.25">
      <c r="A87" s="141"/>
      <c r="B87" s="144" t="s">
        <v>2</v>
      </c>
      <c r="C87" s="171"/>
      <c r="D87" s="172"/>
      <c r="E87" s="173"/>
      <c r="F87" s="173"/>
      <c r="G87" s="172"/>
    </row>
    <row r="88" spans="1:7" s="139" customFormat="1" ht="18" customHeight="1" x14ac:dyDescent="0.2">
      <c r="A88" s="140"/>
      <c r="B88" s="143" t="s">
        <v>3</v>
      </c>
      <c r="C88" s="168"/>
      <c r="D88" s="170"/>
      <c r="E88" s="170"/>
      <c r="F88" s="170"/>
      <c r="G88" s="169"/>
    </row>
    <row r="89" spans="1:7" s="139" customFormat="1" ht="18" customHeight="1" x14ac:dyDescent="0.25">
      <c r="A89" s="141"/>
      <c r="B89" s="144" t="s">
        <v>4</v>
      </c>
      <c r="C89" s="171"/>
      <c r="D89" s="173"/>
      <c r="E89" s="173"/>
      <c r="F89" s="173"/>
      <c r="G89" s="172"/>
    </row>
    <row r="90" spans="1:7" s="130" customFormat="1" ht="18.75" customHeight="1" x14ac:dyDescent="0.2">
      <c r="B90" s="3184" t="s">
        <v>159</v>
      </c>
      <c r="C90" s="3185"/>
      <c r="D90" s="3185"/>
      <c r="E90" s="3185"/>
      <c r="F90" s="3185"/>
      <c r="G90" s="3186"/>
    </row>
    <row r="91" spans="1:7" s="130" customFormat="1" ht="18.75" customHeight="1" x14ac:dyDescent="0.2">
      <c r="B91" s="3184" t="s">
        <v>160</v>
      </c>
      <c r="C91" s="3185"/>
      <c r="D91" s="3185"/>
      <c r="E91" s="3185"/>
      <c r="F91" s="3185"/>
      <c r="G91" s="3186"/>
    </row>
    <row r="92" spans="1:7" s="130" customFormat="1" ht="18.75" customHeight="1" x14ac:dyDescent="0.2">
      <c r="B92" s="3184" t="s">
        <v>161</v>
      </c>
      <c r="C92" s="3185"/>
      <c r="D92" s="3185"/>
      <c r="E92" s="3185"/>
      <c r="F92" s="3185"/>
      <c r="G92" s="3186"/>
    </row>
    <row r="93" spans="1:7" ht="30" customHeight="1" x14ac:dyDescent="0.2">
      <c r="B93" s="153">
        <v>1</v>
      </c>
      <c r="C93" s="412" t="s">
        <v>162</v>
      </c>
      <c r="D93" s="226"/>
      <c r="E93" s="353"/>
      <c r="F93" s="358"/>
      <c r="G93" s="350"/>
    </row>
    <row r="94" spans="1:7" s="147" customFormat="1" ht="18.75" customHeight="1" x14ac:dyDescent="0.25">
      <c r="B94" s="148"/>
      <c r="C94" s="418" t="s">
        <v>163</v>
      </c>
      <c r="D94" s="226" t="s">
        <v>95</v>
      </c>
      <c r="E94" s="353">
        <v>1211.4000000000001</v>
      </c>
      <c r="F94" s="467">
        <v>0</v>
      </c>
      <c r="G94" s="352">
        <f t="shared" ref="G94:G106" si="3">E94*F94</f>
        <v>0</v>
      </c>
    </row>
    <row r="95" spans="1:7" s="147" customFormat="1" ht="24.75" customHeight="1" x14ac:dyDescent="0.25">
      <c r="B95" s="148"/>
      <c r="C95" s="418" t="s">
        <v>164</v>
      </c>
      <c r="D95" s="226" t="s">
        <v>95</v>
      </c>
      <c r="E95" s="353">
        <v>134.6</v>
      </c>
      <c r="F95" s="467">
        <v>0</v>
      </c>
      <c r="G95" s="352">
        <f t="shared" si="3"/>
        <v>0</v>
      </c>
    </row>
    <row r="96" spans="1:7" s="147" customFormat="1" ht="18.75" customHeight="1" x14ac:dyDescent="0.25">
      <c r="B96" s="148"/>
      <c r="C96" s="418" t="s">
        <v>723</v>
      </c>
      <c r="D96" s="226" t="s">
        <v>95</v>
      </c>
      <c r="E96" s="353">
        <v>1356.3</v>
      </c>
      <c r="F96" s="467">
        <v>0</v>
      </c>
      <c r="G96" s="352">
        <f t="shared" si="3"/>
        <v>0</v>
      </c>
    </row>
    <row r="97" spans="2:7" s="147" customFormat="1" ht="24.75" customHeight="1" x14ac:dyDescent="0.25">
      <c r="B97" s="148"/>
      <c r="C97" s="418" t="s">
        <v>835</v>
      </c>
      <c r="D97" s="226" t="s">
        <v>95</v>
      </c>
      <c r="E97" s="353">
        <v>150.70000000000002</v>
      </c>
      <c r="F97" s="467">
        <v>0</v>
      </c>
      <c r="G97" s="352">
        <f t="shared" si="3"/>
        <v>0</v>
      </c>
    </row>
    <row r="98" spans="2:7" s="147" customFormat="1" ht="18.75" customHeight="1" x14ac:dyDescent="0.25">
      <c r="B98" s="148"/>
      <c r="C98" s="418" t="s">
        <v>821</v>
      </c>
      <c r="D98" s="226" t="s">
        <v>95</v>
      </c>
      <c r="E98" s="353">
        <v>6435.9000000000005</v>
      </c>
      <c r="F98" s="467">
        <v>0</v>
      </c>
      <c r="G98" s="352">
        <f t="shared" si="3"/>
        <v>0</v>
      </c>
    </row>
    <row r="99" spans="2:7" s="147" customFormat="1" ht="27.75" customHeight="1" x14ac:dyDescent="0.25">
      <c r="B99" s="148"/>
      <c r="C99" s="418" t="s">
        <v>822</v>
      </c>
      <c r="D99" s="226" t="s">
        <v>95</v>
      </c>
      <c r="E99" s="353">
        <v>715.1</v>
      </c>
      <c r="F99" s="467">
        <v>0</v>
      </c>
      <c r="G99" s="352">
        <f t="shared" si="3"/>
        <v>0</v>
      </c>
    </row>
    <row r="100" spans="2:7" s="147" customFormat="1" ht="19.5" customHeight="1" x14ac:dyDescent="0.25">
      <c r="B100" s="148"/>
      <c r="C100" s="418" t="s">
        <v>165</v>
      </c>
      <c r="D100" s="226" t="s">
        <v>95</v>
      </c>
      <c r="E100" s="353">
        <v>621</v>
      </c>
      <c r="F100" s="467">
        <v>0</v>
      </c>
      <c r="G100" s="352">
        <f t="shared" si="3"/>
        <v>0</v>
      </c>
    </row>
    <row r="101" spans="2:7" s="147" customFormat="1" ht="27.75" customHeight="1" x14ac:dyDescent="0.25">
      <c r="B101" s="148"/>
      <c r="C101" s="418" t="s">
        <v>166</v>
      </c>
      <c r="D101" s="226" t="s">
        <v>95</v>
      </c>
      <c r="E101" s="353">
        <v>69</v>
      </c>
      <c r="F101" s="467">
        <v>0</v>
      </c>
      <c r="G101" s="352">
        <f t="shared" si="3"/>
        <v>0</v>
      </c>
    </row>
    <row r="102" spans="2:7" s="130" customFormat="1" ht="40.5" customHeight="1" x14ac:dyDescent="0.2">
      <c r="B102" s="3181" t="s">
        <v>167</v>
      </c>
      <c r="C102" s="310" t="s">
        <v>168</v>
      </c>
      <c r="D102" s="221"/>
      <c r="E102" s="353"/>
      <c r="F102" s="467"/>
      <c r="G102" s="352"/>
    </row>
    <row r="103" spans="2:7" s="130" customFormat="1" x14ac:dyDescent="0.2">
      <c r="B103" s="3182"/>
      <c r="C103" s="291" t="s">
        <v>169</v>
      </c>
      <c r="D103" s="221" t="s">
        <v>95</v>
      </c>
      <c r="E103" s="353">
        <v>50</v>
      </c>
      <c r="F103" s="467">
        <v>0</v>
      </c>
      <c r="G103" s="352">
        <f>E103*F103</f>
        <v>0</v>
      </c>
    </row>
    <row r="104" spans="2:7" s="130" customFormat="1" x14ac:dyDescent="0.2">
      <c r="B104" s="3182"/>
      <c r="C104" s="291" t="s">
        <v>170</v>
      </c>
      <c r="D104" s="221" t="s">
        <v>95</v>
      </c>
      <c r="E104" s="353">
        <v>50</v>
      </c>
      <c r="F104" s="467">
        <v>0</v>
      </c>
      <c r="G104" s="352">
        <f>E104*F104</f>
        <v>0</v>
      </c>
    </row>
    <row r="105" spans="2:7" s="130" customFormat="1" x14ac:dyDescent="0.2">
      <c r="B105" s="3183"/>
      <c r="C105" s="291" t="s">
        <v>171</v>
      </c>
      <c r="D105" s="221" t="s">
        <v>95</v>
      </c>
      <c r="E105" s="353">
        <v>100</v>
      </c>
      <c r="F105" s="467">
        <v>0</v>
      </c>
      <c r="G105" s="352">
        <f>E105*F105</f>
        <v>0</v>
      </c>
    </row>
    <row r="106" spans="2:7" ht="40.5" customHeight="1" x14ac:dyDescent="0.2">
      <c r="B106" s="154">
        <v>2</v>
      </c>
      <c r="C106" s="227" t="s">
        <v>172</v>
      </c>
      <c r="D106" s="209" t="s">
        <v>95</v>
      </c>
      <c r="E106" s="348">
        <v>10694</v>
      </c>
      <c r="F106" s="467">
        <v>0</v>
      </c>
      <c r="G106" s="352">
        <f t="shared" si="3"/>
        <v>0</v>
      </c>
    </row>
    <row r="107" spans="2:7" ht="41.25" customHeight="1" x14ac:dyDescent="0.2">
      <c r="B107" s="309" t="s">
        <v>173</v>
      </c>
      <c r="C107" s="227" t="s">
        <v>174</v>
      </c>
      <c r="D107" s="209" t="s">
        <v>95</v>
      </c>
      <c r="E107" s="348">
        <v>10694</v>
      </c>
      <c r="F107" s="467">
        <v>0</v>
      </c>
      <c r="G107" s="352">
        <f>E107*F107</f>
        <v>0</v>
      </c>
    </row>
    <row r="108" spans="2:7" ht="27" customHeight="1" x14ac:dyDescent="0.2">
      <c r="B108" s="309" t="s">
        <v>175</v>
      </c>
      <c r="C108" s="227" t="s">
        <v>176</v>
      </c>
      <c r="D108" s="209" t="s">
        <v>95</v>
      </c>
      <c r="E108" s="348">
        <v>10694</v>
      </c>
      <c r="F108" s="467">
        <v>0</v>
      </c>
      <c r="G108" s="352">
        <f>E108*F108</f>
        <v>0</v>
      </c>
    </row>
    <row r="109" spans="2:7" ht="39" customHeight="1" x14ac:dyDescent="0.2">
      <c r="B109" s="309" t="s">
        <v>177</v>
      </c>
      <c r="C109" s="227" t="s">
        <v>178</v>
      </c>
      <c r="D109" s="209" t="s">
        <v>95</v>
      </c>
      <c r="E109" s="348">
        <v>10694</v>
      </c>
      <c r="F109" s="467">
        <v>0</v>
      </c>
      <c r="G109" s="352">
        <f>E109*F109</f>
        <v>0</v>
      </c>
    </row>
    <row r="110" spans="2:7" ht="27.75" customHeight="1" x14ac:dyDescent="0.2">
      <c r="B110" s="153">
        <v>3</v>
      </c>
      <c r="C110" s="229" t="s">
        <v>179</v>
      </c>
      <c r="D110" s="198"/>
      <c r="E110" s="353"/>
      <c r="F110" s="467"/>
      <c r="G110" s="350"/>
    </row>
    <row r="111" spans="2:7" x14ac:dyDescent="0.2">
      <c r="B111" s="292" t="s">
        <v>180</v>
      </c>
      <c r="C111" s="495" t="s">
        <v>181</v>
      </c>
      <c r="D111" s="231"/>
      <c r="E111" s="232"/>
      <c r="F111" s="233"/>
      <c r="G111" s="234"/>
    </row>
    <row r="112" spans="2:7" x14ac:dyDescent="0.2">
      <c r="B112" s="129"/>
      <c r="C112" s="495" t="s">
        <v>182</v>
      </c>
      <c r="D112" s="231"/>
      <c r="E112" s="232"/>
      <c r="F112" s="233"/>
      <c r="G112" s="234"/>
    </row>
    <row r="113" spans="2:7" s="147" customFormat="1" ht="18" customHeight="1" x14ac:dyDescent="0.25">
      <c r="B113" s="152"/>
      <c r="C113" s="416" t="s">
        <v>183</v>
      </c>
      <c r="D113" s="236" t="s">
        <v>149</v>
      </c>
      <c r="E113" s="232">
        <v>7</v>
      </c>
      <c r="F113" s="271">
        <v>0</v>
      </c>
      <c r="G113" s="272">
        <f>E113*F113</f>
        <v>0</v>
      </c>
    </row>
    <row r="114" spans="2:7" s="147" customFormat="1" ht="18" customHeight="1" x14ac:dyDescent="0.25">
      <c r="B114" s="152"/>
      <c r="C114" s="416" t="s">
        <v>184</v>
      </c>
      <c r="D114" s="236" t="s">
        <v>149</v>
      </c>
      <c r="E114" s="232">
        <v>2</v>
      </c>
      <c r="F114" s="271">
        <v>0</v>
      </c>
      <c r="G114" s="272">
        <f>E114*F114</f>
        <v>0</v>
      </c>
    </row>
    <row r="115" spans="2:7" x14ac:dyDescent="0.2">
      <c r="B115" s="129"/>
      <c r="C115" s="495" t="s">
        <v>836</v>
      </c>
      <c r="D115" s="231"/>
      <c r="E115" s="232"/>
      <c r="F115" s="233"/>
      <c r="G115" s="234"/>
    </row>
    <row r="116" spans="2:7" s="147" customFormat="1" ht="18" customHeight="1" x14ac:dyDescent="0.25">
      <c r="B116" s="152"/>
      <c r="C116" s="416" t="s">
        <v>837</v>
      </c>
      <c r="D116" s="236" t="s">
        <v>149</v>
      </c>
      <c r="E116" s="232">
        <v>7</v>
      </c>
      <c r="F116" s="271">
        <v>0</v>
      </c>
      <c r="G116" s="272">
        <f>E116*F116</f>
        <v>0</v>
      </c>
    </row>
    <row r="117" spans="2:7" x14ac:dyDescent="0.2">
      <c r="B117" s="129"/>
      <c r="C117" s="495" t="s">
        <v>185</v>
      </c>
      <c r="D117" s="231"/>
      <c r="E117" s="232"/>
      <c r="F117" s="233"/>
      <c r="G117" s="234"/>
    </row>
    <row r="118" spans="2:7" s="147" customFormat="1" ht="18" customHeight="1" x14ac:dyDescent="0.25">
      <c r="B118" s="152"/>
      <c r="C118" s="416" t="s">
        <v>186</v>
      </c>
      <c r="D118" s="236" t="s">
        <v>149</v>
      </c>
      <c r="E118" s="232">
        <v>18</v>
      </c>
      <c r="F118" s="271">
        <v>0</v>
      </c>
      <c r="G118" s="272">
        <f>E118*F118</f>
        <v>0</v>
      </c>
    </row>
    <row r="119" spans="2:7" s="147" customFormat="1" ht="18" customHeight="1" x14ac:dyDescent="0.25">
      <c r="B119" s="152"/>
      <c r="C119" s="416" t="s">
        <v>187</v>
      </c>
      <c r="D119" s="236" t="s">
        <v>149</v>
      </c>
      <c r="E119" s="232">
        <v>4</v>
      </c>
      <c r="F119" s="271">
        <v>0</v>
      </c>
      <c r="G119" s="272">
        <f>E119*F119</f>
        <v>0</v>
      </c>
    </row>
    <row r="120" spans="2:7" s="136" customFormat="1" x14ac:dyDescent="0.2">
      <c r="B120" s="292" t="s">
        <v>188</v>
      </c>
      <c r="C120" s="238" t="s">
        <v>189</v>
      </c>
      <c r="D120" s="239"/>
      <c r="E120" s="240"/>
      <c r="F120" s="241">
        <v>0</v>
      </c>
      <c r="G120" s="242"/>
    </row>
    <row r="121" spans="2:7" s="136" customFormat="1" x14ac:dyDescent="0.2">
      <c r="B121" s="135"/>
      <c r="C121" s="238" t="s">
        <v>190</v>
      </c>
      <c r="D121" s="476"/>
      <c r="E121" s="477"/>
      <c r="F121" s="478"/>
      <c r="G121" s="479"/>
    </row>
    <row r="122" spans="2:7" s="136" customFormat="1" x14ac:dyDescent="0.2">
      <c r="B122" s="135"/>
      <c r="C122" s="243" t="s">
        <v>191</v>
      </c>
      <c r="D122" s="239" t="s">
        <v>149</v>
      </c>
      <c r="E122" s="240">
        <v>2</v>
      </c>
      <c r="F122" s="273">
        <v>0</v>
      </c>
      <c r="G122" s="274">
        <f>E122*F122</f>
        <v>0</v>
      </c>
    </row>
    <row r="123" spans="2:7" s="136" customFormat="1" ht="38.25" customHeight="1" x14ac:dyDescent="0.2">
      <c r="B123" s="135"/>
      <c r="C123" s="244" t="s">
        <v>192</v>
      </c>
      <c r="D123" s="239" t="s">
        <v>149</v>
      </c>
      <c r="E123" s="240">
        <v>2</v>
      </c>
      <c r="F123" s="273">
        <v>0</v>
      </c>
      <c r="G123" s="274">
        <f t="shared" ref="G123:G149" si="4">E123*F123</f>
        <v>0</v>
      </c>
    </row>
    <row r="124" spans="2:7" s="136" customFormat="1" x14ac:dyDescent="0.2">
      <c r="B124" s="135"/>
      <c r="C124" s="244" t="s">
        <v>193</v>
      </c>
      <c r="D124" s="239" t="s">
        <v>149</v>
      </c>
      <c r="E124" s="240">
        <v>2</v>
      </c>
      <c r="F124" s="273">
        <v>0</v>
      </c>
      <c r="G124" s="274">
        <f t="shared" si="4"/>
        <v>0</v>
      </c>
    </row>
    <row r="125" spans="2:7" s="136" customFormat="1" x14ac:dyDescent="0.2">
      <c r="B125" s="135"/>
      <c r="C125" s="244" t="s">
        <v>194</v>
      </c>
      <c r="D125" s="239" t="s">
        <v>149</v>
      </c>
      <c r="E125" s="240">
        <v>2</v>
      </c>
      <c r="F125" s="273">
        <v>0</v>
      </c>
      <c r="G125" s="274">
        <f t="shared" si="4"/>
        <v>0</v>
      </c>
    </row>
    <row r="126" spans="2:7" s="136" customFormat="1" x14ac:dyDescent="0.2">
      <c r="B126" s="135"/>
      <c r="C126" s="244" t="s">
        <v>195</v>
      </c>
      <c r="D126" s="239" t="s">
        <v>149</v>
      </c>
      <c r="E126" s="240">
        <v>4</v>
      </c>
      <c r="F126" s="273">
        <v>0</v>
      </c>
      <c r="G126" s="274">
        <f t="shared" si="4"/>
        <v>0</v>
      </c>
    </row>
    <row r="127" spans="2:7" s="136" customFormat="1" x14ac:dyDescent="0.2">
      <c r="B127" s="135"/>
      <c r="C127" s="244" t="s">
        <v>196</v>
      </c>
      <c r="D127" s="239" t="s">
        <v>149</v>
      </c>
      <c r="E127" s="240">
        <v>4</v>
      </c>
      <c r="F127" s="273">
        <v>0</v>
      </c>
      <c r="G127" s="274">
        <f t="shared" si="4"/>
        <v>0</v>
      </c>
    </row>
    <row r="128" spans="2:7" s="136" customFormat="1" x14ac:dyDescent="0.2">
      <c r="B128" s="135"/>
      <c r="C128" s="244" t="s">
        <v>197</v>
      </c>
      <c r="D128" s="239" t="s">
        <v>149</v>
      </c>
      <c r="E128" s="240">
        <v>2</v>
      </c>
      <c r="F128" s="273">
        <v>0</v>
      </c>
      <c r="G128" s="274">
        <f t="shared" si="4"/>
        <v>0</v>
      </c>
    </row>
    <row r="129" spans="2:7" s="136" customFormat="1" x14ac:dyDescent="0.2">
      <c r="B129" s="135"/>
      <c r="C129" s="244" t="s">
        <v>198</v>
      </c>
      <c r="D129" s="239" t="s">
        <v>149</v>
      </c>
      <c r="E129" s="240">
        <v>2</v>
      </c>
      <c r="F129" s="273">
        <v>0</v>
      </c>
      <c r="G129" s="274">
        <f t="shared" si="4"/>
        <v>0</v>
      </c>
    </row>
    <row r="130" spans="2:7" s="136" customFormat="1" x14ac:dyDescent="0.2">
      <c r="B130" s="135"/>
      <c r="C130" s="238" t="s">
        <v>838</v>
      </c>
      <c r="D130" s="476"/>
      <c r="E130" s="477"/>
      <c r="F130" s="273"/>
      <c r="G130" s="274"/>
    </row>
    <row r="131" spans="2:7" s="136" customFormat="1" x14ac:dyDescent="0.2">
      <c r="B131" s="135"/>
      <c r="C131" s="243" t="s">
        <v>207</v>
      </c>
      <c r="D131" s="239" t="s">
        <v>149</v>
      </c>
      <c r="E131" s="240">
        <v>1</v>
      </c>
      <c r="F131" s="273">
        <v>0</v>
      </c>
      <c r="G131" s="274">
        <f t="shared" si="4"/>
        <v>0</v>
      </c>
    </row>
    <row r="132" spans="2:7" s="136" customFormat="1" ht="38.25" customHeight="1" x14ac:dyDescent="0.2">
      <c r="B132" s="135"/>
      <c r="C132" s="244" t="s">
        <v>192</v>
      </c>
      <c r="D132" s="239" t="s">
        <v>149</v>
      </c>
      <c r="E132" s="240">
        <v>1</v>
      </c>
      <c r="F132" s="273">
        <v>0</v>
      </c>
      <c r="G132" s="274">
        <f t="shared" si="4"/>
        <v>0</v>
      </c>
    </row>
    <row r="133" spans="2:7" s="136" customFormat="1" x14ac:dyDescent="0.2">
      <c r="B133" s="135"/>
      <c r="C133" s="244" t="s">
        <v>193</v>
      </c>
      <c r="D133" s="239" t="s">
        <v>149</v>
      </c>
      <c r="E133" s="240">
        <v>1</v>
      </c>
      <c r="F133" s="273">
        <v>0</v>
      </c>
      <c r="G133" s="274">
        <f t="shared" si="4"/>
        <v>0</v>
      </c>
    </row>
    <row r="134" spans="2:7" s="136" customFormat="1" x14ac:dyDescent="0.2">
      <c r="B134" s="135"/>
      <c r="C134" s="244" t="s">
        <v>194</v>
      </c>
      <c r="D134" s="239" t="s">
        <v>149</v>
      </c>
      <c r="E134" s="240">
        <v>1</v>
      </c>
      <c r="F134" s="273">
        <v>0</v>
      </c>
      <c r="G134" s="274">
        <f t="shared" si="4"/>
        <v>0</v>
      </c>
    </row>
    <row r="135" spans="2:7" s="136" customFormat="1" x14ac:dyDescent="0.2">
      <c r="B135" s="135"/>
      <c r="C135" s="244" t="s">
        <v>235</v>
      </c>
      <c r="D135" s="239" t="s">
        <v>149</v>
      </c>
      <c r="E135" s="240">
        <v>2</v>
      </c>
      <c r="F135" s="273">
        <v>0</v>
      </c>
      <c r="G135" s="274">
        <f t="shared" si="4"/>
        <v>0</v>
      </c>
    </row>
    <row r="136" spans="2:7" s="136" customFormat="1" x14ac:dyDescent="0.2">
      <c r="B136" s="135"/>
      <c r="C136" s="244" t="s">
        <v>839</v>
      </c>
      <c r="D136" s="239" t="s">
        <v>149</v>
      </c>
      <c r="E136" s="240">
        <v>2</v>
      </c>
      <c r="F136" s="273">
        <v>0</v>
      </c>
      <c r="G136" s="274">
        <f t="shared" si="4"/>
        <v>0</v>
      </c>
    </row>
    <row r="137" spans="2:7" s="136" customFormat="1" x14ac:dyDescent="0.2">
      <c r="B137" s="135"/>
      <c r="C137" s="244" t="s">
        <v>197</v>
      </c>
      <c r="D137" s="239" t="s">
        <v>149</v>
      </c>
      <c r="E137" s="240">
        <v>1</v>
      </c>
      <c r="F137" s="273">
        <v>0</v>
      </c>
      <c r="G137" s="274">
        <f t="shared" si="4"/>
        <v>0</v>
      </c>
    </row>
    <row r="138" spans="2:7" s="136" customFormat="1" x14ac:dyDescent="0.2">
      <c r="B138" s="135"/>
      <c r="C138" s="244" t="s">
        <v>198</v>
      </c>
      <c r="D138" s="239" t="s">
        <v>149</v>
      </c>
      <c r="E138" s="240">
        <v>1</v>
      </c>
      <c r="F138" s="273">
        <v>0</v>
      </c>
      <c r="G138" s="274">
        <f t="shared" si="4"/>
        <v>0</v>
      </c>
    </row>
    <row r="139" spans="2:7" s="136" customFormat="1" x14ac:dyDescent="0.2">
      <c r="B139" s="135"/>
      <c r="C139" s="238" t="s">
        <v>840</v>
      </c>
      <c r="D139" s="476"/>
      <c r="E139" s="477"/>
      <c r="F139" s="273"/>
      <c r="G139" s="274"/>
    </row>
    <row r="140" spans="2:7" s="136" customFormat="1" x14ac:dyDescent="0.2">
      <c r="B140" s="135"/>
      <c r="C140" s="243" t="s">
        <v>841</v>
      </c>
      <c r="D140" s="239" t="s">
        <v>149</v>
      </c>
      <c r="E140" s="240">
        <v>21</v>
      </c>
      <c r="F140" s="273">
        <v>0</v>
      </c>
      <c r="G140" s="274">
        <f t="shared" si="4"/>
        <v>0</v>
      </c>
    </row>
    <row r="141" spans="2:7" s="136" customFormat="1" ht="38.25" customHeight="1" x14ac:dyDescent="0.2">
      <c r="B141" s="135"/>
      <c r="C141" s="244" t="s">
        <v>285</v>
      </c>
      <c r="D141" s="239" t="s">
        <v>149</v>
      </c>
      <c r="E141" s="240">
        <v>21</v>
      </c>
      <c r="F141" s="273">
        <v>0</v>
      </c>
      <c r="G141" s="274">
        <f t="shared" si="4"/>
        <v>0</v>
      </c>
    </row>
    <row r="142" spans="2:7" s="136" customFormat="1" x14ac:dyDescent="0.2">
      <c r="B142" s="135"/>
      <c r="C142" s="244" t="s">
        <v>193</v>
      </c>
      <c r="D142" s="239" t="s">
        <v>149</v>
      </c>
      <c r="E142" s="240">
        <v>21</v>
      </c>
      <c r="F142" s="273">
        <v>0</v>
      </c>
      <c r="G142" s="274">
        <f t="shared" si="4"/>
        <v>0</v>
      </c>
    </row>
    <row r="143" spans="2:7" s="136" customFormat="1" x14ac:dyDescent="0.2">
      <c r="B143" s="135"/>
      <c r="C143" s="244" t="s">
        <v>194</v>
      </c>
      <c r="D143" s="239" t="s">
        <v>149</v>
      </c>
      <c r="E143" s="240">
        <v>21</v>
      </c>
      <c r="F143" s="273">
        <v>0</v>
      </c>
      <c r="G143" s="274">
        <f t="shared" si="4"/>
        <v>0</v>
      </c>
    </row>
    <row r="144" spans="2:7" s="136" customFormat="1" x14ac:dyDescent="0.2">
      <c r="B144" s="135"/>
      <c r="C144" s="496" t="s">
        <v>239</v>
      </c>
      <c r="D144" s="239" t="s">
        <v>149</v>
      </c>
      <c r="E144" s="240">
        <v>42</v>
      </c>
      <c r="F144" s="273">
        <v>0</v>
      </c>
      <c r="G144" s="274">
        <f t="shared" si="4"/>
        <v>0</v>
      </c>
    </row>
    <row r="145" spans="2:7" s="136" customFormat="1" x14ac:dyDescent="0.2">
      <c r="B145" s="135"/>
      <c r="C145" s="496" t="s">
        <v>240</v>
      </c>
      <c r="D145" s="239" t="s">
        <v>149</v>
      </c>
      <c r="E145" s="240">
        <v>42</v>
      </c>
      <c r="F145" s="273">
        <v>0</v>
      </c>
      <c r="G145" s="274">
        <f t="shared" si="4"/>
        <v>0</v>
      </c>
    </row>
    <row r="146" spans="2:7" s="136" customFormat="1" x14ac:dyDescent="0.2">
      <c r="B146" s="135"/>
      <c r="C146" s="496" t="s">
        <v>241</v>
      </c>
      <c r="D146" s="239" t="s">
        <v>149</v>
      </c>
      <c r="E146" s="240">
        <v>42</v>
      </c>
      <c r="F146" s="273">
        <v>0</v>
      </c>
      <c r="G146" s="274">
        <f t="shared" si="4"/>
        <v>0</v>
      </c>
    </row>
    <row r="147" spans="2:7" s="136" customFormat="1" x14ac:dyDescent="0.2">
      <c r="B147" s="135"/>
      <c r="C147" s="496" t="s">
        <v>242</v>
      </c>
      <c r="D147" s="239" t="s">
        <v>149</v>
      </c>
      <c r="E147" s="240">
        <v>42</v>
      </c>
      <c r="F147" s="273">
        <v>0</v>
      </c>
      <c r="G147" s="274">
        <f t="shared" si="4"/>
        <v>0</v>
      </c>
    </row>
    <row r="148" spans="2:7" s="136" customFormat="1" x14ac:dyDescent="0.2">
      <c r="B148" s="135"/>
      <c r="C148" s="496" t="s">
        <v>197</v>
      </c>
      <c r="D148" s="239" t="s">
        <v>149</v>
      </c>
      <c r="E148" s="240">
        <v>21</v>
      </c>
      <c r="F148" s="273">
        <v>0</v>
      </c>
      <c r="G148" s="274">
        <f t="shared" si="4"/>
        <v>0</v>
      </c>
    </row>
    <row r="149" spans="2:7" s="136" customFormat="1" x14ac:dyDescent="0.2">
      <c r="B149" s="135"/>
      <c r="C149" s="497" t="s">
        <v>198</v>
      </c>
      <c r="D149" s="239" t="s">
        <v>149</v>
      </c>
      <c r="E149" s="240">
        <v>21</v>
      </c>
      <c r="F149" s="273">
        <v>0</v>
      </c>
      <c r="G149" s="274">
        <f t="shared" si="4"/>
        <v>0</v>
      </c>
    </row>
    <row r="150" spans="2:7" s="136" customFormat="1" x14ac:dyDescent="0.2">
      <c r="B150" s="292" t="s">
        <v>199</v>
      </c>
      <c r="C150" s="247" t="s">
        <v>200</v>
      </c>
      <c r="D150" s="202"/>
      <c r="E150" s="248"/>
      <c r="F150" s="249"/>
      <c r="G150" s="205"/>
    </row>
    <row r="151" spans="2:7" s="136" customFormat="1" x14ac:dyDescent="0.2">
      <c r="B151" s="135"/>
      <c r="C151" s="247" t="s">
        <v>201</v>
      </c>
      <c r="D151" s="214"/>
      <c r="E151" s="480"/>
      <c r="F151" s="481"/>
      <c r="G151" s="290"/>
    </row>
    <row r="152" spans="2:7" s="136" customFormat="1" ht="27" customHeight="1" x14ac:dyDescent="0.2">
      <c r="B152" s="135"/>
      <c r="C152" s="250" t="s">
        <v>202</v>
      </c>
      <c r="D152" s="202" t="s">
        <v>149</v>
      </c>
      <c r="E152" s="248">
        <v>21</v>
      </c>
      <c r="F152" s="275">
        <v>0</v>
      </c>
      <c r="G152" s="276">
        <f>E152*F152</f>
        <v>0</v>
      </c>
    </row>
    <row r="153" spans="2:7" s="136" customFormat="1" x14ac:dyDescent="0.2">
      <c r="B153" s="135"/>
      <c r="C153" s="498" t="s">
        <v>203</v>
      </c>
      <c r="D153" s="202" t="s">
        <v>149</v>
      </c>
      <c r="E153" s="248">
        <v>21</v>
      </c>
      <c r="F153" s="275">
        <v>0</v>
      </c>
      <c r="G153" s="276">
        <f t="shared" ref="G153:G154" si="5">E153*F153</f>
        <v>0</v>
      </c>
    </row>
    <row r="154" spans="2:7" s="136" customFormat="1" x14ac:dyDescent="0.2">
      <c r="B154" s="135"/>
      <c r="C154" s="499" t="s">
        <v>198</v>
      </c>
      <c r="D154" s="202" t="s">
        <v>149</v>
      </c>
      <c r="E154" s="248">
        <v>21</v>
      </c>
      <c r="F154" s="275">
        <v>0</v>
      </c>
      <c r="G154" s="276">
        <f t="shared" si="5"/>
        <v>0</v>
      </c>
    </row>
    <row r="155" spans="2:7" s="136" customFormat="1" x14ac:dyDescent="0.2">
      <c r="B155" s="292" t="s">
        <v>204</v>
      </c>
      <c r="C155" s="253" t="s">
        <v>205</v>
      </c>
      <c r="D155" s="254"/>
      <c r="E155" s="255"/>
      <c r="F155" s="256"/>
      <c r="G155" s="257"/>
    </row>
    <row r="156" spans="2:7" s="136" customFormat="1" x14ac:dyDescent="0.2">
      <c r="B156" s="135"/>
      <c r="C156" s="253" t="s">
        <v>206</v>
      </c>
      <c r="D156" s="482"/>
      <c r="E156" s="483"/>
      <c r="F156" s="484"/>
      <c r="G156" s="485"/>
    </row>
    <row r="157" spans="2:7" s="136" customFormat="1" x14ac:dyDescent="0.2">
      <c r="B157" s="135"/>
      <c r="C157" s="258" t="s">
        <v>207</v>
      </c>
      <c r="D157" s="254" t="s">
        <v>149</v>
      </c>
      <c r="E157" s="255">
        <v>5</v>
      </c>
      <c r="F157" s="277">
        <v>0</v>
      </c>
      <c r="G157" s="278">
        <f>E157*F157</f>
        <v>0</v>
      </c>
    </row>
    <row r="158" spans="2:7" s="136" customFormat="1" x14ac:dyDescent="0.2">
      <c r="B158" s="135"/>
      <c r="C158" s="258" t="s">
        <v>208</v>
      </c>
      <c r="D158" s="254" t="s">
        <v>149</v>
      </c>
      <c r="E158" s="255">
        <v>10</v>
      </c>
      <c r="F158" s="277">
        <v>0</v>
      </c>
      <c r="G158" s="278">
        <f t="shared" ref="G158:G216" si="6">E158*F158</f>
        <v>0</v>
      </c>
    </row>
    <row r="159" spans="2:7" s="136" customFormat="1" ht="12.75" customHeight="1" x14ac:dyDescent="0.2">
      <c r="B159" s="135"/>
      <c r="C159" s="259" t="s">
        <v>209</v>
      </c>
      <c r="D159" s="254" t="s">
        <v>149</v>
      </c>
      <c r="E159" s="255">
        <v>5</v>
      </c>
      <c r="F159" s="277">
        <v>0</v>
      </c>
      <c r="G159" s="278">
        <f t="shared" si="6"/>
        <v>0</v>
      </c>
    </row>
    <row r="160" spans="2:7" s="136" customFormat="1" x14ac:dyDescent="0.2">
      <c r="B160" s="135"/>
      <c r="C160" s="259" t="s">
        <v>210</v>
      </c>
      <c r="D160" s="254" t="s">
        <v>149</v>
      </c>
      <c r="E160" s="255">
        <v>5</v>
      </c>
      <c r="F160" s="277">
        <v>0</v>
      </c>
      <c r="G160" s="278">
        <f t="shared" si="6"/>
        <v>0</v>
      </c>
    </row>
    <row r="161" spans="2:7" s="136" customFormat="1" x14ac:dyDescent="0.2">
      <c r="B161" s="135"/>
      <c r="C161" s="259" t="s">
        <v>211</v>
      </c>
      <c r="D161" s="254" t="s">
        <v>149</v>
      </c>
      <c r="E161" s="255">
        <v>5</v>
      </c>
      <c r="F161" s="277">
        <v>0</v>
      </c>
      <c r="G161" s="278">
        <f t="shared" si="6"/>
        <v>0</v>
      </c>
    </row>
    <row r="162" spans="2:7" s="136" customFormat="1" x14ac:dyDescent="0.2">
      <c r="B162" s="135"/>
      <c r="C162" s="259" t="s">
        <v>212</v>
      </c>
      <c r="D162" s="254" t="s">
        <v>149</v>
      </c>
      <c r="E162" s="255">
        <v>5</v>
      </c>
      <c r="F162" s="277">
        <v>0</v>
      </c>
      <c r="G162" s="278">
        <f t="shared" si="6"/>
        <v>0</v>
      </c>
    </row>
    <row r="163" spans="2:7" s="136" customFormat="1" x14ac:dyDescent="0.2">
      <c r="B163" s="135"/>
      <c r="C163" s="259" t="s">
        <v>213</v>
      </c>
      <c r="D163" s="254" t="s">
        <v>149</v>
      </c>
      <c r="E163" s="255">
        <v>5</v>
      </c>
      <c r="F163" s="277">
        <v>0</v>
      </c>
      <c r="G163" s="278">
        <f t="shared" si="6"/>
        <v>0</v>
      </c>
    </row>
    <row r="164" spans="2:7" s="136" customFormat="1" x14ac:dyDescent="0.2">
      <c r="B164" s="135"/>
      <c r="C164" s="259" t="s">
        <v>214</v>
      </c>
      <c r="D164" s="254" t="s">
        <v>149</v>
      </c>
      <c r="E164" s="255">
        <v>5</v>
      </c>
      <c r="F164" s="277">
        <v>0</v>
      </c>
      <c r="G164" s="278">
        <f t="shared" si="6"/>
        <v>0</v>
      </c>
    </row>
    <row r="165" spans="2:7" s="136" customFormat="1" x14ac:dyDescent="0.2">
      <c r="B165" s="135"/>
      <c r="C165" s="259" t="s">
        <v>215</v>
      </c>
      <c r="D165" s="254" t="s">
        <v>149</v>
      </c>
      <c r="E165" s="255">
        <v>5</v>
      </c>
      <c r="F165" s="277">
        <v>0</v>
      </c>
      <c r="G165" s="278">
        <f t="shared" si="6"/>
        <v>0</v>
      </c>
    </row>
    <row r="166" spans="2:7" s="136" customFormat="1" x14ac:dyDescent="0.2">
      <c r="B166" s="135"/>
      <c r="C166" s="414" t="s">
        <v>216</v>
      </c>
      <c r="D166" s="254" t="s">
        <v>149</v>
      </c>
      <c r="E166" s="255">
        <v>5</v>
      </c>
      <c r="F166" s="277">
        <v>0</v>
      </c>
      <c r="G166" s="278">
        <f t="shared" si="6"/>
        <v>0</v>
      </c>
    </row>
    <row r="167" spans="2:7" s="136" customFormat="1" x14ac:dyDescent="0.2">
      <c r="B167" s="135"/>
      <c r="C167" s="414" t="s">
        <v>217</v>
      </c>
      <c r="D167" s="254" t="s">
        <v>149</v>
      </c>
      <c r="E167" s="255">
        <v>5</v>
      </c>
      <c r="F167" s="277">
        <v>0</v>
      </c>
      <c r="G167" s="278">
        <f t="shared" si="6"/>
        <v>0</v>
      </c>
    </row>
    <row r="168" spans="2:7" s="136" customFormat="1" x14ac:dyDescent="0.2">
      <c r="B168" s="135"/>
      <c r="C168" s="414" t="s">
        <v>195</v>
      </c>
      <c r="D168" s="254" t="s">
        <v>149</v>
      </c>
      <c r="E168" s="255">
        <v>10</v>
      </c>
      <c r="F168" s="277">
        <v>0</v>
      </c>
      <c r="G168" s="278">
        <f t="shared" si="6"/>
        <v>0</v>
      </c>
    </row>
    <row r="169" spans="2:7" s="136" customFormat="1" x14ac:dyDescent="0.2">
      <c r="B169" s="135"/>
      <c r="C169" s="414" t="s">
        <v>218</v>
      </c>
      <c r="D169" s="254" t="s">
        <v>149</v>
      </c>
      <c r="E169" s="255">
        <v>10</v>
      </c>
      <c r="F169" s="277">
        <v>0</v>
      </c>
      <c r="G169" s="278">
        <f t="shared" si="6"/>
        <v>0</v>
      </c>
    </row>
    <row r="170" spans="2:7" s="136" customFormat="1" x14ac:dyDescent="0.2">
      <c r="B170" s="135"/>
      <c r="C170" s="414" t="s">
        <v>219</v>
      </c>
      <c r="D170" s="254" t="s">
        <v>149</v>
      </c>
      <c r="E170" s="255">
        <v>5</v>
      </c>
      <c r="F170" s="277">
        <v>0</v>
      </c>
      <c r="G170" s="278">
        <f t="shared" si="6"/>
        <v>0</v>
      </c>
    </row>
    <row r="171" spans="2:7" s="136" customFormat="1" x14ac:dyDescent="0.2">
      <c r="B171" s="135"/>
      <c r="C171" s="414" t="s">
        <v>227</v>
      </c>
      <c r="D171" s="254" t="s">
        <v>149</v>
      </c>
      <c r="E171" s="255">
        <v>15</v>
      </c>
      <c r="F171" s="277">
        <v>0</v>
      </c>
      <c r="G171" s="278">
        <f t="shared" si="6"/>
        <v>0</v>
      </c>
    </row>
    <row r="172" spans="2:7" s="136" customFormat="1" x14ac:dyDescent="0.2">
      <c r="B172" s="135"/>
      <c r="C172" s="415" t="s">
        <v>198</v>
      </c>
      <c r="D172" s="254" t="s">
        <v>149</v>
      </c>
      <c r="E172" s="255">
        <v>10</v>
      </c>
      <c r="F172" s="277">
        <v>0</v>
      </c>
      <c r="G172" s="278">
        <f t="shared" si="6"/>
        <v>0</v>
      </c>
    </row>
    <row r="173" spans="2:7" s="136" customFormat="1" x14ac:dyDescent="0.2">
      <c r="B173" s="135"/>
      <c r="C173" s="253" t="s">
        <v>842</v>
      </c>
      <c r="D173" s="482"/>
      <c r="E173" s="483"/>
      <c r="F173" s="277"/>
      <c r="G173" s="278"/>
    </row>
    <row r="174" spans="2:7" s="136" customFormat="1" x14ac:dyDescent="0.2">
      <c r="B174" s="135"/>
      <c r="C174" s="258" t="s">
        <v>207</v>
      </c>
      <c r="D174" s="254" t="s">
        <v>149</v>
      </c>
      <c r="E174" s="255">
        <v>8</v>
      </c>
      <c r="F174" s="277">
        <v>0</v>
      </c>
      <c r="G174" s="278">
        <f t="shared" si="6"/>
        <v>0</v>
      </c>
    </row>
    <row r="175" spans="2:7" s="136" customFormat="1" x14ac:dyDescent="0.2">
      <c r="B175" s="135"/>
      <c r="C175" s="258" t="s">
        <v>208</v>
      </c>
      <c r="D175" s="254" t="s">
        <v>149</v>
      </c>
      <c r="E175" s="255">
        <v>16</v>
      </c>
      <c r="F175" s="277">
        <v>0</v>
      </c>
      <c r="G175" s="278">
        <f t="shared" si="6"/>
        <v>0</v>
      </c>
    </row>
    <row r="176" spans="2:7" s="136" customFormat="1" ht="12.75" customHeight="1" x14ac:dyDescent="0.2">
      <c r="B176" s="135"/>
      <c r="C176" s="259" t="s">
        <v>843</v>
      </c>
      <c r="D176" s="254" t="s">
        <v>149</v>
      </c>
      <c r="E176" s="255">
        <v>8</v>
      </c>
      <c r="F176" s="277">
        <v>0</v>
      </c>
      <c r="G176" s="278">
        <f t="shared" si="6"/>
        <v>0</v>
      </c>
    </row>
    <row r="177" spans="2:7" s="136" customFormat="1" x14ac:dyDescent="0.2">
      <c r="B177" s="135"/>
      <c r="C177" s="259" t="s">
        <v>210</v>
      </c>
      <c r="D177" s="254" t="s">
        <v>149</v>
      </c>
      <c r="E177" s="255">
        <v>8</v>
      </c>
      <c r="F177" s="277">
        <v>0</v>
      </c>
      <c r="G177" s="278">
        <f t="shared" si="6"/>
        <v>0</v>
      </c>
    </row>
    <row r="178" spans="2:7" s="136" customFormat="1" x14ac:dyDescent="0.2">
      <c r="B178" s="135"/>
      <c r="C178" s="259" t="s">
        <v>211</v>
      </c>
      <c r="D178" s="254" t="s">
        <v>149</v>
      </c>
      <c r="E178" s="255">
        <v>8</v>
      </c>
      <c r="F178" s="277">
        <v>0</v>
      </c>
      <c r="G178" s="278">
        <f t="shared" si="6"/>
        <v>0</v>
      </c>
    </row>
    <row r="179" spans="2:7" s="136" customFormat="1" x14ac:dyDescent="0.2">
      <c r="B179" s="135"/>
      <c r="C179" s="259" t="s">
        <v>212</v>
      </c>
      <c r="D179" s="254" t="s">
        <v>149</v>
      </c>
      <c r="E179" s="255">
        <v>8</v>
      </c>
      <c r="F179" s="277">
        <v>0</v>
      </c>
      <c r="G179" s="278">
        <f t="shared" si="6"/>
        <v>0</v>
      </c>
    </row>
    <row r="180" spans="2:7" s="136" customFormat="1" x14ac:dyDescent="0.2">
      <c r="B180" s="135"/>
      <c r="C180" s="259" t="s">
        <v>213</v>
      </c>
      <c r="D180" s="254" t="s">
        <v>149</v>
      </c>
      <c r="E180" s="255">
        <v>8</v>
      </c>
      <c r="F180" s="277">
        <v>0</v>
      </c>
      <c r="G180" s="278">
        <f t="shared" si="6"/>
        <v>0</v>
      </c>
    </row>
    <row r="181" spans="2:7" s="136" customFormat="1" x14ac:dyDescent="0.2">
      <c r="B181" s="135"/>
      <c r="C181" s="259" t="s">
        <v>214</v>
      </c>
      <c r="D181" s="254" t="s">
        <v>149</v>
      </c>
      <c r="E181" s="255">
        <v>8</v>
      </c>
      <c r="F181" s="277">
        <v>0</v>
      </c>
      <c r="G181" s="278">
        <f t="shared" si="6"/>
        <v>0</v>
      </c>
    </row>
    <row r="182" spans="2:7" s="136" customFormat="1" x14ac:dyDescent="0.2">
      <c r="B182" s="135"/>
      <c r="C182" s="259" t="s">
        <v>215</v>
      </c>
      <c r="D182" s="254" t="s">
        <v>149</v>
      </c>
      <c r="E182" s="255">
        <v>8</v>
      </c>
      <c r="F182" s="277">
        <v>0</v>
      </c>
      <c r="G182" s="278">
        <f t="shared" si="6"/>
        <v>0</v>
      </c>
    </row>
    <row r="183" spans="2:7" s="136" customFormat="1" x14ac:dyDescent="0.2">
      <c r="B183" s="135"/>
      <c r="C183" s="414" t="s">
        <v>216</v>
      </c>
      <c r="D183" s="254" t="s">
        <v>149</v>
      </c>
      <c r="E183" s="255">
        <v>8</v>
      </c>
      <c r="F183" s="277">
        <v>0</v>
      </c>
      <c r="G183" s="278">
        <f t="shared" si="6"/>
        <v>0</v>
      </c>
    </row>
    <row r="184" spans="2:7" s="136" customFormat="1" x14ac:dyDescent="0.2">
      <c r="B184" s="135"/>
      <c r="C184" s="414" t="s">
        <v>329</v>
      </c>
      <c r="D184" s="254" t="s">
        <v>149</v>
      </c>
      <c r="E184" s="255">
        <v>8</v>
      </c>
      <c r="F184" s="277">
        <v>0</v>
      </c>
      <c r="G184" s="278">
        <f t="shared" si="6"/>
        <v>0</v>
      </c>
    </row>
    <row r="185" spans="2:7" s="136" customFormat="1" x14ac:dyDescent="0.2">
      <c r="B185" s="135"/>
      <c r="C185" s="414" t="s">
        <v>235</v>
      </c>
      <c r="D185" s="254" t="s">
        <v>149</v>
      </c>
      <c r="E185" s="255">
        <v>16</v>
      </c>
      <c r="F185" s="277">
        <v>0</v>
      </c>
      <c r="G185" s="278">
        <f t="shared" si="6"/>
        <v>0</v>
      </c>
    </row>
    <row r="186" spans="2:7" s="136" customFormat="1" x14ac:dyDescent="0.2">
      <c r="B186" s="135"/>
      <c r="C186" s="414" t="s">
        <v>236</v>
      </c>
      <c r="D186" s="254" t="s">
        <v>149</v>
      </c>
      <c r="E186" s="255">
        <v>16</v>
      </c>
      <c r="F186" s="277">
        <v>0</v>
      </c>
      <c r="G186" s="278">
        <f t="shared" si="6"/>
        <v>0</v>
      </c>
    </row>
    <row r="187" spans="2:7" s="136" customFormat="1" x14ac:dyDescent="0.2">
      <c r="B187" s="135"/>
      <c r="C187" s="414" t="s">
        <v>219</v>
      </c>
      <c r="D187" s="254" t="s">
        <v>149</v>
      </c>
      <c r="E187" s="255">
        <v>8</v>
      </c>
      <c r="F187" s="277">
        <v>0</v>
      </c>
      <c r="G187" s="278">
        <f t="shared" si="6"/>
        <v>0</v>
      </c>
    </row>
    <row r="188" spans="2:7" s="136" customFormat="1" x14ac:dyDescent="0.2">
      <c r="B188" s="135"/>
      <c r="C188" s="414" t="s">
        <v>227</v>
      </c>
      <c r="D188" s="254" t="s">
        <v>149</v>
      </c>
      <c r="E188" s="255">
        <v>24</v>
      </c>
      <c r="F188" s="277">
        <v>0</v>
      </c>
      <c r="G188" s="278">
        <f t="shared" si="6"/>
        <v>0</v>
      </c>
    </row>
    <row r="189" spans="2:7" s="136" customFormat="1" x14ac:dyDescent="0.2">
      <c r="B189" s="135"/>
      <c r="C189" s="415" t="s">
        <v>198</v>
      </c>
      <c r="D189" s="254" t="s">
        <v>149</v>
      </c>
      <c r="E189" s="255">
        <v>8</v>
      </c>
      <c r="F189" s="277">
        <v>0</v>
      </c>
      <c r="G189" s="278">
        <f t="shared" si="6"/>
        <v>0</v>
      </c>
    </row>
    <row r="190" spans="2:7" s="136" customFormat="1" x14ac:dyDescent="0.2">
      <c r="B190" s="292" t="s">
        <v>230</v>
      </c>
      <c r="C190" s="253" t="s">
        <v>231</v>
      </c>
      <c r="D190" s="254"/>
      <c r="E190" s="255"/>
      <c r="F190" s="277"/>
      <c r="G190" s="278"/>
    </row>
    <row r="191" spans="2:7" s="136" customFormat="1" x14ac:dyDescent="0.2">
      <c r="B191" s="135"/>
      <c r="C191" s="253" t="s">
        <v>237</v>
      </c>
      <c r="D191" s="482"/>
      <c r="E191" s="483"/>
      <c r="F191" s="277"/>
      <c r="G191" s="278"/>
    </row>
    <row r="192" spans="2:7" s="136" customFormat="1" ht="27.75" customHeight="1" x14ac:dyDescent="0.2">
      <c r="B192" s="135"/>
      <c r="C192" s="258" t="s">
        <v>238</v>
      </c>
      <c r="D192" s="254" t="s">
        <v>149</v>
      </c>
      <c r="E192" s="255">
        <v>5</v>
      </c>
      <c r="F192" s="277">
        <v>0</v>
      </c>
      <c r="G192" s="278">
        <f t="shared" si="6"/>
        <v>0</v>
      </c>
    </row>
    <row r="193" spans="2:7" s="136" customFormat="1" x14ac:dyDescent="0.2">
      <c r="B193" s="135"/>
      <c r="C193" s="414" t="s">
        <v>195</v>
      </c>
      <c r="D193" s="254" t="s">
        <v>149</v>
      </c>
      <c r="E193" s="255">
        <v>10</v>
      </c>
      <c r="F193" s="277">
        <v>0</v>
      </c>
      <c r="G193" s="278">
        <f t="shared" si="6"/>
        <v>0</v>
      </c>
    </row>
    <row r="194" spans="2:7" s="136" customFormat="1" x14ac:dyDescent="0.2">
      <c r="B194" s="135"/>
      <c r="C194" s="414" t="s">
        <v>239</v>
      </c>
      <c r="D194" s="254" t="s">
        <v>149</v>
      </c>
      <c r="E194" s="255">
        <v>5</v>
      </c>
      <c r="F194" s="277">
        <v>0</v>
      </c>
      <c r="G194" s="278">
        <f t="shared" si="6"/>
        <v>0</v>
      </c>
    </row>
    <row r="195" spans="2:7" s="136" customFormat="1" x14ac:dyDescent="0.2">
      <c r="B195" s="135"/>
      <c r="C195" s="414" t="s">
        <v>218</v>
      </c>
      <c r="D195" s="254" t="s">
        <v>149</v>
      </c>
      <c r="E195" s="255">
        <v>10</v>
      </c>
      <c r="F195" s="277">
        <v>0</v>
      </c>
      <c r="G195" s="278">
        <f t="shared" si="6"/>
        <v>0</v>
      </c>
    </row>
    <row r="196" spans="2:7" s="136" customFormat="1" x14ac:dyDescent="0.2">
      <c r="B196" s="135"/>
      <c r="C196" s="414" t="s">
        <v>240</v>
      </c>
      <c r="D196" s="254" t="s">
        <v>149</v>
      </c>
      <c r="E196" s="255">
        <v>5</v>
      </c>
      <c r="F196" s="277">
        <v>0</v>
      </c>
      <c r="G196" s="278">
        <f t="shared" si="6"/>
        <v>0</v>
      </c>
    </row>
    <row r="197" spans="2:7" s="136" customFormat="1" x14ac:dyDescent="0.2">
      <c r="B197" s="135"/>
      <c r="C197" s="414" t="s">
        <v>241</v>
      </c>
      <c r="D197" s="254" t="s">
        <v>149</v>
      </c>
      <c r="E197" s="255">
        <v>5</v>
      </c>
      <c r="F197" s="277">
        <v>0</v>
      </c>
      <c r="G197" s="278">
        <f t="shared" si="6"/>
        <v>0</v>
      </c>
    </row>
    <row r="198" spans="2:7" s="136" customFormat="1" x14ac:dyDescent="0.2">
      <c r="B198" s="135"/>
      <c r="C198" s="414" t="s">
        <v>242</v>
      </c>
      <c r="D198" s="254" t="s">
        <v>149</v>
      </c>
      <c r="E198" s="255">
        <v>5</v>
      </c>
      <c r="F198" s="277">
        <v>0</v>
      </c>
      <c r="G198" s="278">
        <f t="shared" si="6"/>
        <v>0</v>
      </c>
    </row>
    <row r="199" spans="2:7" s="136" customFormat="1" x14ac:dyDescent="0.2">
      <c r="B199" s="135"/>
      <c r="C199" s="414" t="s">
        <v>227</v>
      </c>
      <c r="D199" s="254" t="s">
        <v>149</v>
      </c>
      <c r="E199" s="255">
        <v>5</v>
      </c>
      <c r="F199" s="277">
        <v>0</v>
      </c>
      <c r="G199" s="278">
        <f t="shared" si="6"/>
        <v>0</v>
      </c>
    </row>
    <row r="200" spans="2:7" s="136" customFormat="1" x14ac:dyDescent="0.2">
      <c r="B200" s="135"/>
      <c r="C200" s="415" t="s">
        <v>198</v>
      </c>
      <c r="D200" s="254" t="s">
        <v>149</v>
      </c>
      <c r="E200" s="255">
        <v>5</v>
      </c>
      <c r="F200" s="277">
        <v>0</v>
      </c>
      <c r="G200" s="278">
        <f t="shared" si="6"/>
        <v>0</v>
      </c>
    </row>
    <row r="201" spans="2:7" s="136" customFormat="1" x14ac:dyDescent="0.2">
      <c r="B201" s="135"/>
      <c r="C201" s="253" t="s">
        <v>844</v>
      </c>
      <c r="D201" s="482"/>
      <c r="E201" s="483"/>
      <c r="F201" s="277"/>
      <c r="G201" s="278"/>
    </row>
    <row r="202" spans="2:7" s="136" customFormat="1" ht="28.5" customHeight="1" x14ac:dyDescent="0.2">
      <c r="B202" s="135"/>
      <c r="C202" s="258" t="s">
        <v>238</v>
      </c>
      <c r="D202" s="254" t="s">
        <v>149</v>
      </c>
      <c r="E202" s="255">
        <v>5</v>
      </c>
      <c r="F202" s="277">
        <v>0</v>
      </c>
      <c r="G202" s="278">
        <f t="shared" si="6"/>
        <v>0</v>
      </c>
    </row>
    <row r="203" spans="2:7" s="136" customFormat="1" x14ac:dyDescent="0.2">
      <c r="B203" s="135"/>
      <c r="C203" s="414" t="s">
        <v>235</v>
      </c>
      <c r="D203" s="254" t="s">
        <v>149</v>
      </c>
      <c r="E203" s="255">
        <v>10</v>
      </c>
      <c r="F203" s="277">
        <v>0</v>
      </c>
      <c r="G203" s="278">
        <f t="shared" si="6"/>
        <v>0</v>
      </c>
    </row>
    <row r="204" spans="2:7" s="136" customFormat="1" x14ac:dyDescent="0.2">
      <c r="B204" s="135"/>
      <c r="C204" s="414" t="s">
        <v>239</v>
      </c>
      <c r="D204" s="254" t="s">
        <v>149</v>
      </c>
      <c r="E204" s="255">
        <v>5</v>
      </c>
      <c r="F204" s="277">
        <v>0</v>
      </c>
      <c r="G204" s="278">
        <f t="shared" si="6"/>
        <v>0</v>
      </c>
    </row>
    <row r="205" spans="2:7" s="136" customFormat="1" x14ac:dyDescent="0.2">
      <c r="B205" s="135"/>
      <c r="C205" s="414" t="s">
        <v>236</v>
      </c>
      <c r="D205" s="254" t="s">
        <v>149</v>
      </c>
      <c r="E205" s="255">
        <v>10</v>
      </c>
      <c r="F205" s="277">
        <v>0</v>
      </c>
      <c r="G205" s="278">
        <f t="shared" si="6"/>
        <v>0</v>
      </c>
    </row>
    <row r="206" spans="2:7" s="136" customFormat="1" x14ac:dyDescent="0.2">
      <c r="B206" s="135"/>
      <c r="C206" s="414" t="s">
        <v>240</v>
      </c>
      <c r="D206" s="254" t="s">
        <v>149</v>
      </c>
      <c r="E206" s="255">
        <v>5</v>
      </c>
      <c r="F206" s="277">
        <v>0</v>
      </c>
      <c r="G206" s="278">
        <f t="shared" si="6"/>
        <v>0</v>
      </c>
    </row>
    <row r="207" spans="2:7" s="136" customFormat="1" x14ac:dyDescent="0.2">
      <c r="B207" s="135"/>
      <c r="C207" s="414" t="s">
        <v>241</v>
      </c>
      <c r="D207" s="254" t="s">
        <v>149</v>
      </c>
      <c r="E207" s="255">
        <v>5</v>
      </c>
      <c r="F207" s="277">
        <v>0</v>
      </c>
      <c r="G207" s="278">
        <f t="shared" si="6"/>
        <v>0</v>
      </c>
    </row>
    <row r="208" spans="2:7" s="136" customFormat="1" x14ac:dyDescent="0.2">
      <c r="B208" s="135"/>
      <c r="C208" s="414" t="s">
        <v>242</v>
      </c>
      <c r="D208" s="254" t="s">
        <v>149</v>
      </c>
      <c r="E208" s="255">
        <v>5</v>
      </c>
      <c r="F208" s="277">
        <v>0</v>
      </c>
      <c r="G208" s="278">
        <f t="shared" si="6"/>
        <v>0</v>
      </c>
    </row>
    <row r="209" spans="2:7" s="136" customFormat="1" x14ac:dyDescent="0.2">
      <c r="B209" s="135"/>
      <c r="C209" s="414" t="s">
        <v>227</v>
      </c>
      <c r="D209" s="254" t="s">
        <v>149</v>
      </c>
      <c r="E209" s="255">
        <v>5</v>
      </c>
      <c r="F209" s="277">
        <v>0</v>
      </c>
      <c r="G209" s="278">
        <f t="shared" si="6"/>
        <v>0</v>
      </c>
    </row>
    <row r="210" spans="2:7" s="136" customFormat="1" x14ac:dyDescent="0.2">
      <c r="B210" s="135"/>
      <c r="C210" s="415" t="s">
        <v>198</v>
      </c>
      <c r="D210" s="254" t="s">
        <v>149</v>
      </c>
      <c r="E210" s="255">
        <v>5</v>
      </c>
      <c r="F210" s="277">
        <v>0</v>
      </c>
      <c r="G210" s="278">
        <f t="shared" si="6"/>
        <v>0</v>
      </c>
    </row>
    <row r="211" spans="2:7" s="136" customFormat="1" x14ac:dyDescent="0.2">
      <c r="B211" s="135"/>
      <c r="C211" s="253" t="s">
        <v>845</v>
      </c>
      <c r="D211" s="482"/>
      <c r="E211" s="483"/>
      <c r="F211" s="277"/>
      <c r="G211" s="278"/>
    </row>
    <row r="212" spans="2:7" s="136" customFormat="1" ht="14.25" customHeight="1" x14ac:dyDescent="0.2">
      <c r="B212" s="135"/>
      <c r="C212" s="258" t="s">
        <v>846</v>
      </c>
      <c r="D212" s="254" t="s">
        <v>149</v>
      </c>
      <c r="E212" s="255">
        <v>7</v>
      </c>
      <c r="F212" s="277">
        <v>0</v>
      </c>
      <c r="G212" s="278">
        <f t="shared" si="6"/>
        <v>0</v>
      </c>
    </row>
    <row r="213" spans="2:7" s="136" customFormat="1" x14ac:dyDescent="0.2">
      <c r="B213" s="135"/>
      <c r="C213" s="414" t="s">
        <v>847</v>
      </c>
      <c r="D213" s="254" t="s">
        <v>149</v>
      </c>
      <c r="E213" s="255">
        <v>21</v>
      </c>
      <c r="F213" s="277">
        <v>0</v>
      </c>
      <c r="G213" s="278">
        <f t="shared" si="6"/>
        <v>0</v>
      </c>
    </row>
    <row r="214" spans="2:7" s="136" customFormat="1" x14ac:dyDescent="0.2">
      <c r="B214" s="135"/>
      <c r="C214" s="414" t="s">
        <v>848</v>
      </c>
      <c r="D214" s="254" t="s">
        <v>149</v>
      </c>
      <c r="E214" s="255">
        <v>21</v>
      </c>
      <c r="F214" s="277">
        <v>0</v>
      </c>
      <c r="G214" s="278">
        <f t="shared" si="6"/>
        <v>0</v>
      </c>
    </row>
    <row r="215" spans="2:7" s="136" customFormat="1" x14ac:dyDescent="0.2">
      <c r="B215" s="135"/>
      <c r="C215" s="414" t="s">
        <v>227</v>
      </c>
      <c r="D215" s="254" t="s">
        <v>149</v>
      </c>
      <c r="E215" s="255">
        <v>21</v>
      </c>
      <c r="F215" s="277">
        <v>0</v>
      </c>
      <c r="G215" s="278">
        <f t="shared" si="6"/>
        <v>0</v>
      </c>
    </row>
    <row r="216" spans="2:7" s="136" customFormat="1" x14ac:dyDescent="0.2">
      <c r="B216" s="135"/>
      <c r="C216" s="415" t="s">
        <v>198</v>
      </c>
      <c r="D216" s="254" t="s">
        <v>149</v>
      </c>
      <c r="E216" s="255">
        <v>7</v>
      </c>
      <c r="F216" s="277">
        <v>0</v>
      </c>
      <c r="G216" s="278">
        <f t="shared" si="6"/>
        <v>0</v>
      </c>
    </row>
    <row r="217" spans="2:7" s="136" customFormat="1" x14ac:dyDescent="0.2">
      <c r="B217" s="292" t="s">
        <v>243</v>
      </c>
      <c r="C217" s="247" t="s">
        <v>244</v>
      </c>
      <c r="D217" s="202"/>
      <c r="E217" s="248"/>
      <c r="F217" s="249"/>
      <c r="G217" s="205"/>
    </row>
    <row r="218" spans="2:7" s="136" customFormat="1" x14ac:dyDescent="0.2">
      <c r="B218" s="135"/>
      <c r="C218" s="247" t="s">
        <v>249</v>
      </c>
      <c r="D218" s="214"/>
      <c r="E218" s="480"/>
      <c r="F218" s="481"/>
      <c r="G218" s="290"/>
    </row>
    <row r="219" spans="2:7" s="136" customFormat="1" ht="36" x14ac:dyDescent="0.2">
      <c r="B219" s="135"/>
      <c r="C219" s="262" t="s">
        <v>250</v>
      </c>
      <c r="D219" s="202" t="s">
        <v>149</v>
      </c>
      <c r="E219" s="248">
        <v>16</v>
      </c>
      <c r="F219" s="275">
        <v>0</v>
      </c>
      <c r="G219" s="276">
        <f t="shared" ref="G219:G229" si="7">E219*F219</f>
        <v>0</v>
      </c>
    </row>
    <row r="220" spans="2:7" s="136" customFormat="1" x14ac:dyDescent="0.2">
      <c r="B220" s="135"/>
      <c r="C220" s="498" t="s">
        <v>247</v>
      </c>
      <c r="D220" s="202" t="s">
        <v>149</v>
      </c>
      <c r="E220" s="248">
        <v>16</v>
      </c>
      <c r="F220" s="275">
        <v>0</v>
      </c>
      <c r="G220" s="276">
        <f t="shared" si="7"/>
        <v>0</v>
      </c>
    </row>
    <row r="221" spans="2:7" s="136" customFormat="1" x14ac:dyDescent="0.2">
      <c r="B221" s="135"/>
      <c r="C221" s="499" t="s">
        <v>198</v>
      </c>
      <c r="D221" s="202" t="s">
        <v>149</v>
      </c>
      <c r="E221" s="248">
        <v>16</v>
      </c>
      <c r="F221" s="275">
        <v>0</v>
      </c>
      <c r="G221" s="276">
        <f t="shared" si="7"/>
        <v>0</v>
      </c>
    </row>
    <row r="222" spans="2:7" s="136" customFormat="1" x14ac:dyDescent="0.2">
      <c r="B222" s="135"/>
      <c r="C222" s="247" t="s">
        <v>849</v>
      </c>
      <c r="D222" s="214"/>
      <c r="E222" s="480"/>
      <c r="F222" s="275"/>
      <c r="G222" s="276"/>
    </row>
    <row r="223" spans="2:7" s="136" customFormat="1" ht="36" x14ac:dyDescent="0.2">
      <c r="B223" s="135"/>
      <c r="C223" s="262" t="s">
        <v>850</v>
      </c>
      <c r="D223" s="202" t="s">
        <v>149</v>
      </c>
      <c r="E223" s="248">
        <v>17</v>
      </c>
      <c r="F223" s="275">
        <v>0</v>
      </c>
      <c r="G223" s="276">
        <f t="shared" si="7"/>
        <v>0</v>
      </c>
    </row>
    <row r="224" spans="2:7" s="136" customFormat="1" x14ac:dyDescent="0.2">
      <c r="B224" s="135"/>
      <c r="C224" s="498" t="s">
        <v>247</v>
      </c>
      <c r="D224" s="202" t="s">
        <v>149</v>
      </c>
      <c r="E224" s="248">
        <v>17</v>
      </c>
      <c r="F224" s="275">
        <v>0</v>
      </c>
      <c r="G224" s="276">
        <f t="shared" si="7"/>
        <v>0</v>
      </c>
    </row>
    <row r="225" spans="2:7" s="136" customFormat="1" x14ac:dyDescent="0.2">
      <c r="B225" s="135"/>
      <c r="C225" s="499" t="s">
        <v>198</v>
      </c>
      <c r="D225" s="202" t="s">
        <v>149</v>
      </c>
      <c r="E225" s="248">
        <v>17</v>
      </c>
      <c r="F225" s="275">
        <v>0</v>
      </c>
      <c r="G225" s="276">
        <f t="shared" si="7"/>
        <v>0</v>
      </c>
    </row>
    <row r="226" spans="2:7" s="136" customFormat="1" x14ac:dyDescent="0.2">
      <c r="B226" s="135"/>
      <c r="C226" s="247" t="s">
        <v>828</v>
      </c>
      <c r="D226" s="214"/>
      <c r="E226" s="480"/>
      <c r="F226" s="275"/>
      <c r="G226" s="276"/>
    </row>
    <row r="227" spans="2:7" s="136" customFormat="1" ht="36" x14ac:dyDescent="0.2">
      <c r="B227" s="135"/>
      <c r="C227" s="262" t="s">
        <v>829</v>
      </c>
      <c r="D227" s="202" t="s">
        <v>149</v>
      </c>
      <c r="E227" s="248">
        <v>56</v>
      </c>
      <c r="F227" s="275">
        <v>0</v>
      </c>
      <c r="G227" s="276">
        <f t="shared" si="7"/>
        <v>0</v>
      </c>
    </row>
    <row r="228" spans="2:7" s="136" customFormat="1" x14ac:dyDescent="0.2">
      <c r="B228" s="135"/>
      <c r="C228" s="498" t="s">
        <v>247</v>
      </c>
      <c r="D228" s="202" t="s">
        <v>149</v>
      </c>
      <c r="E228" s="248">
        <v>56</v>
      </c>
      <c r="F228" s="275">
        <v>0</v>
      </c>
      <c r="G228" s="276">
        <f t="shared" si="7"/>
        <v>0</v>
      </c>
    </row>
    <row r="229" spans="2:7" s="136" customFormat="1" x14ac:dyDescent="0.2">
      <c r="B229" s="135"/>
      <c r="C229" s="499" t="s">
        <v>198</v>
      </c>
      <c r="D229" s="202" t="s">
        <v>149</v>
      </c>
      <c r="E229" s="248">
        <v>56</v>
      </c>
      <c r="F229" s="275">
        <v>0</v>
      </c>
      <c r="G229" s="276">
        <f t="shared" si="7"/>
        <v>0</v>
      </c>
    </row>
    <row r="230" spans="2:7" s="136" customFormat="1" x14ac:dyDescent="0.2">
      <c r="B230" s="292" t="s">
        <v>270</v>
      </c>
      <c r="C230" s="264" t="s">
        <v>271</v>
      </c>
      <c r="D230" s="231"/>
      <c r="E230" s="265"/>
      <c r="F230" s="266"/>
      <c r="G230" s="234"/>
    </row>
    <row r="231" spans="2:7" s="136" customFormat="1" x14ac:dyDescent="0.2">
      <c r="B231" s="135"/>
      <c r="C231" s="264" t="s">
        <v>272</v>
      </c>
      <c r="D231" s="486"/>
      <c r="E231" s="487"/>
      <c r="F231" s="488"/>
      <c r="G231" s="489"/>
    </row>
    <row r="232" spans="2:7" s="136" customFormat="1" x14ac:dyDescent="0.2">
      <c r="B232" s="135"/>
      <c r="C232" s="267" t="s">
        <v>256</v>
      </c>
      <c r="D232" s="231" t="s">
        <v>149</v>
      </c>
      <c r="E232" s="265">
        <v>8</v>
      </c>
      <c r="F232" s="279">
        <v>0</v>
      </c>
      <c r="G232" s="272">
        <f>E232*F232</f>
        <v>0</v>
      </c>
    </row>
    <row r="233" spans="2:7" s="136" customFormat="1" x14ac:dyDescent="0.2">
      <c r="B233" s="135"/>
      <c r="C233" s="267" t="s">
        <v>208</v>
      </c>
      <c r="D233" s="231" t="s">
        <v>149</v>
      </c>
      <c r="E233" s="265">
        <v>4</v>
      </c>
      <c r="F233" s="279">
        <v>0</v>
      </c>
      <c r="G233" s="272">
        <f t="shared" ref="G233:G296" si="8">E233*F233</f>
        <v>0</v>
      </c>
    </row>
    <row r="234" spans="2:7" s="136" customFormat="1" x14ac:dyDescent="0.2">
      <c r="B234" s="135"/>
      <c r="C234" s="267" t="s">
        <v>257</v>
      </c>
      <c r="D234" s="231" t="s">
        <v>149</v>
      </c>
      <c r="E234" s="265">
        <v>4</v>
      </c>
      <c r="F234" s="279">
        <v>0</v>
      </c>
      <c r="G234" s="272">
        <f t="shared" si="8"/>
        <v>0</v>
      </c>
    </row>
    <row r="235" spans="2:7" s="136" customFormat="1" ht="15" customHeight="1" x14ac:dyDescent="0.2">
      <c r="B235" s="135"/>
      <c r="C235" s="267" t="s">
        <v>273</v>
      </c>
      <c r="D235" s="231" t="s">
        <v>149</v>
      </c>
      <c r="E235" s="265">
        <v>4</v>
      </c>
      <c r="F235" s="279">
        <v>0</v>
      </c>
      <c r="G235" s="272">
        <f t="shared" si="8"/>
        <v>0</v>
      </c>
    </row>
    <row r="236" spans="2:7" s="136" customFormat="1" ht="15" customHeight="1" x14ac:dyDescent="0.2">
      <c r="B236" s="135"/>
      <c r="C236" s="267" t="s">
        <v>274</v>
      </c>
      <c r="D236" s="231" t="s">
        <v>149</v>
      </c>
      <c r="E236" s="265">
        <v>4</v>
      </c>
      <c r="F236" s="279">
        <v>0</v>
      </c>
      <c r="G236" s="272">
        <f t="shared" si="8"/>
        <v>0</v>
      </c>
    </row>
    <row r="237" spans="2:7" s="136" customFormat="1" ht="15" customHeight="1" x14ac:dyDescent="0.2">
      <c r="B237" s="135"/>
      <c r="C237" s="267" t="s">
        <v>275</v>
      </c>
      <c r="D237" s="231" t="s">
        <v>149</v>
      </c>
      <c r="E237" s="265">
        <v>2</v>
      </c>
      <c r="F237" s="279">
        <v>0</v>
      </c>
      <c r="G237" s="272">
        <f t="shared" si="8"/>
        <v>0</v>
      </c>
    </row>
    <row r="238" spans="2:7" s="136" customFormat="1" ht="12" customHeight="1" x14ac:dyDescent="0.2">
      <c r="B238" s="135"/>
      <c r="C238" s="268" t="s">
        <v>276</v>
      </c>
      <c r="D238" s="231" t="s">
        <v>149</v>
      </c>
      <c r="E238" s="265">
        <v>4</v>
      </c>
      <c r="F238" s="279">
        <v>0</v>
      </c>
      <c r="G238" s="272">
        <f t="shared" si="8"/>
        <v>0</v>
      </c>
    </row>
    <row r="239" spans="2:7" s="136" customFormat="1" ht="12.75" customHeight="1" x14ac:dyDescent="0.2">
      <c r="B239" s="135"/>
      <c r="C239" s="268" t="s">
        <v>277</v>
      </c>
      <c r="D239" s="231" t="s">
        <v>149</v>
      </c>
      <c r="E239" s="265">
        <v>2</v>
      </c>
      <c r="F239" s="279">
        <v>0</v>
      </c>
      <c r="G239" s="272">
        <f t="shared" si="8"/>
        <v>0</v>
      </c>
    </row>
    <row r="240" spans="2:7" s="136" customFormat="1" ht="12.75" customHeight="1" x14ac:dyDescent="0.2">
      <c r="B240" s="135"/>
      <c r="C240" s="268" t="s">
        <v>278</v>
      </c>
      <c r="D240" s="231" t="s">
        <v>149</v>
      </c>
      <c r="E240" s="265">
        <v>2</v>
      </c>
      <c r="F240" s="279">
        <v>0</v>
      </c>
      <c r="G240" s="272">
        <f t="shared" si="8"/>
        <v>0</v>
      </c>
    </row>
    <row r="241" spans="2:7" s="136" customFormat="1" x14ac:dyDescent="0.2">
      <c r="B241" s="135"/>
      <c r="C241" s="268" t="s">
        <v>262</v>
      </c>
      <c r="D241" s="231" t="s">
        <v>149</v>
      </c>
      <c r="E241" s="265">
        <v>2</v>
      </c>
      <c r="F241" s="279">
        <v>0</v>
      </c>
      <c r="G241" s="272">
        <f t="shared" si="8"/>
        <v>0</v>
      </c>
    </row>
    <row r="242" spans="2:7" s="136" customFormat="1" ht="14.25" customHeight="1" x14ac:dyDescent="0.2">
      <c r="B242" s="135"/>
      <c r="C242" s="268" t="s">
        <v>279</v>
      </c>
      <c r="D242" s="231" t="s">
        <v>149</v>
      </c>
      <c r="E242" s="265">
        <v>2</v>
      </c>
      <c r="F242" s="279">
        <v>0</v>
      </c>
      <c r="G242" s="272">
        <f t="shared" si="8"/>
        <v>0</v>
      </c>
    </row>
    <row r="243" spans="2:7" s="136" customFormat="1" ht="14.25" customHeight="1" x14ac:dyDescent="0.2">
      <c r="B243" s="135"/>
      <c r="C243" s="268" t="s">
        <v>280</v>
      </c>
      <c r="D243" s="231" t="s">
        <v>149</v>
      </c>
      <c r="E243" s="265">
        <v>2</v>
      </c>
      <c r="F243" s="279">
        <v>0</v>
      </c>
      <c r="G243" s="272">
        <f t="shared" si="8"/>
        <v>0</v>
      </c>
    </row>
    <row r="244" spans="2:7" s="136" customFormat="1" ht="14.25" customHeight="1" x14ac:dyDescent="0.2">
      <c r="B244" s="135"/>
      <c r="C244" s="268" t="s">
        <v>281</v>
      </c>
      <c r="D244" s="231" t="s">
        <v>149</v>
      </c>
      <c r="E244" s="265">
        <v>2</v>
      </c>
      <c r="F244" s="279">
        <v>0</v>
      </c>
      <c r="G244" s="272">
        <f t="shared" si="8"/>
        <v>0</v>
      </c>
    </row>
    <row r="245" spans="2:7" s="136" customFormat="1" ht="14.25" customHeight="1" x14ac:dyDescent="0.2">
      <c r="B245" s="135"/>
      <c r="C245" s="268" t="s">
        <v>282</v>
      </c>
      <c r="D245" s="231" t="s">
        <v>149</v>
      </c>
      <c r="E245" s="265">
        <v>2</v>
      </c>
      <c r="F245" s="279">
        <v>0</v>
      </c>
      <c r="G245" s="272">
        <f t="shared" si="8"/>
        <v>0</v>
      </c>
    </row>
    <row r="246" spans="2:7" s="136" customFormat="1" x14ac:dyDescent="0.2">
      <c r="B246" s="135"/>
      <c r="C246" s="416" t="s">
        <v>283</v>
      </c>
      <c r="D246" s="231" t="s">
        <v>149</v>
      </c>
      <c r="E246" s="265">
        <v>4</v>
      </c>
      <c r="F246" s="279">
        <v>0</v>
      </c>
      <c r="G246" s="272">
        <f t="shared" si="8"/>
        <v>0</v>
      </c>
    </row>
    <row r="247" spans="2:7" s="136" customFormat="1" ht="46.5" customHeight="1" x14ac:dyDescent="0.2">
      <c r="B247" s="135"/>
      <c r="C247" s="416" t="s">
        <v>284</v>
      </c>
      <c r="D247" s="231" t="s">
        <v>149</v>
      </c>
      <c r="E247" s="265">
        <v>2</v>
      </c>
      <c r="F247" s="279">
        <v>0</v>
      </c>
      <c r="G247" s="272">
        <f t="shared" si="8"/>
        <v>0</v>
      </c>
    </row>
    <row r="248" spans="2:7" s="136" customFormat="1" ht="38.25" customHeight="1" x14ac:dyDescent="0.2">
      <c r="B248" s="135"/>
      <c r="C248" s="268" t="s">
        <v>285</v>
      </c>
      <c r="D248" s="231" t="s">
        <v>149</v>
      </c>
      <c r="E248" s="265">
        <v>2</v>
      </c>
      <c r="F248" s="279">
        <v>0</v>
      </c>
      <c r="G248" s="272">
        <f t="shared" si="8"/>
        <v>0</v>
      </c>
    </row>
    <row r="249" spans="2:7" s="136" customFormat="1" x14ac:dyDescent="0.2">
      <c r="B249" s="135"/>
      <c r="C249" s="267" t="s">
        <v>191</v>
      </c>
      <c r="D249" s="231" t="s">
        <v>149</v>
      </c>
      <c r="E249" s="265">
        <v>4</v>
      </c>
      <c r="F249" s="279">
        <v>0</v>
      </c>
      <c r="G249" s="272">
        <f t="shared" si="8"/>
        <v>0</v>
      </c>
    </row>
    <row r="250" spans="2:7" s="136" customFormat="1" x14ac:dyDescent="0.2">
      <c r="B250" s="135"/>
      <c r="C250" s="268" t="s">
        <v>193</v>
      </c>
      <c r="D250" s="231" t="s">
        <v>149</v>
      </c>
      <c r="E250" s="265">
        <v>2</v>
      </c>
      <c r="F250" s="279">
        <v>0</v>
      </c>
      <c r="G250" s="272">
        <f t="shared" si="8"/>
        <v>0</v>
      </c>
    </row>
    <row r="251" spans="2:7" s="136" customFormat="1" x14ac:dyDescent="0.2">
      <c r="B251" s="135"/>
      <c r="C251" s="268" t="s">
        <v>194</v>
      </c>
      <c r="D251" s="231" t="s">
        <v>149</v>
      </c>
      <c r="E251" s="265">
        <v>2</v>
      </c>
      <c r="F251" s="279">
        <v>0</v>
      </c>
      <c r="G251" s="272">
        <f t="shared" si="8"/>
        <v>0</v>
      </c>
    </row>
    <row r="252" spans="2:7" s="136" customFormat="1" x14ac:dyDescent="0.2">
      <c r="B252" s="135"/>
      <c r="C252" s="267" t="s">
        <v>286</v>
      </c>
      <c r="D252" s="231" t="s">
        <v>149</v>
      </c>
      <c r="E252" s="265">
        <v>2</v>
      </c>
      <c r="F252" s="279">
        <v>0</v>
      </c>
      <c r="G252" s="272">
        <f t="shared" si="8"/>
        <v>0</v>
      </c>
    </row>
    <row r="253" spans="2:7" s="136" customFormat="1" x14ac:dyDescent="0.2">
      <c r="B253" s="135"/>
      <c r="C253" s="416" t="s">
        <v>195</v>
      </c>
      <c r="D253" s="231" t="s">
        <v>149</v>
      </c>
      <c r="E253" s="265">
        <v>12</v>
      </c>
      <c r="F253" s="279">
        <v>0</v>
      </c>
      <c r="G253" s="272">
        <f t="shared" si="8"/>
        <v>0</v>
      </c>
    </row>
    <row r="254" spans="2:7" s="136" customFormat="1" x14ac:dyDescent="0.2">
      <c r="B254" s="135"/>
      <c r="C254" s="416" t="s">
        <v>218</v>
      </c>
      <c r="D254" s="231" t="s">
        <v>149</v>
      </c>
      <c r="E254" s="265">
        <v>12</v>
      </c>
      <c r="F254" s="279">
        <v>0</v>
      </c>
      <c r="G254" s="272">
        <f t="shared" si="8"/>
        <v>0</v>
      </c>
    </row>
    <row r="255" spans="2:7" s="136" customFormat="1" x14ac:dyDescent="0.2">
      <c r="B255" s="135"/>
      <c r="C255" s="416" t="s">
        <v>227</v>
      </c>
      <c r="D255" s="231" t="s">
        <v>149</v>
      </c>
      <c r="E255" s="265">
        <v>4</v>
      </c>
      <c r="F255" s="279">
        <v>0</v>
      </c>
      <c r="G255" s="272">
        <f t="shared" si="8"/>
        <v>0</v>
      </c>
    </row>
    <row r="256" spans="2:7" s="136" customFormat="1" x14ac:dyDescent="0.2">
      <c r="B256" s="135"/>
      <c r="C256" s="416" t="s">
        <v>197</v>
      </c>
      <c r="D256" s="231" t="s">
        <v>149</v>
      </c>
      <c r="E256" s="265">
        <v>2</v>
      </c>
      <c r="F256" s="279">
        <v>0</v>
      </c>
      <c r="G256" s="272">
        <f t="shared" si="8"/>
        <v>0</v>
      </c>
    </row>
    <row r="257" spans="2:7" s="136" customFormat="1" x14ac:dyDescent="0.2">
      <c r="B257" s="135"/>
      <c r="C257" s="417" t="s">
        <v>198</v>
      </c>
      <c r="D257" s="231" t="s">
        <v>149</v>
      </c>
      <c r="E257" s="265">
        <v>2</v>
      </c>
      <c r="F257" s="279">
        <v>0</v>
      </c>
      <c r="G257" s="272">
        <f t="shared" si="8"/>
        <v>0</v>
      </c>
    </row>
    <row r="258" spans="2:7" s="136" customFormat="1" x14ac:dyDescent="0.2">
      <c r="B258" s="135"/>
      <c r="C258" s="264" t="s">
        <v>287</v>
      </c>
      <c r="D258" s="486"/>
      <c r="E258" s="487"/>
      <c r="F258" s="279"/>
      <c r="G258" s="272"/>
    </row>
    <row r="259" spans="2:7" s="136" customFormat="1" x14ac:dyDescent="0.2">
      <c r="B259" s="135"/>
      <c r="C259" s="267" t="s">
        <v>256</v>
      </c>
      <c r="D259" s="231" t="s">
        <v>149</v>
      </c>
      <c r="E259" s="265">
        <v>2</v>
      </c>
      <c r="F259" s="279">
        <v>0</v>
      </c>
      <c r="G259" s="272">
        <f t="shared" si="8"/>
        <v>0</v>
      </c>
    </row>
    <row r="260" spans="2:7" s="136" customFormat="1" x14ac:dyDescent="0.2">
      <c r="B260" s="135"/>
      <c r="C260" s="267" t="s">
        <v>288</v>
      </c>
      <c r="D260" s="231" t="s">
        <v>149</v>
      </c>
      <c r="E260" s="265">
        <v>2</v>
      </c>
      <c r="F260" s="279">
        <v>0</v>
      </c>
      <c r="G260" s="272">
        <f t="shared" si="8"/>
        <v>0</v>
      </c>
    </row>
    <row r="261" spans="2:7" s="136" customFormat="1" x14ac:dyDescent="0.2">
      <c r="B261" s="135"/>
      <c r="C261" s="267" t="s">
        <v>289</v>
      </c>
      <c r="D261" s="231" t="s">
        <v>149</v>
      </c>
      <c r="E261" s="265">
        <v>2</v>
      </c>
      <c r="F261" s="279">
        <v>0</v>
      </c>
      <c r="G261" s="272">
        <f t="shared" si="8"/>
        <v>0</v>
      </c>
    </row>
    <row r="262" spans="2:7" s="136" customFormat="1" x14ac:dyDescent="0.2">
      <c r="B262" s="135"/>
      <c r="C262" s="267" t="s">
        <v>213</v>
      </c>
      <c r="D262" s="231" t="s">
        <v>149</v>
      </c>
      <c r="E262" s="265">
        <v>2</v>
      </c>
      <c r="F262" s="279">
        <v>0</v>
      </c>
      <c r="G262" s="272">
        <f t="shared" si="8"/>
        <v>0</v>
      </c>
    </row>
    <row r="263" spans="2:7" s="136" customFormat="1" x14ac:dyDescent="0.2">
      <c r="B263" s="135"/>
      <c r="C263" s="267" t="s">
        <v>290</v>
      </c>
      <c r="D263" s="231" t="s">
        <v>149</v>
      </c>
      <c r="E263" s="265">
        <v>2</v>
      </c>
      <c r="F263" s="279">
        <v>0</v>
      </c>
      <c r="G263" s="272">
        <f t="shared" si="8"/>
        <v>0</v>
      </c>
    </row>
    <row r="264" spans="2:7" s="136" customFormat="1" ht="15" customHeight="1" x14ac:dyDescent="0.2">
      <c r="B264" s="135"/>
      <c r="C264" s="267" t="s">
        <v>291</v>
      </c>
      <c r="D264" s="231" t="s">
        <v>149</v>
      </c>
      <c r="E264" s="265">
        <v>2</v>
      </c>
      <c r="F264" s="279">
        <v>0</v>
      </c>
      <c r="G264" s="272">
        <f t="shared" si="8"/>
        <v>0</v>
      </c>
    </row>
    <row r="265" spans="2:7" s="136" customFormat="1" ht="15" customHeight="1" x14ac:dyDescent="0.2">
      <c r="B265" s="135"/>
      <c r="C265" s="267" t="s">
        <v>274</v>
      </c>
      <c r="D265" s="231" t="s">
        <v>149</v>
      </c>
      <c r="E265" s="265">
        <v>2</v>
      </c>
      <c r="F265" s="279">
        <v>0</v>
      </c>
      <c r="G265" s="272">
        <f t="shared" si="8"/>
        <v>0</v>
      </c>
    </row>
    <row r="266" spans="2:7" s="136" customFormat="1" ht="15" customHeight="1" x14ac:dyDescent="0.2">
      <c r="B266" s="135"/>
      <c r="C266" s="267" t="s">
        <v>292</v>
      </c>
      <c r="D266" s="231" t="s">
        <v>149</v>
      </c>
      <c r="E266" s="265">
        <v>1</v>
      </c>
      <c r="F266" s="279">
        <v>0</v>
      </c>
      <c r="G266" s="272">
        <f t="shared" si="8"/>
        <v>0</v>
      </c>
    </row>
    <row r="267" spans="2:7" s="136" customFormat="1" ht="12" customHeight="1" x14ac:dyDescent="0.2">
      <c r="B267" s="135"/>
      <c r="C267" s="268" t="s">
        <v>293</v>
      </c>
      <c r="D267" s="231" t="s">
        <v>149</v>
      </c>
      <c r="E267" s="265">
        <v>2</v>
      </c>
      <c r="F267" s="279">
        <v>0</v>
      </c>
      <c r="G267" s="272">
        <f t="shared" si="8"/>
        <v>0</v>
      </c>
    </row>
    <row r="268" spans="2:7" s="136" customFormat="1" ht="12.75" customHeight="1" x14ac:dyDescent="0.2">
      <c r="B268" s="135"/>
      <c r="C268" s="268" t="s">
        <v>294</v>
      </c>
      <c r="D268" s="231" t="s">
        <v>149</v>
      </c>
      <c r="E268" s="265">
        <v>1</v>
      </c>
      <c r="F268" s="279">
        <v>0</v>
      </c>
      <c r="G268" s="272">
        <f t="shared" si="8"/>
        <v>0</v>
      </c>
    </row>
    <row r="269" spans="2:7" s="136" customFormat="1" ht="12.75" customHeight="1" x14ac:dyDescent="0.2">
      <c r="B269" s="135"/>
      <c r="C269" s="268" t="s">
        <v>278</v>
      </c>
      <c r="D269" s="231" t="s">
        <v>149</v>
      </c>
      <c r="E269" s="265">
        <v>1</v>
      </c>
      <c r="F269" s="279">
        <v>0</v>
      </c>
      <c r="G269" s="272">
        <f t="shared" si="8"/>
        <v>0</v>
      </c>
    </row>
    <row r="270" spans="2:7" s="136" customFormat="1" x14ac:dyDescent="0.2">
      <c r="B270" s="135"/>
      <c r="C270" s="268" t="s">
        <v>295</v>
      </c>
      <c r="D270" s="231" t="s">
        <v>149</v>
      </c>
      <c r="E270" s="265">
        <v>1</v>
      </c>
      <c r="F270" s="279">
        <v>0</v>
      </c>
      <c r="G270" s="272">
        <f t="shared" si="8"/>
        <v>0</v>
      </c>
    </row>
    <row r="271" spans="2:7" s="136" customFormat="1" ht="14.25" customHeight="1" x14ac:dyDescent="0.2">
      <c r="B271" s="135"/>
      <c r="C271" s="268" t="s">
        <v>296</v>
      </c>
      <c r="D271" s="231" t="s">
        <v>149</v>
      </c>
      <c r="E271" s="265">
        <v>1</v>
      </c>
      <c r="F271" s="279">
        <v>0</v>
      </c>
      <c r="G271" s="272">
        <f t="shared" si="8"/>
        <v>0</v>
      </c>
    </row>
    <row r="272" spans="2:7" s="136" customFormat="1" ht="14.25" customHeight="1" x14ac:dyDescent="0.2">
      <c r="B272" s="135"/>
      <c r="C272" s="268" t="s">
        <v>297</v>
      </c>
      <c r="D272" s="231" t="s">
        <v>149</v>
      </c>
      <c r="E272" s="265">
        <v>1</v>
      </c>
      <c r="F272" s="279">
        <v>0</v>
      </c>
      <c r="G272" s="272">
        <f t="shared" si="8"/>
        <v>0</v>
      </c>
    </row>
    <row r="273" spans="2:7" s="136" customFormat="1" ht="14.25" customHeight="1" x14ac:dyDescent="0.2">
      <c r="B273" s="135"/>
      <c r="C273" s="268" t="s">
        <v>281</v>
      </c>
      <c r="D273" s="231" t="s">
        <v>149</v>
      </c>
      <c r="E273" s="265">
        <v>1</v>
      </c>
      <c r="F273" s="279">
        <v>0</v>
      </c>
      <c r="G273" s="272">
        <f t="shared" si="8"/>
        <v>0</v>
      </c>
    </row>
    <row r="274" spans="2:7" s="136" customFormat="1" ht="14.25" customHeight="1" x14ac:dyDescent="0.2">
      <c r="B274" s="135"/>
      <c r="C274" s="268" t="s">
        <v>282</v>
      </c>
      <c r="D274" s="231" t="s">
        <v>149</v>
      </c>
      <c r="E274" s="265">
        <v>1</v>
      </c>
      <c r="F274" s="279">
        <v>0</v>
      </c>
      <c r="G274" s="272">
        <f t="shared" si="8"/>
        <v>0</v>
      </c>
    </row>
    <row r="275" spans="2:7" s="136" customFormat="1" x14ac:dyDescent="0.2">
      <c r="B275" s="135"/>
      <c r="C275" s="416" t="s">
        <v>283</v>
      </c>
      <c r="D275" s="231" t="s">
        <v>149</v>
      </c>
      <c r="E275" s="265">
        <v>2</v>
      </c>
      <c r="F275" s="279">
        <v>0</v>
      </c>
      <c r="G275" s="272">
        <f t="shared" si="8"/>
        <v>0</v>
      </c>
    </row>
    <row r="276" spans="2:7" s="136" customFormat="1" ht="45.75" customHeight="1" x14ac:dyDescent="0.2">
      <c r="B276" s="135"/>
      <c r="C276" s="416" t="s">
        <v>284</v>
      </c>
      <c r="D276" s="231" t="s">
        <v>149</v>
      </c>
      <c r="E276" s="265">
        <v>1</v>
      </c>
      <c r="F276" s="279">
        <v>0</v>
      </c>
      <c r="G276" s="272">
        <f t="shared" si="8"/>
        <v>0</v>
      </c>
    </row>
    <row r="277" spans="2:7" s="136" customFormat="1" ht="38.25" customHeight="1" x14ac:dyDescent="0.2">
      <c r="B277" s="135"/>
      <c r="C277" s="268" t="s">
        <v>285</v>
      </c>
      <c r="D277" s="231" t="s">
        <v>149</v>
      </c>
      <c r="E277" s="265">
        <v>1</v>
      </c>
      <c r="F277" s="279">
        <v>0</v>
      </c>
      <c r="G277" s="272">
        <f t="shared" si="8"/>
        <v>0</v>
      </c>
    </row>
    <row r="278" spans="2:7" s="136" customFormat="1" x14ac:dyDescent="0.2">
      <c r="B278" s="135"/>
      <c r="C278" s="267" t="s">
        <v>298</v>
      </c>
      <c r="D278" s="231" t="s">
        <v>149</v>
      </c>
      <c r="E278" s="265">
        <v>2</v>
      </c>
      <c r="F278" s="279">
        <v>0</v>
      </c>
      <c r="G278" s="272">
        <f t="shared" si="8"/>
        <v>0</v>
      </c>
    </row>
    <row r="279" spans="2:7" s="136" customFormat="1" x14ac:dyDescent="0.2">
      <c r="B279" s="135"/>
      <c r="C279" s="268" t="s">
        <v>193</v>
      </c>
      <c r="D279" s="231" t="s">
        <v>149</v>
      </c>
      <c r="E279" s="265">
        <v>1</v>
      </c>
      <c r="F279" s="279">
        <v>0</v>
      </c>
      <c r="G279" s="272">
        <f t="shared" si="8"/>
        <v>0</v>
      </c>
    </row>
    <row r="280" spans="2:7" s="136" customFormat="1" x14ac:dyDescent="0.2">
      <c r="B280" s="135"/>
      <c r="C280" s="268" t="s">
        <v>194</v>
      </c>
      <c r="D280" s="231" t="s">
        <v>149</v>
      </c>
      <c r="E280" s="265">
        <v>1</v>
      </c>
      <c r="F280" s="279">
        <v>0</v>
      </c>
      <c r="G280" s="272">
        <f t="shared" si="8"/>
        <v>0</v>
      </c>
    </row>
    <row r="281" spans="2:7" s="136" customFormat="1" x14ac:dyDescent="0.2">
      <c r="B281" s="135"/>
      <c r="C281" s="267" t="s">
        <v>286</v>
      </c>
      <c r="D281" s="231" t="s">
        <v>149</v>
      </c>
      <c r="E281" s="265">
        <v>1</v>
      </c>
      <c r="F281" s="279">
        <v>0</v>
      </c>
      <c r="G281" s="272">
        <f t="shared" si="8"/>
        <v>0</v>
      </c>
    </row>
    <row r="282" spans="2:7" s="136" customFormat="1" x14ac:dyDescent="0.2">
      <c r="B282" s="135"/>
      <c r="C282" s="416" t="s">
        <v>235</v>
      </c>
      <c r="D282" s="231" t="s">
        <v>149</v>
      </c>
      <c r="E282" s="265">
        <v>2</v>
      </c>
      <c r="F282" s="279">
        <v>0</v>
      </c>
      <c r="G282" s="272">
        <f t="shared" si="8"/>
        <v>0</v>
      </c>
    </row>
    <row r="283" spans="2:7" s="136" customFormat="1" x14ac:dyDescent="0.2">
      <c r="B283" s="135"/>
      <c r="C283" s="416" t="s">
        <v>236</v>
      </c>
      <c r="D283" s="231" t="s">
        <v>149</v>
      </c>
      <c r="E283" s="265">
        <v>2</v>
      </c>
      <c r="F283" s="279">
        <v>0</v>
      </c>
      <c r="G283" s="272">
        <f t="shared" si="8"/>
        <v>0</v>
      </c>
    </row>
    <row r="284" spans="2:7" s="136" customFormat="1" x14ac:dyDescent="0.2">
      <c r="B284" s="135"/>
      <c r="C284" s="416" t="s">
        <v>239</v>
      </c>
      <c r="D284" s="231" t="s">
        <v>149</v>
      </c>
      <c r="E284" s="265">
        <v>4</v>
      </c>
      <c r="F284" s="279">
        <v>0</v>
      </c>
      <c r="G284" s="272">
        <f t="shared" si="8"/>
        <v>0</v>
      </c>
    </row>
    <row r="285" spans="2:7" s="136" customFormat="1" x14ac:dyDescent="0.2">
      <c r="B285" s="135"/>
      <c r="C285" s="416" t="s">
        <v>240</v>
      </c>
      <c r="D285" s="231" t="s">
        <v>149</v>
      </c>
      <c r="E285" s="265">
        <v>4</v>
      </c>
      <c r="F285" s="279">
        <v>0</v>
      </c>
      <c r="G285" s="272">
        <f t="shared" si="8"/>
        <v>0</v>
      </c>
    </row>
    <row r="286" spans="2:7" s="136" customFormat="1" x14ac:dyDescent="0.2">
      <c r="B286" s="135"/>
      <c r="C286" s="416" t="s">
        <v>227</v>
      </c>
      <c r="D286" s="231" t="s">
        <v>149</v>
      </c>
      <c r="E286" s="265">
        <v>2</v>
      </c>
      <c r="F286" s="279">
        <v>0</v>
      </c>
      <c r="G286" s="272">
        <f t="shared" si="8"/>
        <v>0</v>
      </c>
    </row>
    <row r="287" spans="2:7" s="136" customFormat="1" x14ac:dyDescent="0.2">
      <c r="B287" s="135"/>
      <c r="C287" s="416" t="s">
        <v>197</v>
      </c>
      <c r="D287" s="231" t="s">
        <v>149</v>
      </c>
      <c r="E287" s="265">
        <v>1</v>
      </c>
      <c r="F287" s="279">
        <v>0</v>
      </c>
      <c r="G287" s="272">
        <f t="shared" si="8"/>
        <v>0</v>
      </c>
    </row>
    <row r="288" spans="2:7" s="136" customFormat="1" x14ac:dyDescent="0.2">
      <c r="B288" s="135"/>
      <c r="C288" s="417" t="s">
        <v>198</v>
      </c>
      <c r="D288" s="231" t="s">
        <v>149</v>
      </c>
      <c r="E288" s="265">
        <v>1</v>
      </c>
      <c r="F288" s="279">
        <v>0</v>
      </c>
      <c r="G288" s="272">
        <f t="shared" si="8"/>
        <v>0</v>
      </c>
    </row>
    <row r="289" spans="2:7" s="136" customFormat="1" x14ac:dyDescent="0.2">
      <c r="B289" s="135"/>
      <c r="C289" s="264" t="s">
        <v>851</v>
      </c>
      <c r="D289" s="486"/>
      <c r="E289" s="487"/>
      <c r="F289" s="279"/>
      <c r="G289" s="272"/>
    </row>
    <row r="290" spans="2:7" s="136" customFormat="1" x14ac:dyDescent="0.2">
      <c r="B290" s="135"/>
      <c r="C290" s="267" t="s">
        <v>289</v>
      </c>
      <c r="D290" s="231" t="s">
        <v>149</v>
      </c>
      <c r="E290" s="265">
        <v>4</v>
      </c>
      <c r="F290" s="279">
        <v>0</v>
      </c>
      <c r="G290" s="272">
        <f t="shared" si="8"/>
        <v>0</v>
      </c>
    </row>
    <row r="291" spans="2:7" s="136" customFormat="1" x14ac:dyDescent="0.2">
      <c r="B291" s="135"/>
      <c r="C291" s="267" t="s">
        <v>213</v>
      </c>
      <c r="D291" s="231" t="s">
        <v>149</v>
      </c>
      <c r="E291" s="265">
        <v>2</v>
      </c>
      <c r="F291" s="279">
        <v>0</v>
      </c>
      <c r="G291" s="272">
        <f t="shared" si="8"/>
        <v>0</v>
      </c>
    </row>
    <row r="292" spans="2:7" s="136" customFormat="1" x14ac:dyDescent="0.2">
      <c r="B292" s="135"/>
      <c r="C292" s="267" t="s">
        <v>290</v>
      </c>
      <c r="D292" s="231" t="s">
        <v>149</v>
      </c>
      <c r="E292" s="265">
        <v>2</v>
      </c>
      <c r="F292" s="279">
        <v>0</v>
      </c>
      <c r="G292" s="272">
        <f t="shared" si="8"/>
        <v>0</v>
      </c>
    </row>
    <row r="293" spans="2:7" s="136" customFormat="1" ht="15" customHeight="1" x14ac:dyDescent="0.2">
      <c r="B293" s="135"/>
      <c r="C293" s="267" t="s">
        <v>291</v>
      </c>
      <c r="D293" s="231" t="s">
        <v>149</v>
      </c>
      <c r="E293" s="265">
        <v>2</v>
      </c>
      <c r="F293" s="279">
        <v>0</v>
      </c>
      <c r="G293" s="272">
        <f t="shared" si="8"/>
        <v>0</v>
      </c>
    </row>
    <row r="294" spans="2:7" s="136" customFormat="1" ht="15" customHeight="1" x14ac:dyDescent="0.2">
      <c r="B294" s="135"/>
      <c r="C294" s="267" t="s">
        <v>274</v>
      </c>
      <c r="D294" s="231" t="s">
        <v>149</v>
      </c>
      <c r="E294" s="265">
        <v>2</v>
      </c>
      <c r="F294" s="279">
        <v>0</v>
      </c>
      <c r="G294" s="272">
        <f t="shared" si="8"/>
        <v>0</v>
      </c>
    </row>
    <row r="295" spans="2:7" s="136" customFormat="1" ht="15" customHeight="1" x14ac:dyDescent="0.2">
      <c r="B295" s="135"/>
      <c r="C295" s="267" t="s">
        <v>292</v>
      </c>
      <c r="D295" s="231" t="s">
        <v>149</v>
      </c>
      <c r="E295" s="265">
        <v>1</v>
      </c>
      <c r="F295" s="279">
        <v>0</v>
      </c>
      <c r="G295" s="272">
        <f t="shared" si="8"/>
        <v>0</v>
      </c>
    </row>
    <row r="296" spans="2:7" s="136" customFormat="1" ht="12" customHeight="1" x14ac:dyDescent="0.2">
      <c r="B296" s="135"/>
      <c r="C296" s="268" t="s">
        <v>293</v>
      </c>
      <c r="D296" s="231" t="s">
        <v>149</v>
      </c>
      <c r="E296" s="265">
        <v>2</v>
      </c>
      <c r="F296" s="279">
        <v>0</v>
      </c>
      <c r="G296" s="272">
        <f t="shared" si="8"/>
        <v>0</v>
      </c>
    </row>
    <row r="297" spans="2:7" s="136" customFormat="1" ht="12.75" customHeight="1" x14ac:dyDescent="0.2">
      <c r="B297" s="135"/>
      <c r="C297" s="268" t="s">
        <v>294</v>
      </c>
      <c r="D297" s="231" t="s">
        <v>149</v>
      </c>
      <c r="E297" s="265">
        <v>1</v>
      </c>
      <c r="F297" s="279">
        <v>0</v>
      </c>
      <c r="G297" s="272">
        <f t="shared" ref="G297:G317" si="9">E297*F297</f>
        <v>0</v>
      </c>
    </row>
    <row r="298" spans="2:7" s="136" customFormat="1" ht="12.75" customHeight="1" x14ac:dyDescent="0.2">
      <c r="B298" s="135"/>
      <c r="C298" s="268" t="s">
        <v>278</v>
      </c>
      <c r="D298" s="231" t="s">
        <v>149</v>
      </c>
      <c r="E298" s="265">
        <v>1</v>
      </c>
      <c r="F298" s="279">
        <v>0</v>
      </c>
      <c r="G298" s="272">
        <f t="shared" si="9"/>
        <v>0</v>
      </c>
    </row>
    <row r="299" spans="2:7" s="136" customFormat="1" x14ac:dyDescent="0.2">
      <c r="B299" s="135"/>
      <c r="C299" s="268" t="s">
        <v>295</v>
      </c>
      <c r="D299" s="231" t="s">
        <v>149</v>
      </c>
      <c r="E299" s="265">
        <v>1</v>
      </c>
      <c r="F299" s="279">
        <v>0</v>
      </c>
      <c r="G299" s="272">
        <f t="shared" si="9"/>
        <v>0</v>
      </c>
    </row>
    <row r="300" spans="2:7" s="136" customFormat="1" ht="14.25" customHeight="1" x14ac:dyDescent="0.2">
      <c r="B300" s="135"/>
      <c r="C300" s="268" t="s">
        <v>296</v>
      </c>
      <c r="D300" s="231" t="s">
        <v>149</v>
      </c>
      <c r="E300" s="265">
        <v>1</v>
      </c>
      <c r="F300" s="279">
        <v>0</v>
      </c>
      <c r="G300" s="272">
        <f t="shared" si="9"/>
        <v>0</v>
      </c>
    </row>
    <row r="301" spans="2:7" s="136" customFormat="1" ht="14.25" customHeight="1" x14ac:dyDescent="0.2">
      <c r="B301" s="135"/>
      <c r="C301" s="268" t="s">
        <v>297</v>
      </c>
      <c r="D301" s="231" t="s">
        <v>149</v>
      </c>
      <c r="E301" s="265">
        <v>1</v>
      </c>
      <c r="F301" s="279">
        <v>0</v>
      </c>
      <c r="G301" s="272">
        <f t="shared" si="9"/>
        <v>0</v>
      </c>
    </row>
    <row r="302" spans="2:7" s="136" customFormat="1" ht="14.25" customHeight="1" x14ac:dyDescent="0.2">
      <c r="B302" s="135"/>
      <c r="C302" s="268" t="s">
        <v>281</v>
      </c>
      <c r="D302" s="231" t="s">
        <v>149</v>
      </c>
      <c r="E302" s="265">
        <v>1</v>
      </c>
      <c r="F302" s="279">
        <v>0</v>
      </c>
      <c r="G302" s="272">
        <f t="shared" si="9"/>
        <v>0</v>
      </c>
    </row>
    <row r="303" spans="2:7" s="136" customFormat="1" ht="14.25" customHeight="1" x14ac:dyDescent="0.2">
      <c r="B303" s="135"/>
      <c r="C303" s="268" t="s">
        <v>282</v>
      </c>
      <c r="D303" s="231" t="s">
        <v>149</v>
      </c>
      <c r="E303" s="265">
        <v>1</v>
      </c>
      <c r="F303" s="279">
        <v>0</v>
      </c>
      <c r="G303" s="272">
        <f t="shared" si="9"/>
        <v>0</v>
      </c>
    </row>
    <row r="304" spans="2:7" s="136" customFormat="1" x14ac:dyDescent="0.2">
      <c r="B304" s="135"/>
      <c r="C304" s="416" t="s">
        <v>283</v>
      </c>
      <c r="D304" s="231" t="s">
        <v>149</v>
      </c>
      <c r="E304" s="265">
        <v>2</v>
      </c>
      <c r="F304" s="279">
        <v>0</v>
      </c>
      <c r="G304" s="272">
        <f t="shared" si="9"/>
        <v>0</v>
      </c>
    </row>
    <row r="305" spans="2:7" s="136" customFormat="1" ht="51" customHeight="1" x14ac:dyDescent="0.2">
      <c r="B305" s="135"/>
      <c r="C305" s="416" t="s">
        <v>284</v>
      </c>
      <c r="D305" s="231" t="s">
        <v>149</v>
      </c>
      <c r="E305" s="265">
        <v>1</v>
      </c>
      <c r="F305" s="279">
        <v>0</v>
      </c>
      <c r="G305" s="272">
        <f t="shared" si="9"/>
        <v>0</v>
      </c>
    </row>
    <row r="306" spans="2:7" s="136" customFormat="1" ht="38.25" customHeight="1" x14ac:dyDescent="0.2">
      <c r="B306" s="135"/>
      <c r="C306" s="268" t="s">
        <v>285</v>
      </c>
      <c r="D306" s="231" t="s">
        <v>149</v>
      </c>
      <c r="E306" s="265">
        <v>1</v>
      </c>
      <c r="F306" s="279">
        <v>0</v>
      </c>
      <c r="G306" s="272">
        <f t="shared" si="9"/>
        <v>0</v>
      </c>
    </row>
    <row r="307" spans="2:7" s="136" customFormat="1" x14ac:dyDescent="0.2">
      <c r="B307" s="135"/>
      <c r="C307" s="267" t="s">
        <v>298</v>
      </c>
      <c r="D307" s="231" t="s">
        <v>149</v>
      </c>
      <c r="E307" s="265">
        <v>2</v>
      </c>
      <c r="F307" s="279">
        <v>0</v>
      </c>
      <c r="G307" s="272">
        <f t="shared" si="9"/>
        <v>0</v>
      </c>
    </row>
    <row r="308" spans="2:7" s="136" customFormat="1" x14ac:dyDescent="0.2">
      <c r="B308" s="135"/>
      <c r="C308" s="268" t="s">
        <v>193</v>
      </c>
      <c r="D308" s="231" t="s">
        <v>149</v>
      </c>
      <c r="E308" s="265">
        <v>1</v>
      </c>
      <c r="F308" s="279">
        <v>0</v>
      </c>
      <c r="G308" s="272">
        <f t="shared" si="9"/>
        <v>0</v>
      </c>
    </row>
    <row r="309" spans="2:7" s="136" customFormat="1" x14ac:dyDescent="0.2">
      <c r="B309" s="135"/>
      <c r="C309" s="268" t="s">
        <v>194</v>
      </c>
      <c r="D309" s="231" t="s">
        <v>149</v>
      </c>
      <c r="E309" s="265">
        <v>1</v>
      </c>
      <c r="F309" s="279">
        <v>0</v>
      </c>
      <c r="G309" s="272">
        <f t="shared" si="9"/>
        <v>0</v>
      </c>
    </row>
    <row r="310" spans="2:7" s="136" customFormat="1" x14ac:dyDescent="0.2">
      <c r="B310" s="135"/>
      <c r="C310" s="267" t="s">
        <v>286</v>
      </c>
      <c r="D310" s="231" t="s">
        <v>149</v>
      </c>
      <c r="E310" s="265">
        <v>1</v>
      </c>
      <c r="F310" s="279">
        <v>0</v>
      </c>
      <c r="G310" s="272">
        <f t="shared" si="9"/>
        <v>0</v>
      </c>
    </row>
    <row r="311" spans="2:7" s="136" customFormat="1" x14ac:dyDescent="0.2">
      <c r="B311" s="135"/>
      <c r="C311" s="416" t="s">
        <v>239</v>
      </c>
      <c r="D311" s="231" t="s">
        <v>149</v>
      </c>
      <c r="E311" s="265">
        <v>6</v>
      </c>
      <c r="F311" s="279">
        <v>0</v>
      </c>
      <c r="G311" s="272">
        <f t="shared" si="9"/>
        <v>0</v>
      </c>
    </row>
    <row r="312" spans="2:7" s="136" customFormat="1" x14ac:dyDescent="0.2">
      <c r="B312" s="135"/>
      <c r="C312" s="416" t="s">
        <v>240</v>
      </c>
      <c r="D312" s="231" t="s">
        <v>149</v>
      </c>
      <c r="E312" s="265">
        <v>6</v>
      </c>
      <c r="F312" s="279">
        <v>0</v>
      </c>
      <c r="G312" s="272">
        <f t="shared" si="9"/>
        <v>0</v>
      </c>
    </row>
    <row r="313" spans="2:7" s="136" customFormat="1" x14ac:dyDescent="0.2">
      <c r="B313" s="135"/>
      <c r="C313" s="416" t="s">
        <v>241</v>
      </c>
      <c r="D313" s="231" t="s">
        <v>149</v>
      </c>
      <c r="E313" s="265">
        <v>2</v>
      </c>
      <c r="F313" s="279">
        <v>0</v>
      </c>
      <c r="G313" s="272">
        <f t="shared" si="9"/>
        <v>0</v>
      </c>
    </row>
    <row r="314" spans="2:7" s="136" customFormat="1" x14ac:dyDescent="0.2">
      <c r="B314" s="135"/>
      <c r="C314" s="416" t="s">
        <v>242</v>
      </c>
      <c r="D314" s="231" t="s">
        <v>149</v>
      </c>
      <c r="E314" s="265">
        <v>2</v>
      </c>
      <c r="F314" s="279">
        <v>0</v>
      </c>
      <c r="G314" s="272">
        <f t="shared" si="9"/>
        <v>0</v>
      </c>
    </row>
    <row r="315" spans="2:7" s="136" customFormat="1" x14ac:dyDescent="0.2">
      <c r="B315" s="135"/>
      <c r="C315" s="416" t="s">
        <v>227</v>
      </c>
      <c r="D315" s="231" t="s">
        <v>149</v>
      </c>
      <c r="E315" s="265">
        <v>2</v>
      </c>
      <c r="F315" s="279">
        <v>0</v>
      </c>
      <c r="G315" s="272">
        <f t="shared" si="9"/>
        <v>0</v>
      </c>
    </row>
    <row r="316" spans="2:7" s="136" customFormat="1" x14ac:dyDescent="0.2">
      <c r="B316" s="135"/>
      <c r="C316" s="416" t="s">
        <v>197</v>
      </c>
      <c r="D316" s="231" t="s">
        <v>149</v>
      </c>
      <c r="E316" s="265">
        <v>1</v>
      </c>
      <c r="F316" s="279">
        <v>0</v>
      </c>
      <c r="G316" s="272">
        <f t="shared" si="9"/>
        <v>0</v>
      </c>
    </row>
    <row r="317" spans="2:7" s="136" customFormat="1" x14ac:dyDescent="0.2">
      <c r="B317" s="135"/>
      <c r="C317" s="417" t="s">
        <v>198</v>
      </c>
      <c r="D317" s="231" t="s">
        <v>149</v>
      </c>
      <c r="E317" s="265">
        <v>1</v>
      </c>
      <c r="F317" s="279">
        <v>0</v>
      </c>
      <c r="G317" s="272">
        <f t="shared" si="9"/>
        <v>0</v>
      </c>
    </row>
    <row r="318" spans="2:7" x14ac:dyDescent="0.2">
      <c r="B318" s="292" t="s">
        <v>299</v>
      </c>
      <c r="C318" s="280" t="s">
        <v>300</v>
      </c>
      <c r="D318" s="281"/>
      <c r="E318" s="282"/>
      <c r="F318" s="283"/>
      <c r="G318" s="284"/>
    </row>
    <row r="319" spans="2:7" s="136" customFormat="1" ht="63" customHeight="1" x14ac:dyDescent="0.2">
      <c r="B319" s="135"/>
      <c r="C319" s="285" t="s">
        <v>301</v>
      </c>
      <c r="D319" s="286" t="s">
        <v>149</v>
      </c>
      <c r="E319" s="287">
        <v>89</v>
      </c>
      <c r="F319" s="288">
        <v>0</v>
      </c>
      <c r="G319" s="289">
        <f>E319*F319</f>
        <v>0</v>
      </c>
    </row>
    <row r="320" spans="2:7" s="147" customFormat="1" ht="25.5" customHeight="1" x14ac:dyDescent="0.25">
      <c r="B320" s="293" t="s">
        <v>17</v>
      </c>
      <c r="C320" s="294" t="s">
        <v>302</v>
      </c>
      <c r="D320" s="218"/>
      <c r="E320" s="203"/>
      <c r="F320" s="204"/>
      <c r="G320" s="290">
        <f>SUM(G93:G319)</f>
        <v>0</v>
      </c>
    </row>
  </sheetData>
  <mergeCells count="8">
    <mergeCell ref="B92:G92"/>
    <mergeCell ref="B102:B105"/>
    <mergeCell ref="B41:G41"/>
    <mergeCell ref="B52:B53"/>
    <mergeCell ref="B66:B67"/>
    <mergeCell ref="B68:B71"/>
    <mergeCell ref="B90:G90"/>
    <mergeCell ref="B91:G91"/>
  </mergeCells>
  <phoneticPr fontId="40" type="noConversion"/>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AC78-8807-42E9-9C95-E492BAA46825}">
  <sheetPr codeName="Sheet54">
    <tabColor rgb="FFFFC000"/>
  </sheetPr>
  <dimension ref="A2:L113"/>
  <sheetViews>
    <sheetView showZeros="0" topLeftCell="A26" zoomScale="110" zoomScaleNormal="110" workbookViewId="0">
      <selection activeCell="B26" sqref="B26:B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4.140625" style="463" customWidth="1"/>
    <col min="8" max="8" width="16" style="565" customWidth="1"/>
    <col min="9" max="9" width="44.425781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16.5" customHeight="1" x14ac:dyDescent="0.2">
      <c r="B2" s="137"/>
      <c r="C2" s="108" t="s">
        <v>59</v>
      </c>
      <c r="D2" s="155"/>
      <c r="E2" s="156"/>
      <c r="F2" s="157"/>
      <c r="G2" s="363" t="s">
        <v>60</v>
      </c>
      <c r="H2" s="122"/>
    </row>
    <row r="4" spans="1:12" s="119" customFormat="1" ht="15" x14ac:dyDescent="0.25">
      <c r="B4" s="146" t="s">
        <v>7</v>
      </c>
      <c r="C4" s="330" t="s">
        <v>63</v>
      </c>
      <c r="D4" s="158"/>
      <c r="E4" s="159"/>
      <c r="F4" s="160"/>
      <c r="G4" s="161"/>
      <c r="H4" s="566"/>
    </row>
    <row r="5" spans="1:12" s="119" customFormat="1" ht="12" customHeight="1" x14ac:dyDescent="0.25">
      <c r="B5" s="145"/>
      <c r="C5" s="162"/>
      <c r="D5" s="163"/>
      <c r="E5" s="164"/>
      <c r="F5" s="165"/>
      <c r="G5" s="166"/>
      <c r="H5" s="566"/>
    </row>
    <row r="6" spans="1:12" s="125" customFormat="1" ht="21" customHeight="1" x14ac:dyDescent="0.2">
      <c r="B6" s="328" t="s">
        <v>80</v>
      </c>
      <c r="C6" s="329" t="s">
        <v>852</v>
      </c>
      <c r="D6" s="158"/>
      <c r="E6" s="159"/>
      <c r="F6" s="160"/>
      <c r="G6" s="161"/>
      <c r="H6" s="567"/>
      <c r="I6" s="124"/>
      <c r="J6" s="124"/>
      <c r="K6" s="124"/>
      <c r="L6" s="124"/>
    </row>
    <row r="7" spans="1:12" s="125" customFormat="1" ht="14.25" x14ac:dyDescent="0.2">
      <c r="B7" s="145"/>
      <c r="C7" s="162"/>
      <c r="D7" s="163"/>
      <c r="E7" s="164"/>
      <c r="F7" s="165"/>
      <c r="G7" s="167"/>
      <c r="H7" s="567"/>
      <c r="I7" s="124"/>
      <c r="J7" s="124"/>
      <c r="K7" s="124"/>
      <c r="L7" s="124"/>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25" customFormat="1" ht="14.25" x14ac:dyDescent="0.2">
      <c r="B12" s="142"/>
      <c r="C12" s="174"/>
      <c r="D12" s="175"/>
      <c r="E12" s="176"/>
      <c r="F12" s="177"/>
      <c r="G12" s="178"/>
      <c r="H12" s="567"/>
      <c r="I12" s="124"/>
      <c r="J12" s="124"/>
      <c r="K12" s="124"/>
      <c r="L12" s="124"/>
    </row>
    <row r="13" spans="1:12" s="125" customFormat="1" ht="18.75" customHeight="1" x14ac:dyDescent="0.2">
      <c r="B13" s="138"/>
      <c r="C13" s="334" t="s">
        <v>82</v>
      </c>
      <c r="D13" s="179"/>
      <c r="E13" s="180"/>
      <c r="F13" s="181"/>
      <c r="G13" s="182"/>
      <c r="H13" s="567"/>
      <c r="I13" s="124"/>
      <c r="J13" s="124"/>
      <c r="K13" s="124"/>
      <c r="L13" s="124"/>
    </row>
    <row r="14" spans="1:12" s="126" customFormat="1" ht="18.75" customHeight="1" x14ac:dyDescent="0.2">
      <c r="B14" s="315" t="s">
        <v>83</v>
      </c>
      <c r="C14" s="335" t="s">
        <v>84</v>
      </c>
      <c r="D14" s="336"/>
      <c r="E14" s="337"/>
      <c r="F14" s="338"/>
      <c r="G14" s="339" t="s">
        <v>64</v>
      </c>
      <c r="H14" s="568"/>
    </row>
    <row r="15" spans="1:12" s="331" customFormat="1" ht="18.75" customHeight="1" x14ac:dyDescent="0.25">
      <c r="B15" s="332" t="s">
        <v>10</v>
      </c>
      <c r="C15" s="340" t="s">
        <v>85</v>
      </c>
      <c r="D15" s="341"/>
      <c r="E15" s="342"/>
      <c r="F15" s="343"/>
      <c r="G15" s="474">
        <f>G35</f>
        <v>0</v>
      </c>
      <c r="H15" s="569"/>
    </row>
    <row r="16" spans="1:12" s="331" customFormat="1" ht="18.75" customHeight="1" x14ac:dyDescent="0.25">
      <c r="B16" s="332" t="s">
        <v>12</v>
      </c>
      <c r="C16" s="340" t="s">
        <v>86</v>
      </c>
      <c r="D16" s="341"/>
      <c r="E16" s="342"/>
      <c r="F16" s="343"/>
      <c r="G16" s="474">
        <f>G60</f>
        <v>0</v>
      </c>
      <c r="H16" s="569"/>
    </row>
    <row r="17" spans="2:8" s="331" customFormat="1" ht="18.75" customHeight="1" x14ac:dyDescent="0.25">
      <c r="B17" s="332" t="s">
        <v>17</v>
      </c>
      <c r="C17" s="340" t="s">
        <v>87</v>
      </c>
      <c r="D17" s="341"/>
      <c r="E17" s="342"/>
      <c r="F17" s="343"/>
      <c r="G17" s="474">
        <f>G113</f>
        <v>0</v>
      </c>
      <c r="H17" s="569"/>
    </row>
    <row r="18" spans="2:8" s="331" customFormat="1" ht="18.75" customHeight="1" x14ac:dyDescent="0.25">
      <c r="B18" s="333"/>
      <c r="C18" s="344" t="s">
        <v>88</v>
      </c>
      <c r="D18" s="345"/>
      <c r="E18" s="346"/>
      <c r="F18" s="347"/>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704</v>
      </c>
      <c r="F24" s="467">
        <v>0</v>
      </c>
      <c r="G24" s="352">
        <f t="shared" ref="G24" si="0">E24*F24</f>
        <v>0</v>
      </c>
    </row>
    <row r="25" spans="2:8" x14ac:dyDescent="0.2">
      <c r="B25" s="129">
        <v>2</v>
      </c>
      <c r="C25" s="206" t="s">
        <v>96</v>
      </c>
      <c r="D25" s="207" t="s">
        <v>95</v>
      </c>
      <c r="E25" s="353">
        <v>704</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27.5" customHeight="1" x14ac:dyDescent="0.2">
      <c r="B27" s="129">
        <v>4</v>
      </c>
      <c r="C27" s="208" t="s">
        <v>99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211" t="s">
        <v>102</v>
      </c>
      <c r="D29" s="210" t="s">
        <v>98</v>
      </c>
      <c r="E29" s="353">
        <v>1</v>
      </c>
      <c r="F29" s="467">
        <v>0</v>
      </c>
      <c r="G29" s="352">
        <f t="shared" si="1"/>
        <v>0</v>
      </c>
    </row>
    <row r="30" spans="2:8" ht="40.5" customHeight="1" x14ac:dyDescent="0.2">
      <c r="B30" s="129">
        <v>7</v>
      </c>
      <c r="C30" s="3165" t="s">
        <v>2592</v>
      </c>
      <c r="D30" s="210" t="s">
        <v>95</v>
      </c>
      <c r="E30" s="353">
        <v>704</v>
      </c>
      <c r="F30" s="467">
        <v>0</v>
      </c>
      <c r="G30" s="352">
        <f t="shared" si="1"/>
        <v>0</v>
      </c>
      <c r="H30" s="571"/>
    </row>
    <row r="31" spans="2:8" ht="27.75" customHeight="1" x14ac:dyDescent="0.2">
      <c r="B31" s="129">
        <v>8</v>
      </c>
      <c r="C31" s="3165" t="s">
        <v>2591</v>
      </c>
      <c r="D31" s="210" t="s">
        <v>98</v>
      </c>
      <c r="E31" s="353">
        <v>1</v>
      </c>
      <c r="F31" s="467">
        <v>0</v>
      </c>
      <c r="G31" s="352">
        <f t="shared" si="1"/>
        <v>0</v>
      </c>
    </row>
    <row r="32" spans="2:8" ht="14.25" customHeight="1" x14ac:dyDescent="0.2">
      <c r="B32" s="129">
        <v>9</v>
      </c>
      <c r="C32" s="211"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1</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36" x14ac:dyDescent="0.2">
      <c r="B41" s="131">
        <v>3</v>
      </c>
      <c r="C41" s="206" t="s">
        <v>114</v>
      </c>
      <c r="D41" s="209" t="s">
        <v>112</v>
      </c>
      <c r="E41" s="353">
        <v>109.82400000000001</v>
      </c>
      <c r="F41" s="467">
        <v>0</v>
      </c>
      <c r="G41" s="352">
        <f t="shared" ref="G41:G59" si="2">E41*F41</f>
        <v>0</v>
      </c>
      <c r="I41" s="133"/>
      <c r="K41" s="134"/>
      <c r="L41" s="134"/>
    </row>
    <row r="42" spans="2:12" ht="39.75" customHeight="1" x14ac:dyDescent="0.2">
      <c r="B42" s="131">
        <v>4</v>
      </c>
      <c r="C42" s="206" t="s">
        <v>115</v>
      </c>
      <c r="D42" s="209" t="s">
        <v>112</v>
      </c>
      <c r="E42" s="353">
        <v>622.33600000000001</v>
      </c>
      <c r="F42" s="467">
        <v>0</v>
      </c>
      <c r="G42" s="352">
        <f t="shared" si="2"/>
        <v>0</v>
      </c>
      <c r="I42" s="133"/>
    </row>
    <row r="43" spans="2:12" ht="29.25" customHeight="1" x14ac:dyDescent="0.2">
      <c r="B43" s="131">
        <v>5</v>
      </c>
      <c r="C43" s="311" t="s">
        <v>116</v>
      </c>
      <c r="D43" s="219" t="s">
        <v>117</v>
      </c>
      <c r="E43" s="471">
        <v>1056</v>
      </c>
      <c r="F43" s="467">
        <v>0</v>
      </c>
      <c r="G43" s="352">
        <f t="shared" si="2"/>
        <v>0</v>
      </c>
      <c r="I43" s="132"/>
    </row>
    <row r="44" spans="2:12" ht="29.25" customHeight="1" x14ac:dyDescent="0.2">
      <c r="B44" s="131">
        <v>6</v>
      </c>
      <c r="C44" s="206" t="s">
        <v>118</v>
      </c>
      <c r="D44" s="209" t="s">
        <v>117</v>
      </c>
      <c r="E44" s="353">
        <v>704</v>
      </c>
      <c r="F44" s="467">
        <v>0</v>
      </c>
      <c r="G44" s="352">
        <f t="shared" si="2"/>
        <v>0</v>
      </c>
      <c r="I44" s="132"/>
    </row>
    <row r="45" spans="2:12" ht="24" x14ac:dyDescent="0.2">
      <c r="B45" s="131">
        <v>8</v>
      </c>
      <c r="C45" s="206" t="s">
        <v>119</v>
      </c>
      <c r="D45" s="209" t="s">
        <v>112</v>
      </c>
      <c r="E45" s="353">
        <v>506.88000000000005</v>
      </c>
      <c r="F45" s="467">
        <v>0</v>
      </c>
      <c r="G45" s="352">
        <f t="shared" si="2"/>
        <v>0</v>
      </c>
      <c r="I45" s="134"/>
    </row>
    <row r="46" spans="2:12" s="130" customFormat="1" ht="39" customHeight="1" x14ac:dyDescent="0.2">
      <c r="B46" s="131">
        <v>10</v>
      </c>
      <c r="C46" s="314" t="s">
        <v>121</v>
      </c>
      <c r="D46" s="210" t="s">
        <v>112</v>
      </c>
      <c r="E46" s="353">
        <v>225.28000000000003</v>
      </c>
      <c r="F46" s="467">
        <v>0</v>
      </c>
      <c r="G46" s="352">
        <f t="shared" si="2"/>
        <v>0</v>
      </c>
      <c r="H46" s="565"/>
    </row>
    <row r="47" spans="2:12" ht="25.5" customHeight="1" x14ac:dyDescent="0.2">
      <c r="B47" s="131">
        <v>12</v>
      </c>
      <c r="C47" s="206" t="s">
        <v>125</v>
      </c>
      <c r="D47" s="209" t="s">
        <v>95</v>
      </c>
      <c r="E47" s="353">
        <v>10</v>
      </c>
      <c r="F47" s="467">
        <v>0</v>
      </c>
      <c r="G47" s="352">
        <f t="shared" si="2"/>
        <v>0</v>
      </c>
      <c r="H47" s="571"/>
    </row>
    <row r="48" spans="2:12" ht="16.5" customHeight="1" x14ac:dyDescent="0.2">
      <c r="B48" s="131">
        <v>13</v>
      </c>
      <c r="C48" s="206" t="s">
        <v>126</v>
      </c>
      <c r="D48" s="207" t="s">
        <v>117</v>
      </c>
      <c r="E48" s="353">
        <v>12</v>
      </c>
      <c r="F48" s="467">
        <v>0</v>
      </c>
      <c r="G48" s="352">
        <f t="shared" si="2"/>
        <v>0</v>
      </c>
      <c r="H48" s="571"/>
    </row>
    <row r="49" spans="2:8" ht="41.25" customHeight="1" x14ac:dyDescent="0.2">
      <c r="B49" s="131">
        <v>14</v>
      </c>
      <c r="C49" s="206" t="s">
        <v>127</v>
      </c>
      <c r="D49" s="207" t="s">
        <v>117</v>
      </c>
      <c r="E49" s="353">
        <v>12</v>
      </c>
      <c r="F49" s="467">
        <v>0</v>
      </c>
      <c r="G49" s="352">
        <f t="shared" si="2"/>
        <v>0</v>
      </c>
      <c r="H49" s="571"/>
    </row>
    <row r="50" spans="2:8" ht="65.25" customHeight="1" x14ac:dyDescent="0.2">
      <c r="B50" s="131">
        <v>15</v>
      </c>
      <c r="C50" s="314" t="s">
        <v>706</v>
      </c>
      <c r="D50" s="209" t="s">
        <v>117</v>
      </c>
      <c r="E50" s="353">
        <v>12</v>
      </c>
      <c r="F50" s="467">
        <v>0</v>
      </c>
      <c r="G50" s="352">
        <f t="shared" si="2"/>
        <v>0</v>
      </c>
      <c r="H50" s="571"/>
    </row>
    <row r="51" spans="2:8" ht="50.25" customHeight="1" x14ac:dyDescent="0.2">
      <c r="B51" s="131"/>
      <c r="C51" s="314" t="s">
        <v>853</v>
      </c>
      <c r="D51" s="209" t="s">
        <v>112</v>
      </c>
      <c r="E51" s="353">
        <v>70</v>
      </c>
      <c r="F51" s="467">
        <v>0</v>
      </c>
      <c r="G51" s="352">
        <f t="shared" si="2"/>
        <v>0</v>
      </c>
      <c r="H51" s="571"/>
    </row>
    <row r="52" spans="2:8" ht="39" customHeight="1" x14ac:dyDescent="0.2">
      <c r="B52" s="131"/>
      <c r="C52" s="314" t="s">
        <v>832</v>
      </c>
      <c r="D52" s="209" t="s">
        <v>117</v>
      </c>
      <c r="E52" s="353">
        <v>700</v>
      </c>
      <c r="F52" s="467">
        <v>0</v>
      </c>
      <c r="G52" s="352">
        <f t="shared" si="2"/>
        <v>0</v>
      </c>
      <c r="H52" s="571"/>
    </row>
    <row r="53" spans="2:8" ht="14.25" customHeight="1" x14ac:dyDescent="0.2">
      <c r="B53" s="131">
        <v>18</v>
      </c>
      <c r="C53" s="206" t="s">
        <v>134</v>
      </c>
      <c r="D53" s="209" t="s">
        <v>112</v>
      </c>
      <c r="E53" s="353">
        <v>225.28000000000003</v>
      </c>
      <c r="F53" s="467">
        <v>0</v>
      </c>
      <c r="G53" s="352">
        <f t="shared" si="2"/>
        <v>0</v>
      </c>
    </row>
    <row r="54" spans="2:8" ht="15.75" customHeight="1" x14ac:dyDescent="0.2">
      <c r="B54" s="131">
        <v>19</v>
      </c>
      <c r="C54" s="206" t="s">
        <v>135</v>
      </c>
      <c r="D54" s="209" t="s">
        <v>112</v>
      </c>
      <c r="E54" s="353">
        <v>225.28000000000003</v>
      </c>
      <c r="F54" s="467">
        <v>0</v>
      </c>
      <c r="G54" s="352">
        <f t="shared" si="2"/>
        <v>0</v>
      </c>
    </row>
    <row r="55" spans="2:8" ht="27.75" customHeight="1" x14ac:dyDescent="0.2">
      <c r="B55" s="131">
        <v>20</v>
      </c>
      <c r="C55" s="206" t="s">
        <v>136</v>
      </c>
      <c r="D55" s="209" t="s">
        <v>117</v>
      </c>
      <c r="E55" s="353">
        <v>2.4000000000000004</v>
      </c>
      <c r="F55" s="467">
        <v>0</v>
      </c>
      <c r="G55" s="352">
        <f t="shared" si="2"/>
        <v>0</v>
      </c>
    </row>
    <row r="56" spans="2:8" ht="29.25" customHeight="1" x14ac:dyDescent="0.2">
      <c r="B56" s="411">
        <v>30</v>
      </c>
      <c r="C56" s="410" t="s">
        <v>151</v>
      </c>
      <c r="D56" s="222" t="s">
        <v>112</v>
      </c>
      <c r="E56" s="472">
        <v>1</v>
      </c>
      <c r="F56" s="467">
        <v>0</v>
      </c>
      <c r="G56" s="352">
        <f t="shared" si="2"/>
        <v>0</v>
      </c>
    </row>
    <row r="57" spans="2:8" ht="36.75" customHeight="1" x14ac:dyDescent="0.2">
      <c r="B57" s="131">
        <v>31</v>
      </c>
      <c r="C57" s="223" t="s">
        <v>152</v>
      </c>
      <c r="D57" s="222" t="s">
        <v>149</v>
      </c>
      <c r="E57" s="472">
        <v>4</v>
      </c>
      <c r="F57" s="467">
        <v>0</v>
      </c>
      <c r="G57" s="352">
        <f t="shared" si="2"/>
        <v>0</v>
      </c>
    </row>
    <row r="58" spans="2:8" ht="30" customHeight="1" x14ac:dyDescent="0.2">
      <c r="B58" s="411">
        <v>32</v>
      </c>
      <c r="C58" s="223" t="s">
        <v>153</v>
      </c>
      <c r="D58" s="222" t="s">
        <v>112</v>
      </c>
      <c r="E58" s="472">
        <v>1</v>
      </c>
      <c r="F58" s="467">
        <v>0</v>
      </c>
      <c r="G58" s="352">
        <f t="shared" si="2"/>
        <v>0</v>
      </c>
    </row>
    <row r="59" spans="2:8" ht="28.5" customHeight="1" x14ac:dyDescent="0.2">
      <c r="B59" s="131">
        <v>33</v>
      </c>
      <c r="C59" s="223" t="s">
        <v>155</v>
      </c>
      <c r="D59" s="222" t="s">
        <v>156</v>
      </c>
      <c r="E59" s="472">
        <v>10</v>
      </c>
      <c r="F59" s="467">
        <v>0</v>
      </c>
      <c r="G59" s="352">
        <f t="shared" si="2"/>
        <v>0</v>
      </c>
    </row>
    <row r="60" spans="2:8" s="147" customFormat="1" ht="21.75" customHeight="1" x14ac:dyDescent="0.25">
      <c r="B60" s="327" t="s">
        <v>12</v>
      </c>
      <c r="C60" s="214" t="s">
        <v>157</v>
      </c>
      <c r="D60" s="224"/>
      <c r="E60" s="215"/>
      <c r="F60" s="216"/>
      <c r="G60" s="290">
        <f>SUM(G41:G59)</f>
        <v>0</v>
      </c>
      <c r="H60" s="150"/>
    </row>
    <row r="61" spans="2:8" x14ac:dyDescent="0.2">
      <c r="B61" s="129"/>
      <c r="C61" s="197"/>
      <c r="D61" s="198"/>
      <c r="E61" s="353"/>
      <c r="F61" s="358"/>
      <c r="G61" s="350"/>
    </row>
    <row r="62" spans="2:8" ht="24" x14ac:dyDescent="0.2">
      <c r="B62" s="128" t="s">
        <v>83</v>
      </c>
      <c r="C62" s="192" t="s">
        <v>89</v>
      </c>
      <c r="D62" s="192" t="s">
        <v>90</v>
      </c>
      <c r="E62" s="194" t="s">
        <v>91</v>
      </c>
      <c r="F62" s="195" t="s">
        <v>92</v>
      </c>
      <c r="G62" s="196" t="s">
        <v>93</v>
      </c>
    </row>
    <row r="63" spans="2:8" x14ac:dyDescent="0.2">
      <c r="B63" s="129"/>
      <c r="C63" s="197"/>
      <c r="D63" s="207"/>
      <c r="E63" s="353"/>
      <c r="F63" s="358"/>
      <c r="G63" s="350"/>
    </row>
    <row r="64" spans="2:8" s="295" customFormat="1" ht="20.25" x14ac:dyDescent="0.3">
      <c r="B64" s="296" t="s">
        <v>17</v>
      </c>
      <c r="C64" s="297" t="s">
        <v>158</v>
      </c>
      <c r="D64" s="298"/>
      <c r="E64" s="299"/>
      <c r="F64" s="300"/>
      <c r="G64" s="301"/>
      <c r="H64" s="570"/>
    </row>
    <row r="65" spans="1:8" s="139" customFormat="1" ht="18" customHeight="1" x14ac:dyDescent="0.2">
      <c r="A65" s="140"/>
      <c r="B65" s="143" t="s">
        <v>1</v>
      </c>
      <c r="C65" s="168"/>
      <c r="D65" s="170"/>
      <c r="E65" s="170"/>
      <c r="F65" s="170"/>
      <c r="G65" s="169"/>
    </row>
    <row r="66" spans="1:8" s="139" customFormat="1" ht="18" customHeight="1" x14ac:dyDescent="0.25">
      <c r="A66" s="141"/>
      <c r="B66" s="144" t="s">
        <v>2</v>
      </c>
      <c r="C66" s="171"/>
      <c r="D66" s="172"/>
      <c r="E66" s="173"/>
      <c r="F66" s="173"/>
      <c r="G66" s="172"/>
    </row>
    <row r="67" spans="1:8" s="139" customFormat="1" ht="18" customHeight="1" x14ac:dyDescent="0.2">
      <c r="A67" s="140"/>
      <c r="B67" s="143" t="s">
        <v>3</v>
      </c>
      <c r="C67" s="168"/>
      <c r="D67" s="170"/>
      <c r="E67" s="170"/>
      <c r="F67" s="170"/>
      <c r="G67" s="169"/>
    </row>
    <row r="68" spans="1:8" s="139" customFormat="1" ht="18" customHeight="1" x14ac:dyDescent="0.25">
      <c r="A68" s="141"/>
      <c r="B68" s="144" t="s">
        <v>4</v>
      </c>
      <c r="C68" s="171"/>
      <c r="D68" s="173"/>
      <c r="E68" s="173"/>
      <c r="F68" s="173"/>
      <c r="G68" s="172"/>
    </row>
    <row r="69" spans="1:8" s="130" customFormat="1" ht="18.75" customHeight="1" x14ac:dyDescent="0.2">
      <c r="B69" s="3184" t="s">
        <v>159</v>
      </c>
      <c r="C69" s="3185"/>
      <c r="D69" s="3185"/>
      <c r="E69" s="3185"/>
      <c r="F69" s="3185"/>
      <c r="G69" s="3186"/>
      <c r="H69" s="565"/>
    </row>
    <row r="70" spans="1:8" s="130" customFormat="1" ht="18.75" customHeight="1" x14ac:dyDescent="0.2">
      <c r="B70" s="3184" t="s">
        <v>160</v>
      </c>
      <c r="C70" s="3185"/>
      <c r="D70" s="3185"/>
      <c r="E70" s="3185"/>
      <c r="F70" s="3185"/>
      <c r="G70" s="3186"/>
      <c r="H70" s="565"/>
    </row>
    <row r="71" spans="1:8" s="130" customFormat="1" ht="18.75" customHeight="1" x14ac:dyDescent="0.2">
      <c r="B71" s="3184" t="s">
        <v>161</v>
      </c>
      <c r="C71" s="3185"/>
      <c r="D71" s="3185"/>
      <c r="E71" s="3185"/>
      <c r="F71" s="3185"/>
      <c r="G71" s="3186"/>
      <c r="H71" s="565"/>
    </row>
    <row r="72" spans="1:8" ht="30" customHeight="1" x14ac:dyDescent="0.2">
      <c r="B72" s="153">
        <v>1</v>
      </c>
      <c r="C72" s="225" t="s">
        <v>162</v>
      </c>
      <c r="D72" s="226"/>
      <c r="E72" s="353"/>
      <c r="F72" s="358"/>
      <c r="G72" s="350"/>
    </row>
    <row r="73" spans="1:8" s="147" customFormat="1" ht="19.5" customHeight="1" x14ac:dyDescent="0.25">
      <c r="B73" s="148"/>
      <c r="C73" s="151" t="s">
        <v>823</v>
      </c>
      <c r="D73" s="226" t="s">
        <v>95</v>
      </c>
      <c r="E73" s="353">
        <v>633.6</v>
      </c>
      <c r="F73" s="467">
        <v>0</v>
      </c>
      <c r="G73" s="352">
        <f t="shared" ref="G73:G77" si="3">E73*F73</f>
        <v>0</v>
      </c>
      <c r="H73" s="150"/>
    </row>
    <row r="74" spans="1:8" s="147" customFormat="1" ht="27" customHeight="1" x14ac:dyDescent="0.25">
      <c r="B74" s="148"/>
      <c r="C74" s="151" t="s">
        <v>824</v>
      </c>
      <c r="D74" s="226" t="s">
        <v>95</v>
      </c>
      <c r="E74" s="353">
        <v>70.400000000000006</v>
      </c>
      <c r="F74" s="467">
        <v>0</v>
      </c>
      <c r="G74" s="352">
        <f t="shared" si="3"/>
        <v>0</v>
      </c>
      <c r="H74" s="150"/>
    </row>
    <row r="75" spans="1:8" s="130" customFormat="1" ht="40.5" customHeight="1" x14ac:dyDescent="0.2">
      <c r="B75" s="3181" t="s">
        <v>167</v>
      </c>
      <c r="C75" s="310" t="s">
        <v>168</v>
      </c>
      <c r="D75" s="221"/>
      <c r="E75" s="353"/>
      <c r="F75" s="467"/>
      <c r="G75" s="352"/>
      <c r="H75" s="565"/>
    </row>
    <row r="76" spans="1:8" s="130" customFormat="1" x14ac:dyDescent="0.2">
      <c r="B76" s="3183"/>
      <c r="C76" s="291" t="s">
        <v>171</v>
      </c>
      <c r="D76" s="221" t="s">
        <v>95</v>
      </c>
      <c r="E76" s="353">
        <v>10</v>
      </c>
      <c r="F76" s="467">
        <v>0</v>
      </c>
      <c r="G76" s="352">
        <f t="shared" ref="G76" si="4">E76*F76</f>
        <v>0</v>
      </c>
      <c r="H76" s="565"/>
    </row>
    <row r="77" spans="1:8" ht="40.5" customHeight="1" x14ac:dyDescent="0.2">
      <c r="B77" s="154">
        <v>2</v>
      </c>
      <c r="C77" s="227" t="s">
        <v>172</v>
      </c>
      <c r="D77" s="209" t="s">
        <v>95</v>
      </c>
      <c r="E77" s="348">
        <v>704</v>
      </c>
      <c r="F77" s="467">
        <v>0</v>
      </c>
      <c r="G77" s="352">
        <f t="shared" si="3"/>
        <v>0</v>
      </c>
    </row>
    <row r="78" spans="1:8" ht="41.25" customHeight="1" x14ac:dyDescent="0.2">
      <c r="B78" s="309" t="s">
        <v>173</v>
      </c>
      <c r="C78" s="227" t="s">
        <v>174</v>
      </c>
      <c r="D78" s="209" t="s">
        <v>95</v>
      </c>
      <c r="E78" s="348">
        <v>704</v>
      </c>
      <c r="F78" s="467">
        <v>0</v>
      </c>
      <c r="G78" s="352">
        <f>E78*F78</f>
        <v>0</v>
      </c>
    </row>
    <row r="79" spans="1:8" ht="27" customHeight="1" x14ac:dyDescent="0.2">
      <c r="B79" s="309" t="s">
        <v>175</v>
      </c>
      <c r="C79" s="227" t="s">
        <v>176</v>
      </c>
      <c r="D79" s="209" t="s">
        <v>95</v>
      </c>
      <c r="E79" s="348">
        <v>704</v>
      </c>
      <c r="F79" s="467">
        <v>0</v>
      </c>
      <c r="G79" s="352">
        <f>E79*F79</f>
        <v>0</v>
      </c>
    </row>
    <row r="80" spans="1:8" ht="39" customHeight="1" x14ac:dyDescent="0.2">
      <c r="B80" s="309" t="s">
        <v>177</v>
      </c>
      <c r="C80" s="227" t="s">
        <v>178</v>
      </c>
      <c r="D80" s="209" t="s">
        <v>95</v>
      </c>
      <c r="E80" s="348">
        <v>704</v>
      </c>
      <c r="F80" s="467">
        <v>0</v>
      </c>
      <c r="G80" s="352">
        <f>E80*F80</f>
        <v>0</v>
      </c>
    </row>
    <row r="81" spans="2:8" ht="27.75" customHeight="1" x14ac:dyDescent="0.2">
      <c r="B81" s="153">
        <v>3</v>
      </c>
      <c r="C81" s="229" t="s">
        <v>179</v>
      </c>
      <c r="D81" s="198"/>
      <c r="E81" s="353"/>
      <c r="F81" s="358">
        <v>0</v>
      </c>
      <c r="G81" s="350"/>
    </row>
    <row r="82" spans="2:8" s="136" customFormat="1" x14ac:dyDescent="0.2">
      <c r="B82" s="292" t="s">
        <v>188</v>
      </c>
      <c r="C82" s="238" t="s">
        <v>189</v>
      </c>
      <c r="D82" s="239"/>
      <c r="E82" s="240"/>
      <c r="F82" s="241">
        <v>0</v>
      </c>
      <c r="G82" s="242"/>
      <c r="H82" s="565"/>
    </row>
    <row r="83" spans="2:8" s="136" customFormat="1" x14ac:dyDescent="0.2">
      <c r="B83" s="135"/>
      <c r="C83" s="238" t="s">
        <v>854</v>
      </c>
      <c r="D83" s="476"/>
      <c r="E83" s="477"/>
      <c r="F83" s="478"/>
      <c r="G83" s="479"/>
      <c r="H83" s="565"/>
    </row>
    <row r="84" spans="2:8" s="136" customFormat="1" x14ac:dyDescent="0.2">
      <c r="B84" s="135"/>
      <c r="C84" s="243" t="s">
        <v>841</v>
      </c>
      <c r="D84" s="239" t="s">
        <v>149</v>
      </c>
      <c r="E84" s="240">
        <v>1</v>
      </c>
      <c r="F84" s="273">
        <v>0</v>
      </c>
      <c r="G84" s="274">
        <f t="shared" ref="G84:G93" si="5">E84*F84</f>
        <v>0</v>
      </c>
      <c r="H84" s="565"/>
    </row>
    <row r="85" spans="2:8" s="136" customFormat="1" ht="38.25" customHeight="1" x14ac:dyDescent="0.2">
      <c r="B85" s="135"/>
      <c r="C85" s="244" t="s">
        <v>285</v>
      </c>
      <c r="D85" s="239" t="s">
        <v>149</v>
      </c>
      <c r="E85" s="240">
        <v>1</v>
      </c>
      <c r="F85" s="273">
        <v>0</v>
      </c>
      <c r="G85" s="274">
        <f t="shared" si="5"/>
        <v>0</v>
      </c>
      <c r="H85" s="565"/>
    </row>
    <row r="86" spans="2:8" s="136" customFormat="1" x14ac:dyDescent="0.2">
      <c r="B86" s="135"/>
      <c r="C86" s="244" t="s">
        <v>193</v>
      </c>
      <c r="D86" s="239" t="s">
        <v>149</v>
      </c>
      <c r="E86" s="240">
        <v>1</v>
      </c>
      <c r="F86" s="273">
        <v>0</v>
      </c>
      <c r="G86" s="274">
        <f t="shared" si="5"/>
        <v>0</v>
      </c>
      <c r="H86" s="565"/>
    </row>
    <row r="87" spans="2:8" s="136" customFormat="1" x14ac:dyDescent="0.2">
      <c r="B87" s="135"/>
      <c r="C87" s="244" t="s">
        <v>194</v>
      </c>
      <c r="D87" s="239" t="s">
        <v>149</v>
      </c>
      <c r="E87" s="240">
        <v>1</v>
      </c>
      <c r="F87" s="273">
        <v>0</v>
      </c>
      <c r="G87" s="274">
        <f t="shared" si="5"/>
        <v>0</v>
      </c>
      <c r="H87" s="565"/>
    </row>
    <row r="88" spans="2:8" s="136" customFormat="1" x14ac:dyDescent="0.2">
      <c r="B88" s="135"/>
      <c r="C88" s="245" t="s">
        <v>239</v>
      </c>
      <c r="D88" s="239" t="s">
        <v>149</v>
      </c>
      <c r="E88" s="240">
        <v>2</v>
      </c>
      <c r="F88" s="273">
        <v>0</v>
      </c>
      <c r="G88" s="274">
        <f t="shared" si="5"/>
        <v>0</v>
      </c>
      <c r="H88" s="565"/>
    </row>
    <row r="89" spans="2:8" s="136" customFormat="1" x14ac:dyDescent="0.2">
      <c r="B89" s="135"/>
      <c r="C89" s="245" t="s">
        <v>240</v>
      </c>
      <c r="D89" s="239" t="s">
        <v>149</v>
      </c>
      <c r="E89" s="240">
        <v>2</v>
      </c>
      <c r="F89" s="273">
        <v>0</v>
      </c>
      <c r="G89" s="274">
        <f t="shared" si="5"/>
        <v>0</v>
      </c>
      <c r="H89" s="565"/>
    </row>
    <row r="90" spans="2:8" s="136" customFormat="1" x14ac:dyDescent="0.2">
      <c r="B90" s="135"/>
      <c r="C90" s="245" t="s">
        <v>855</v>
      </c>
      <c r="D90" s="239" t="s">
        <v>149</v>
      </c>
      <c r="E90" s="240">
        <v>2</v>
      </c>
      <c r="F90" s="273">
        <v>0</v>
      </c>
      <c r="G90" s="274">
        <f t="shared" si="5"/>
        <v>0</v>
      </c>
      <c r="H90" s="565"/>
    </row>
    <row r="91" spans="2:8" s="136" customFormat="1" x14ac:dyDescent="0.2">
      <c r="B91" s="135"/>
      <c r="C91" s="245" t="s">
        <v>856</v>
      </c>
      <c r="D91" s="239" t="s">
        <v>149</v>
      </c>
      <c r="E91" s="240">
        <v>2</v>
      </c>
      <c r="F91" s="273">
        <v>0</v>
      </c>
      <c r="G91" s="274">
        <f t="shared" si="5"/>
        <v>0</v>
      </c>
      <c r="H91" s="565"/>
    </row>
    <row r="92" spans="2:8" s="136" customFormat="1" x14ac:dyDescent="0.2">
      <c r="B92" s="135"/>
      <c r="C92" s="245" t="s">
        <v>197</v>
      </c>
      <c r="D92" s="239" t="s">
        <v>149</v>
      </c>
      <c r="E92" s="240">
        <v>1</v>
      </c>
      <c r="F92" s="273">
        <v>0</v>
      </c>
      <c r="G92" s="274">
        <f t="shared" si="5"/>
        <v>0</v>
      </c>
      <c r="H92" s="565"/>
    </row>
    <row r="93" spans="2:8" s="136" customFormat="1" x14ac:dyDescent="0.2">
      <c r="B93" s="135"/>
      <c r="C93" s="246" t="s">
        <v>198</v>
      </c>
      <c r="D93" s="239" t="s">
        <v>149</v>
      </c>
      <c r="E93" s="240">
        <v>1</v>
      </c>
      <c r="F93" s="273">
        <v>0</v>
      </c>
      <c r="G93" s="274">
        <f t="shared" si="5"/>
        <v>0</v>
      </c>
      <c r="H93" s="565"/>
    </row>
    <row r="94" spans="2:8" s="136" customFormat="1" x14ac:dyDescent="0.2">
      <c r="B94" s="292" t="s">
        <v>230</v>
      </c>
      <c r="C94" s="253" t="s">
        <v>231</v>
      </c>
      <c r="D94" s="254"/>
      <c r="E94" s="255"/>
      <c r="F94" s="256"/>
      <c r="G94" s="257"/>
      <c r="H94" s="565"/>
    </row>
    <row r="95" spans="2:8" s="136" customFormat="1" x14ac:dyDescent="0.2">
      <c r="B95" s="135"/>
      <c r="C95" s="253" t="s">
        <v>857</v>
      </c>
      <c r="D95" s="482"/>
      <c r="E95" s="483"/>
      <c r="F95" s="484"/>
      <c r="G95" s="485"/>
      <c r="H95" s="565"/>
    </row>
    <row r="96" spans="2:8" s="136" customFormat="1" x14ac:dyDescent="0.2">
      <c r="B96" s="135"/>
      <c r="C96" s="258" t="s">
        <v>858</v>
      </c>
      <c r="D96" s="254" t="s">
        <v>149</v>
      </c>
      <c r="E96" s="255">
        <v>1</v>
      </c>
      <c r="F96" s="277">
        <v>0</v>
      </c>
      <c r="G96" s="278">
        <f t="shared" ref="G96:G105" si="6">E96*F96</f>
        <v>0</v>
      </c>
      <c r="H96" s="565"/>
    </row>
    <row r="97" spans="2:8" s="136" customFormat="1" x14ac:dyDescent="0.2">
      <c r="B97" s="135"/>
      <c r="C97" s="259" t="s">
        <v>213</v>
      </c>
      <c r="D97" s="254" t="s">
        <v>149</v>
      </c>
      <c r="E97" s="255">
        <v>1</v>
      </c>
      <c r="F97" s="277">
        <v>0</v>
      </c>
      <c r="G97" s="278">
        <f t="shared" si="6"/>
        <v>0</v>
      </c>
      <c r="H97" s="565"/>
    </row>
    <row r="98" spans="2:8" s="136" customFormat="1" x14ac:dyDescent="0.2">
      <c r="B98" s="135"/>
      <c r="C98" s="259" t="s">
        <v>859</v>
      </c>
      <c r="D98" s="254" t="s">
        <v>149</v>
      </c>
      <c r="E98" s="255">
        <v>1</v>
      </c>
      <c r="F98" s="277">
        <v>0</v>
      </c>
      <c r="G98" s="278">
        <f t="shared" si="6"/>
        <v>0</v>
      </c>
      <c r="H98" s="565"/>
    </row>
    <row r="99" spans="2:8" s="136" customFormat="1" x14ac:dyDescent="0.2">
      <c r="B99" s="135"/>
      <c r="C99" s="260" t="s">
        <v>336</v>
      </c>
      <c r="D99" s="254" t="s">
        <v>149</v>
      </c>
      <c r="E99" s="255">
        <v>2</v>
      </c>
      <c r="F99" s="277">
        <v>0</v>
      </c>
      <c r="G99" s="278">
        <f t="shared" si="6"/>
        <v>0</v>
      </c>
      <c r="H99" s="565"/>
    </row>
    <row r="100" spans="2:8" s="136" customFormat="1" x14ac:dyDescent="0.2">
      <c r="B100" s="135"/>
      <c r="C100" s="260" t="s">
        <v>239</v>
      </c>
      <c r="D100" s="254" t="s">
        <v>149</v>
      </c>
      <c r="E100" s="255">
        <v>1</v>
      </c>
      <c r="F100" s="277">
        <v>0</v>
      </c>
      <c r="G100" s="278">
        <f t="shared" si="6"/>
        <v>0</v>
      </c>
      <c r="H100" s="565"/>
    </row>
    <row r="101" spans="2:8" s="136" customFormat="1" x14ac:dyDescent="0.2">
      <c r="B101" s="135"/>
      <c r="C101" s="260" t="s">
        <v>240</v>
      </c>
      <c r="D101" s="254" t="s">
        <v>149</v>
      </c>
      <c r="E101" s="255">
        <v>1</v>
      </c>
      <c r="F101" s="277">
        <v>0</v>
      </c>
      <c r="G101" s="278">
        <f t="shared" si="6"/>
        <v>0</v>
      </c>
      <c r="H101" s="565"/>
    </row>
    <row r="102" spans="2:8" s="136" customFormat="1" x14ac:dyDescent="0.2">
      <c r="B102" s="135"/>
      <c r="C102" s="260" t="s">
        <v>855</v>
      </c>
      <c r="D102" s="254" t="s">
        <v>149</v>
      </c>
      <c r="E102" s="255">
        <v>1</v>
      </c>
      <c r="F102" s="277">
        <v>0</v>
      </c>
      <c r="G102" s="278">
        <f t="shared" si="6"/>
        <v>0</v>
      </c>
      <c r="H102" s="565"/>
    </row>
    <row r="103" spans="2:8" s="136" customFormat="1" x14ac:dyDescent="0.2">
      <c r="B103" s="135"/>
      <c r="C103" s="260" t="s">
        <v>860</v>
      </c>
      <c r="D103" s="254" t="s">
        <v>149</v>
      </c>
      <c r="E103" s="255">
        <v>1</v>
      </c>
      <c r="F103" s="277">
        <v>0</v>
      </c>
      <c r="G103" s="278">
        <f t="shared" si="6"/>
        <v>0</v>
      </c>
      <c r="H103" s="565"/>
    </row>
    <row r="104" spans="2:8" s="136" customFormat="1" x14ac:dyDescent="0.2">
      <c r="B104" s="135"/>
      <c r="C104" s="260" t="s">
        <v>227</v>
      </c>
      <c r="D104" s="254" t="s">
        <v>149</v>
      </c>
      <c r="E104" s="255">
        <v>1</v>
      </c>
      <c r="F104" s="277">
        <v>0</v>
      </c>
      <c r="G104" s="278">
        <f t="shared" si="6"/>
        <v>0</v>
      </c>
      <c r="H104" s="565"/>
    </row>
    <row r="105" spans="2:8" s="136" customFormat="1" x14ac:dyDescent="0.2">
      <c r="B105" s="135"/>
      <c r="C105" s="261" t="s">
        <v>198</v>
      </c>
      <c r="D105" s="254" t="s">
        <v>149</v>
      </c>
      <c r="E105" s="255">
        <v>1</v>
      </c>
      <c r="F105" s="277">
        <v>0</v>
      </c>
      <c r="G105" s="278">
        <f t="shared" si="6"/>
        <v>0</v>
      </c>
      <c r="H105" s="565"/>
    </row>
    <row r="106" spans="2:8" s="136" customFormat="1" x14ac:dyDescent="0.2">
      <c r="B106" s="292" t="s">
        <v>243</v>
      </c>
      <c r="C106" s="247" t="s">
        <v>244</v>
      </c>
      <c r="D106" s="202"/>
      <c r="E106" s="248"/>
      <c r="F106" s="249"/>
      <c r="G106" s="205"/>
      <c r="H106" s="565"/>
    </row>
    <row r="107" spans="2:8" s="136" customFormat="1" x14ac:dyDescent="0.2">
      <c r="B107" s="135"/>
      <c r="C107" s="247" t="s">
        <v>861</v>
      </c>
      <c r="D107" s="214"/>
      <c r="E107" s="480"/>
      <c r="F107" s="481"/>
      <c r="G107" s="290"/>
      <c r="H107" s="565"/>
    </row>
    <row r="108" spans="2:8" s="136" customFormat="1" ht="36" x14ac:dyDescent="0.2">
      <c r="B108" s="135"/>
      <c r="C108" s="262" t="s">
        <v>862</v>
      </c>
      <c r="D108" s="202" t="s">
        <v>149</v>
      </c>
      <c r="E108" s="248">
        <v>1</v>
      </c>
      <c r="F108" s="275">
        <v>0</v>
      </c>
      <c r="G108" s="276">
        <f t="shared" ref="G108:G110" si="7">E108*F108</f>
        <v>0</v>
      </c>
      <c r="H108" s="565"/>
    </row>
    <row r="109" spans="2:8" s="136" customFormat="1" x14ac:dyDescent="0.2">
      <c r="B109" s="135"/>
      <c r="C109" s="251" t="s">
        <v>247</v>
      </c>
      <c r="D109" s="202" t="s">
        <v>149</v>
      </c>
      <c r="E109" s="248">
        <v>1</v>
      </c>
      <c r="F109" s="275">
        <v>0</v>
      </c>
      <c r="G109" s="276">
        <f t="shared" si="7"/>
        <v>0</v>
      </c>
      <c r="H109" s="565"/>
    </row>
    <row r="110" spans="2:8" s="136" customFormat="1" x14ac:dyDescent="0.2">
      <c r="B110" s="135"/>
      <c r="C110" s="252" t="s">
        <v>198</v>
      </c>
      <c r="D110" s="202" t="s">
        <v>149</v>
      </c>
      <c r="E110" s="248">
        <v>1</v>
      </c>
      <c r="F110" s="275">
        <v>0</v>
      </c>
      <c r="G110" s="276">
        <f t="shared" si="7"/>
        <v>0</v>
      </c>
      <c r="H110" s="565"/>
    </row>
    <row r="111" spans="2:8" x14ac:dyDescent="0.2">
      <c r="B111" s="292" t="s">
        <v>299</v>
      </c>
      <c r="C111" s="280" t="s">
        <v>300</v>
      </c>
      <c r="D111" s="281"/>
      <c r="E111" s="282"/>
      <c r="F111" s="283"/>
      <c r="G111" s="284"/>
    </row>
    <row r="112" spans="2:8" s="136" customFormat="1" ht="63" customHeight="1" x14ac:dyDescent="0.2">
      <c r="B112" s="135"/>
      <c r="C112" s="285" t="s">
        <v>301</v>
      </c>
      <c r="D112" s="286" t="s">
        <v>149</v>
      </c>
      <c r="E112" s="287">
        <v>1</v>
      </c>
      <c r="F112" s="288">
        <v>0</v>
      </c>
      <c r="G112" s="289">
        <f t="shared" ref="G112" si="8">E112*F112</f>
        <v>0</v>
      </c>
      <c r="H112" s="565"/>
    </row>
    <row r="113" spans="2:8" s="147" customFormat="1" ht="25.5" customHeight="1" x14ac:dyDescent="0.25">
      <c r="B113" s="293" t="s">
        <v>17</v>
      </c>
      <c r="C113" s="294" t="s">
        <v>302</v>
      </c>
      <c r="D113" s="218"/>
      <c r="E113" s="203"/>
      <c r="F113" s="204"/>
      <c r="G113" s="290">
        <f>SUM(G72:G112)</f>
        <v>0</v>
      </c>
      <c r="H113" s="150"/>
    </row>
  </sheetData>
  <mergeCells count="5">
    <mergeCell ref="B40:G40"/>
    <mergeCell ref="B69:G69"/>
    <mergeCell ref="B70:G70"/>
    <mergeCell ref="B71:G71"/>
    <mergeCell ref="B75:B76"/>
  </mergeCells>
  <pageMargins left="0.7" right="0.7" top="0.75" bottom="0.75" header="0.3" footer="0.3"/>
  <pageSetup paperSize="9" scale="85" orientation="portrait" r:id="rId1"/>
  <headerFooter alignWithMargins="0">
    <oddFooter>&amp;C&amp;8&amp;P/&amp;N</oddFooter>
  </headerFooter>
  <rowBreaks count="3" manualBreakCount="3">
    <brk id="19" max="16383" man="1"/>
    <brk id="36" max="16383" man="1"/>
    <brk id="6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D6A8-9E69-45AC-B0D0-3863D29A5E05}">
  <sheetPr codeName="Sheet55">
    <tabColor rgb="FFFFFF00"/>
  </sheetPr>
  <dimension ref="B2:I23"/>
  <sheetViews>
    <sheetView showZeros="0" zoomScale="110" zoomScaleNormal="110" workbookViewId="0">
      <selection activeCell="O21" sqref="O21"/>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7" ht="15.75" x14ac:dyDescent="0.2">
      <c r="B2" s="137"/>
      <c r="C2" s="354" t="s">
        <v>59</v>
      </c>
      <c r="D2" s="155"/>
      <c r="E2" s="156"/>
      <c r="F2" s="157"/>
      <c r="G2" s="355"/>
    </row>
    <row r="4" spans="2:7" x14ac:dyDescent="0.2">
      <c r="B4" s="143" t="s">
        <v>1</v>
      </c>
      <c r="C4" s="168"/>
      <c r="D4" s="170"/>
      <c r="E4" s="170"/>
      <c r="F4" s="170"/>
      <c r="G4" s="169"/>
    </row>
    <row r="5" spans="2:7" x14ac:dyDescent="0.2">
      <c r="B5" s="144" t="s">
        <v>2</v>
      </c>
      <c r="C5" s="171"/>
      <c r="D5" s="172"/>
      <c r="E5" s="173"/>
      <c r="F5" s="173"/>
      <c r="G5" s="172"/>
    </row>
    <row r="6" spans="2:7" x14ac:dyDescent="0.2">
      <c r="B6" s="143" t="s">
        <v>3</v>
      </c>
      <c r="C6" s="168"/>
      <c r="D6" s="170"/>
      <c r="E6" s="170"/>
      <c r="F6" s="170"/>
      <c r="G6" s="169"/>
    </row>
    <row r="7" spans="2:7" x14ac:dyDescent="0.2">
      <c r="B7" s="144" t="s">
        <v>4</v>
      </c>
      <c r="C7" s="171"/>
      <c r="D7" s="173"/>
      <c r="E7" s="173"/>
      <c r="F7" s="173"/>
      <c r="G7" s="172"/>
    </row>
    <row r="8" spans="2:7" x14ac:dyDescent="0.2">
      <c r="B8" s="142"/>
      <c r="C8" s="174"/>
      <c r="D8" s="175"/>
      <c r="E8" s="176"/>
      <c r="F8" s="177"/>
      <c r="G8" s="178"/>
    </row>
    <row r="9" spans="2:7" ht="21.75" customHeight="1" x14ac:dyDescent="0.2">
      <c r="B9" s="33"/>
      <c r="C9" s="32" t="s">
        <v>61</v>
      </c>
      <c r="D9" s="323"/>
      <c r="E9" s="324"/>
      <c r="F9" s="325"/>
      <c r="G9" s="2794" t="s">
        <v>64</v>
      </c>
    </row>
    <row r="10" spans="2:7" ht="21.75" customHeight="1" x14ac:dyDescent="0.2">
      <c r="B10" s="574" t="s">
        <v>6</v>
      </c>
      <c r="C10" s="575" t="s">
        <v>62</v>
      </c>
      <c r="D10" s="3179" t="s">
        <v>863</v>
      </c>
      <c r="E10" s="3179"/>
      <c r="F10" s="3180"/>
      <c r="G10" s="576" t="s">
        <v>2523</v>
      </c>
    </row>
    <row r="11" spans="2:7" ht="21.75" customHeight="1" x14ac:dyDescent="0.2">
      <c r="B11" s="1720"/>
      <c r="C11" s="2716" t="s">
        <v>864</v>
      </c>
      <c r="D11" s="2719"/>
      <c r="E11" s="2719"/>
      <c r="F11" s="2720"/>
      <c r="G11" s="1721"/>
    </row>
    <row r="12" spans="2:7" ht="21.75" customHeight="1" x14ac:dyDescent="0.2">
      <c r="B12" s="321" t="s">
        <v>8</v>
      </c>
      <c r="C12" s="115" t="s">
        <v>2517</v>
      </c>
      <c r="D12" s="116"/>
      <c r="E12" s="118"/>
      <c r="F12" s="117"/>
      <c r="G12" s="1960">
        <f>+'G.Petrovci_RT-2'!G19</f>
        <v>0</v>
      </c>
    </row>
    <row r="13" spans="2:7" ht="21.75" customHeight="1" x14ac:dyDescent="0.2">
      <c r="B13" s="321" t="s">
        <v>15</v>
      </c>
      <c r="C13" s="322" t="s">
        <v>2516</v>
      </c>
      <c r="D13" s="318"/>
      <c r="E13" s="319"/>
      <c r="F13" s="317"/>
      <c r="G13" s="1960">
        <f>'G.Petrovci_VH Pindža'!G19</f>
        <v>0</v>
      </c>
    </row>
    <row r="14" spans="2:7" ht="21.75" customHeight="1" x14ac:dyDescent="0.2">
      <c r="B14" s="1720"/>
      <c r="C14" s="3176" t="s">
        <v>11</v>
      </c>
      <c r="D14" s="3177"/>
      <c r="E14" s="3177"/>
      <c r="F14" s="3178"/>
      <c r="G14" s="1961">
        <f>SUM(G12:G13)</f>
        <v>0</v>
      </c>
    </row>
    <row r="15" spans="2:7" ht="21.75" customHeight="1" x14ac:dyDescent="0.2">
      <c r="B15" s="1720"/>
      <c r="C15" s="2716" t="s">
        <v>71</v>
      </c>
      <c r="D15" s="2717"/>
      <c r="E15" s="2717"/>
      <c r="F15" s="2718"/>
      <c r="G15" s="1961"/>
    </row>
    <row r="16" spans="2:7" ht="21.75" customHeight="1" x14ac:dyDescent="0.2">
      <c r="B16" s="321" t="s">
        <v>8</v>
      </c>
      <c r="C16" s="322" t="s">
        <v>2514</v>
      </c>
      <c r="D16" s="318"/>
      <c r="E16" s="319"/>
      <c r="F16" s="317"/>
      <c r="G16" s="1960">
        <f>'G.Petrovci_VH Lucova'!G19</f>
        <v>0</v>
      </c>
    </row>
    <row r="17" spans="2:9" ht="21.75" customHeight="1" x14ac:dyDescent="0.2">
      <c r="B17" s="321" t="s">
        <v>15</v>
      </c>
      <c r="C17" s="322" t="s">
        <v>2515</v>
      </c>
      <c r="D17" s="318"/>
      <c r="E17" s="319"/>
      <c r="F17" s="317"/>
      <c r="G17" s="1960">
        <f>'G.Petrovci_VH Stanjevci'!G19</f>
        <v>0</v>
      </c>
    </row>
    <row r="18" spans="2:9" ht="21.75" customHeight="1" x14ac:dyDescent="0.2">
      <c r="B18" s="321" t="s">
        <v>20</v>
      </c>
      <c r="C18" s="322" t="s">
        <v>865</v>
      </c>
      <c r="D18" s="318"/>
      <c r="E18" s="319"/>
      <c r="F18" s="317"/>
      <c r="G18" s="1960">
        <f>'G.Petrovci_ČRP-Boreča'!G17</f>
        <v>0</v>
      </c>
    </row>
    <row r="19" spans="2:9" ht="21.75" customHeight="1" x14ac:dyDescent="0.2">
      <c r="B19" s="321" t="s">
        <v>24</v>
      </c>
      <c r="C19" s="322" t="s">
        <v>866</v>
      </c>
      <c r="D19" s="318"/>
      <c r="E19" s="319"/>
      <c r="F19" s="317"/>
      <c r="G19" s="1960">
        <f>'G.Petrovci_ČRP-Martinje'!G17</f>
        <v>0</v>
      </c>
    </row>
    <row r="20" spans="2:9" ht="21.75" customHeight="1" x14ac:dyDescent="0.2">
      <c r="B20" s="321" t="s">
        <v>29</v>
      </c>
      <c r="C20" s="322" t="s">
        <v>867</v>
      </c>
      <c r="D20" s="318"/>
      <c r="E20" s="319"/>
      <c r="F20" s="317"/>
      <c r="G20" s="1960">
        <f>'G.Petrovci_ČRP-Ženavlje 1'!G17</f>
        <v>0</v>
      </c>
    </row>
    <row r="21" spans="2:9" ht="21.75" customHeight="1" x14ac:dyDescent="0.2">
      <c r="B21" s="321" t="s">
        <v>33</v>
      </c>
      <c r="C21" s="322" t="s">
        <v>868</v>
      </c>
      <c r="D21" s="318"/>
      <c r="E21" s="319"/>
      <c r="F21" s="317"/>
      <c r="G21" s="1960">
        <f>'G.Petrovci_ČRP-Ženavlje 2'!G17</f>
        <v>0</v>
      </c>
    </row>
    <row r="22" spans="2:9" ht="21.75" customHeight="1" x14ac:dyDescent="0.2">
      <c r="B22" s="1720"/>
      <c r="C22" s="3176" t="s">
        <v>73</v>
      </c>
      <c r="D22" s="3177"/>
      <c r="E22" s="3177"/>
      <c r="F22" s="3178"/>
      <c r="G22" s="1961">
        <f>SUM(G16:G21)</f>
        <v>0</v>
      </c>
    </row>
    <row r="23" spans="2:9" ht="21.75" customHeight="1" x14ac:dyDescent="0.2">
      <c r="B23" s="316"/>
      <c r="C23" s="326" t="s">
        <v>79</v>
      </c>
      <c r="D23" s="323"/>
      <c r="E23" s="324"/>
      <c r="F23" s="325"/>
      <c r="G23" s="1962">
        <f>G14+G22</f>
        <v>0</v>
      </c>
      <c r="I23" s="577"/>
    </row>
  </sheetData>
  <mergeCells count="3">
    <mergeCell ref="D10:F10"/>
    <mergeCell ref="C14:F14"/>
    <mergeCell ref="C22:F22"/>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B25D-0887-4312-9723-44D3086FC976}">
  <sheetPr codeName="Sheet14">
    <tabColor rgb="FFFFFF00"/>
  </sheetPr>
  <dimension ref="A2:L226"/>
  <sheetViews>
    <sheetView showZeros="0" topLeftCell="A102" zoomScale="110" zoomScaleNormal="110" workbookViewId="0">
      <selection activeCell="B131" sqref="B131:G131"/>
    </sheetView>
  </sheetViews>
  <sheetFormatPr defaultColWidth="10.42578125" defaultRowHeight="12.75" x14ac:dyDescent="0.2"/>
  <cols>
    <col min="1" max="1" width="4.42578125" style="1" customWidth="1"/>
    <col min="2" max="2" width="7.42578125" style="8" customWidth="1"/>
    <col min="3" max="3" width="52.7109375" style="7" customWidth="1"/>
    <col min="4" max="4" width="10.42578125" style="6" customWidth="1"/>
    <col min="5" max="5" width="9.28515625" style="5" customWidth="1"/>
    <col min="6" max="6" width="12.140625" style="4" customWidth="1"/>
    <col min="7" max="7" width="15.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x14ac:dyDescent="0.2">
      <c r="A2" s="121"/>
      <c r="B2" s="137"/>
      <c r="C2" s="108" t="s">
        <v>59</v>
      </c>
      <c r="D2" s="155"/>
      <c r="E2" s="156"/>
      <c r="F2" s="157"/>
      <c r="G2" s="363" t="s">
        <v>60</v>
      </c>
      <c r="H2" s="122"/>
      <c r="I2" s="121"/>
      <c r="J2" s="121"/>
      <c r="K2" s="121"/>
      <c r="L2" s="121"/>
    </row>
    <row r="4" spans="1:12" s="24" customFormat="1" ht="15" x14ac:dyDescent="0.25">
      <c r="A4" s="139"/>
      <c r="B4" s="364" t="s">
        <v>7</v>
      </c>
      <c r="C4" s="365" t="s">
        <v>869</v>
      </c>
      <c r="D4" s="366"/>
      <c r="E4" s="367"/>
      <c r="F4" s="368"/>
      <c r="G4" s="369"/>
      <c r="H4" s="26"/>
      <c r="I4" s="139"/>
      <c r="J4" s="139"/>
      <c r="K4" s="139"/>
      <c r="L4" s="139"/>
    </row>
    <row r="5" spans="1:12" s="24" customFormat="1" ht="12" customHeight="1" x14ac:dyDescent="0.25">
      <c r="A5" s="139"/>
      <c r="B5" s="370"/>
      <c r="C5" s="371"/>
      <c r="D5" s="372"/>
      <c r="E5" s="373"/>
      <c r="F5" s="374"/>
      <c r="G5" s="375"/>
      <c r="H5" s="26"/>
      <c r="I5" s="139"/>
      <c r="J5" s="139"/>
      <c r="K5" s="139"/>
      <c r="L5" s="139"/>
    </row>
    <row r="6" spans="1:12" s="107" customFormat="1" ht="21" customHeight="1" x14ac:dyDescent="0.2">
      <c r="A6" s="376"/>
      <c r="B6" s="377" t="s">
        <v>80</v>
      </c>
      <c r="C6" s="3208" t="s">
        <v>870</v>
      </c>
      <c r="D6" s="3208"/>
      <c r="E6" s="3208"/>
      <c r="F6" s="3208"/>
      <c r="G6" s="3209"/>
      <c r="H6" s="123"/>
      <c r="I6" s="378"/>
      <c r="J6" s="378"/>
      <c r="K6" s="378"/>
      <c r="L6" s="378"/>
    </row>
    <row r="7" spans="1:12" s="107" customFormat="1" ht="14.25" x14ac:dyDescent="0.2">
      <c r="A7" s="376"/>
      <c r="B7" s="370"/>
      <c r="C7" s="371"/>
      <c r="D7" s="372"/>
      <c r="E7" s="373"/>
      <c r="F7" s="374"/>
      <c r="G7" s="379"/>
      <c r="H7" s="123"/>
      <c r="I7" s="378"/>
      <c r="J7" s="378"/>
      <c r="K7" s="378"/>
      <c r="L7" s="378"/>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107" customFormat="1" ht="14.25" x14ac:dyDescent="0.2">
      <c r="A12" s="376"/>
      <c r="B12" s="380"/>
      <c r="C12" s="381"/>
      <c r="D12" s="382"/>
      <c r="E12" s="383"/>
      <c r="F12" s="384"/>
      <c r="G12" s="385"/>
      <c r="H12" s="123"/>
      <c r="I12" s="378"/>
      <c r="J12" s="378"/>
      <c r="K12" s="378"/>
      <c r="L12" s="378"/>
    </row>
    <row r="13" spans="1:12" s="107" customFormat="1" ht="18.75" customHeight="1" x14ac:dyDescent="0.2">
      <c r="A13" s="376"/>
      <c r="B13" s="386"/>
      <c r="C13" s="387" t="s">
        <v>82</v>
      </c>
      <c r="D13" s="388"/>
      <c r="E13" s="389"/>
      <c r="F13" s="390"/>
      <c r="G13" s="391"/>
      <c r="H13" s="123"/>
      <c r="I13" s="378"/>
      <c r="J13" s="378"/>
      <c r="K13" s="378"/>
      <c r="L13" s="378"/>
    </row>
    <row r="14" spans="1:12" s="24" customFormat="1" ht="18.75" customHeight="1" x14ac:dyDescent="0.2">
      <c r="A14" s="139"/>
      <c r="B14" s="392" t="s">
        <v>83</v>
      </c>
      <c r="C14" s="106" t="s">
        <v>84</v>
      </c>
      <c r="D14" s="393"/>
      <c r="E14" s="394"/>
      <c r="F14" s="395"/>
      <c r="G14" s="396" t="s">
        <v>64</v>
      </c>
      <c r="H14" s="22"/>
      <c r="I14" s="139"/>
      <c r="J14" s="139"/>
      <c r="K14" s="139"/>
      <c r="L14" s="139"/>
    </row>
    <row r="15" spans="1:12" s="103" customFormat="1" ht="18.75" customHeight="1" x14ac:dyDescent="0.25">
      <c r="A15" s="397"/>
      <c r="B15" s="105" t="s">
        <v>10</v>
      </c>
      <c r="C15" s="398" t="s">
        <v>85</v>
      </c>
      <c r="D15" s="399"/>
      <c r="E15" s="400"/>
      <c r="F15" s="401"/>
      <c r="G15" s="20">
        <f>G37</f>
        <v>0</v>
      </c>
      <c r="H15" s="18"/>
      <c r="I15" s="397"/>
      <c r="J15" s="397"/>
      <c r="K15" s="397"/>
      <c r="L15" s="397"/>
    </row>
    <row r="16" spans="1:12" s="103" customFormat="1" ht="18.75" customHeight="1" x14ac:dyDescent="0.25">
      <c r="A16" s="397"/>
      <c r="B16" s="105" t="s">
        <v>12</v>
      </c>
      <c r="C16" s="398" t="s">
        <v>86</v>
      </c>
      <c r="D16" s="399"/>
      <c r="E16" s="400"/>
      <c r="F16" s="401"/>
      <c r="G16" s="20">
        <f>G56</f>
        <v>0</v>
      </c>
      <c r="H16" s="18"/>
      <c r="I16" s="397"/>
      <c r="J16" s="397"/>
      <c r="K16" s="397"/>
      <c r="L16" s="397"/>
    </row>
    <row r="17" spans="2:12" s="103" customFormat="1" ht="18.75" customHeight="1" x14ac:dyDescent="0.25">
      <c r="B17" s="105" t="s">
        <v>17</v>
      </c>
      <c r="C17" s="398" t="s">
        <v>87</v>
      </c>
      <c r="D17" s="399"/>
      <c r="E17" s="400"/>
      <c r="F17" s="401"/>
      <c r="G17" s="20">
        <f>G123</f>
        <v>0</v>
      </c>
      <c r="H17" s="18"/>
    </row>
    <row r="18" spans="2:12" s="103" customFormat="1" ht="18.75" customHeight="1" x14ac:dyDescent="0.25">
      <c r="B18" s="105" t="s">
        <v>18</v>
      </c>
      <c r="C18" s="398" t="s">
        <v>367</v>
      </c>
      <c r="D18" s="399"/>
      <c r="E18" s="400"/>
      <c r="F18" s="104"/>
      <c r="G18" s="20">
        <f>G226</f>
        <v>0</v>
      </c>
      <c r="H18" s="18"/>
    </row>
    <row r="19" spans="2:12" s="103" customFormat="1" ht="18.75" customHeight="1" x14ac:dyDescent="0.25">
      <c r="B19" s="402"/>
      <c r="C19" s="403" t="s">
        <v>88</v>
      </c>
      <c r="D19" s="404"/>
      <c r="E19" s="405"/>
      <c r="F19" s="406"/>
      <c r="G19" s="19">
        <f>SUM(G15:G18)</f>
        <v>0</v>
      </c>
      <c r="H19" s="18"/>
    </row>
    <row r="20" spans="2:12" x14ac:dyDescent="0.2">
      <c r="B20" s="127"/>
      <c r="C20" s="183"/>
      <c r="D20" s="184"/>
      <c r="E20" s="185"/>
      <c r="F20" s="186"/>
      <c r="G20" s="187"/>
      <c r="H20" s="122"/>
    </row>
    <row r="22" spans="2:12" ht="24" x14ac:dyDescent="0.2">
      <c r="B22" s="128" t="s">
        <v>83</v>
      </c>
      <c r="C22" s="192" t="s">
        <v>89</v>
      </c>
      <c r="D22" s="193" t="s">
        <v>90</v>
      </c>
      <c r="E22" s="194" t="s">
        <v>91</v>
      </c>
      <c r="F22" s="195" t="s">
        <v>92</v>
      </c>
      <c r="G22" s="196" t="s">
        <v>93</v>
      </c>
      <c r="H22" s="122"/>
    </row>
    <row r="23" spans="2:12" x14ac:dyDescent="0.2">
      <c r="B23" s="129"/>
      <c r="C23" s="197"/>
      <c r="D23" s="198"/>
      <c r="E23" s="199"/>
      <c r="F23" s="200"/>
      <c r="G23" s="201"/>
      <c r="H23" s="122"/>
    </row>
    <row r="24" spans="2:12" s="16" customFormat="1" ht="20.25" x14ac:dyDescent="0.3">
      <c r="B24" s="303" t="s">
        <v>10</v>
      </c>
      <c r="C24" s="306" t="s">
        <v>85</v>
      </c>
      <c r="D24" s="305"/>
      <c r="E24" s="299"/>
      <c r="F24" s="300"/>
      <c r="G24" s="301"/>
      <c r="H24" s="302"/>
    </row>
    <row r="25" spans="2:12" ht="27.75" customHeight="1" x14ac:dyDescent="0.2">
      <c r="B25" s="129">
        <v>1</v>
      </c>
      <c r="C25" s="206" t="s">
        <v>703</v>
      </c>
      <c r="D25" s="207" t="s">
        <v>149</v>
      </c>
      <c r="E25" s="199">
        <v>8</v>
      </c>
      <c r="F25" s="269">
        <v>0</v>
      </c>
      <c r="G25" s="270">
        <f t="shared" ref="G25:G36" si="0">E25*F25</f>
        <v>0</v>
      </c>
      <c r="H25" s="122"/>
    </row>
    <row r="26" spans="2:12" x14ac:dyDescent="0.2">
      <c r="B26" s="129">
        <v>2</v>
      </c>
      <c r="C26" s="206" t="s">
        <v>96</v>
      </c>
      <c r="D26" s="207" t="s">
        <v>95</v>
      </c>
      <c r="E26" s="199">
        <v>16</v>
      </c>
      <c r="F26" s="269">
        <v>0</v>
      </c>
      <c r="G26" s="270">
        <f t="shared" si="0"/>
        <v>0</v>
      </c>
      <c r="H26" s="122"/>
    </row>
    <row r="27" spans="2:12" ht="42" customHeight="1" x14ac:dyDescent="0.2">
      <c r="B27" s="129">
        <v>3</v>
      </c>
      <c r="C27" s="206" t="s">
        <v>97</v>
      </c>
      <c r="D27" s="207" t="s">
        <v>98</v>
      </c>
      <c r="E27" s="199">
        <v>1</v>
      </c>
      <c r="F27" s="269">
        <v>0</v>
      </c>
      <c r="G27" s="270">
        <f t="shared" si="0"/>
        <v>0</v>
      </c>
      <c r="H27" s="122"/>
    </row>
    <row r="28" spans="2:12" ht="104.25" customHeight="1" x14ac:dyDescent="0.2">
      <c r="B28" s="129">
        <v>4</v>
      </c>
      <c r="C28" s="208" t="s">
        <v>99</v>
      </c>
      <c r="D28" s="209" t="s">
        <v>98</v>
      </c>
      <c r="E28" s="199">
        <v>1</v>
      </c>
      <c r="F28" s="269">
        <v>0</v>
      </c>
      <c r="G28" s="270">
        <f t="shared" si="0"/>
        <v>0</v>
      </c>
      <c r="H28" s="122"/>
    </row>
    <row r="29" spans="2:12" ht="30.75" customHeight="1" x14ac:dyDescent="0.2">
      <c r="B29" s="129">
        <v>5</v>
      </c>
      <c r="C29" s="208" t="s">
        <v>100</v>
      </c>
      <c r="D29" s="210" t="s">
        <v>98</v>
      </c>
      <c r="E29" s="199">
        <v>1</v>
      </c>
      <c r="F29" s="269">
        <v>0</v>
      </c>
      <c r="G29" s="270">
        <f t="shared" si="0"/>
        <v>0</v>
      </c>
      <c r="H29" s="122"/>
    </row>
    <row r="30" spans="2:12" ht="27" customHeight="1" x14ac:dyDescent="0.2">
      <c r="B30" s="129">
        <v>6</v>
      </c>
      <c r="C30" s="407" t="s">
        <v>101</v>
      </c>
      <c r="D30" s="210" t="s">
        <v>98</v>
      </c>
      <c r="E30" s="199">
        <v>1</v>
      </c>
      <c r="F30" s="269">
        <v>0</v>
      </c>
      <c r="G30" s="270">
        <f t="shared" si="0"/>
        <v>0</v>
      </c>
      <c r="H30" s="122"/>
    </row>
    <row r="31" spans="2:12" ht="39.75" customHeight="1" x14ac:dyDescent="0.2">
      <c r="B31" s="129">
        <v>7</v>
      </c>
      <c r="C31" s="407" t="s">
        <v>102</v>
      </c>
      <c r="D31" s="210" t="s">
        <v>98</v>
      </c>
      <c r="E31" s="199">
        <v>1</v>
      </c>
      <c r="F31" s="269">
        <v>0</v>
      </c>
      <c r="G31" s="270">
        <f t="shared" si="0"/>
        <v>0</v>
      </c>
      <c r="H31" s="122"/>
    </row>
    <row r="32" spans="2:12" ht="24" x14ac:dyDescent="0.2">
      <c r="B32" s="129">
        <v>8</v>
      </c>
      <c r="C32" s="3165" t="s">
        <v>2592</v>
      </c>
      <c r="D32" s="210" t="s">
        <v>149</v>
      </c>
      <c r="E32" s="199">
        <v>1</v>
      </c>
      <c r="F32" s="269">
        <v>0</v>
      </c>
      <c r="G32" s="270">
        <f t="shared" si="0"/>
        <v>0</v>
      </c>
      <c r="H32" s="122"/>
      <c r="I32" s="121"/>
      <c r="J32" s="121"/>
      <c r="K32" s="121"/>
      <c r="L32" s="121"/>
    </row>
    <row r="33" spans="2:12" ht="27.75" customHeight="1" x14ac:dyDescent="0.2">
      <c r="B33" s="129">
        <v>9</v>
      </c>
      <c r="C33" s="3165" t="s">
        <v>2591</v>
      </c>
      <c r="D33" s="210" t="s">
        <v>98</v>
      </c>
      <c r="E33" s="199">
        <v>1</v>
      </c>
      <c r="F33" s="269">
        <v>0</v>
      </c>
      <c r="G33" s="270">
        <f t="shared" si="0"/>
        <v>0</v>
      </c>
      <c r="H33" s="122"/>
      <c r="I33" s="121"/>
      <c r="J33" s="121"/>
      <c r="K33" s="121"/>
      <c r="L33" s="121"/>
    </row>
    <row r="34" spans="2:12" ht="14.25" customHeight="1" x14ac:dyDescent="0.2">
      <c r="B34" s="129">
        <v>10</v>
      </c>
      <c r="C34" s="407" t="s">
        <v>105</v>
      </c>
      <c r="D34" s="210" t="s">
        <v>98</v>
      </c>
      <c r="E34" s="199">
        <v>1</v>
      </c>
      <c r="F34" s="269">
        <v>0</v>
      </c>
      <c r="G34" s="270">
        <f t="shared" si="0"/>
        <v>0</v>
      </c>
      <c r="H34" s="122"/>
      <c r="I34" s="121"/>
      <c r="J34" s="121"/>
      <c r="K34" s="121"/>
      <c r="L34" s="121"/>
    </row>
    <row r="35" spans="2:12" ht="38.25" customHeight="1" x14ac:dyDescent="0.2">
      <c r="B35" s="129">
        <v>11</v>
      </c>
      <c r="C35" s="212" t="s">
        <v>106</v>
      </c>
      <c r="D35" s="210" t="s">
        <v>98</v>
      </c>
      <c r="E35" s="213">
        <v>1</v>
      </c>
      <c r="F35" s="269">
        <v>0</v>
      </c>
      <c r="G35" s="270">
        <f t="shared" si="0"/>
        <v>0</v>
      </c>
      <c r="H35" s="122"/>
      <c r="I35" s="121"/>
      <c r="J35" s="121"/>
      <c r="K35" s="121"/>
      <c r="L35" s="121"/>
    </row>
    <row r="36" spans="2:12" ht="39.75" customHeight="1" x14ac:dyDescent="0.2">
      <c r="B36" s="129">
        <v>12</v>
      </c>
      <c r="C36" s="307" t="s">
        <v>107</v>
      </c>
      <c r="D36" s="210" t="s">
        <v>98</v>
      </c>
      <c r="E36" s="213">
        <v>1</v>
      </c>
      <c r="F36" s="269">
        <v>0</v>
      </c>
      <c r="G36" s="270">
        <f t="shared" si="0"/>
        <v>0</v>
      </c>
      <c r="H36" s="122"/>
      <c r="I36" s="121"/>
      <c r="J36" s="121"/>
      <c r="K36" s="121"/>
      <c r="L36" s="121"/>
    </row>
    <row r="37" spans="2:12" s="9" customFormat="1" ht="23.25" customHeight="1" x14ac:dyDescent="0.25">
      <c r="B37" s="327" t="s">
        <v>10</v>
      </c>
      <c r="C37" s="214" t="s">
        <v>108</v>
      </c>
      <c r="D37" s="214"/>
      <c r="E37" s="215"/>
      <c r="F37" s="216"/>
      <c r="G37" s="290">
        <f>SUM(G25:G36)</f>
        <v>0</v>
      </c>
      <c r="H37" s="150"/>
      <c r="I37" s="147"/>
      <c r="J37" s="147"/>
      <c r="K37" s="147"/>
      <c r="L37" s="147"/>
    </row>
    <row r="38" spans="2:12" x14ac:dyDescent="0.2">
      <c r="B38" s="129"/>
      <c r="C38" s="197"/>
      <c r="D38" s="198"/>
      <c r="E38" s="199"/>
      <c r="F38" s="200"/>
      <c r="G38" s="201"/>
      <c r="H38" s="122"/>
      <c r="I38" s="121"/>
      <c r="J38" s="121"/>
      <c r="K38" s="121"/>
      <c r="L38" s="121"/>
    </row>
    <row r="39" spans="2:12" ht="24" x14ac:dyDescent="0.2">
      <c r="B39" s="128" t="s">
        <v>83</v>
      </c>
      <c r="C39" s="192" t="s">
        <v>89</v>
      </c>
      <c r="D39" s="193" t="s">
        <v>90</v>
      </c>
      <c r="E39" s="194" t="s">
        <v>91</v>
      </c>
      <c r="F39" s="195" t="s">
        <v>92</v>
      </c>
      <c r="G39" s="196" t="s">
        <v>93</v>
      </c>
      <c r="H39" s="122"/>
      <c r="I39" s="121"/>
      <c r="J39" s="121"/>
      <c r="K39" s="121"/>
      <c r="L39" s="121"/>
    </row>
    <row r="40" spans="2:12" x14ac:dyDescent="0.2">
      <c r="B40" s="129"/>
      <c r="C40" s="217"/>
      <c r="D40" s="207"/>
      <c r="E40" s="199"/>
      <c r="F40" s="200"/>
      <c r="G40" s="201"/>
      <c r="H40" s="122"/>
      <c r="I40" s="121"/>
      <c r="J40" s="121"/>
      <c r="K40" s="121"/>
      <c r="L40" s="121"/>
    </row>
    <row r="41" spans="2:12" s="16" customFormat="1" ht="20.25" x14ac:dyDescent="0.3">
      <c r="B41" s="303" t="s">
        <v>12</v>
      </c>
      <c r="C41" s="304" t="s">
        <v>109</v>
      </c>
      <c r="D41" s="298"/>
      <c r="E41" s="299"/>
      <c r="F41" s="300"/>
      <c r="G41" s="301"/>
      <c r="H41" s="302"/>
      <c r="I41" s="295"/>
      <c r="J41" s="295"/>
      <c r="K41" s="295"/>
      <c r="L41" s="295"/>
    </row>
    <row r="42" spans="2:12" s="43" customFormat="1" ht="71.25" customHeight="1" x14ac:dyDescent="0.2">
      <c r="B42" s="3184" t="s">
        <v>110</v>
      </c>
      <c r="C42" s="3185"/>
      <c r="D42" s="3185"/>
      <c r="E42" s="3185"/>
      <c r="F42" s="3185"/>
      <c r="G42" s="3186"/>
      <c r="H42" s="122"/>
      <c r="I42" s="130"/>
      <c r="J42" s="130"/>
      <c r="K42" s="130"/>
      <c r="L42" s="130"/>
    </row>
    <row r="43" spans="2:12" ht="27.75" customHeight="1" x14ac:dyDescent="0.2">
      <c r="B43" s="131">
        <v>1</v>
      </c>
      <c r="C43" s="206" t="s">
        <v>111</v>
      </c>
      <c r="D43" s="207" t="s">
        <v>112</v>
      </c>
      <c r="E43" s="199">
        <v>3.5</v>
      </c>
      <c r="F43" s="269">
        <v>0</v>
      </c>
      <c r="G43" s="270">
        <f t="shared" ref="G43:G51" si="1">E43*F43</f>
        <v>0</v>
      </c>
      <c r="H43" s="122"/>
      <c r="I43" s="132"/>
      <c r="J43" s="121"/>
      <c r="K43" s="121"/>
      <c r="L43" s="121"/>
    </row>
    <row r="44" spans="2:12" ht="39" customHeight="1" x14ac:dyDescent="0.2">
      <c r="B44" s="131">
        <v>2</v>
      </c>
      <c r="C44" s="206" t="s">
        <v>871</v>
      </c>
      <c r="D44" s="207" t="s">
        <v>95</v>
      </c>
      <c r="E44" s="199">
        <v>31</v>
      </c>
      <c r="F44" s="269">
        <v>0</v>
      </c>
      <c r="G44" s="270">
        <f t="shared" si="1"/>
        <v>0</v>
      </c>
      <c r="H44" s="122"/>
      <c r="I44" s="132"/>
      <c r="J44" s="121"/>
      <c r="K44" s="121"/>
      <c r="L44" s="121"/>
    </row>
    <row r="45" spans="2:12" ht="24" hidden="1" x14ac:dyDescent="0.2">
      <c r="B45" s="131">
        <v>3</v>
      </c>
      <c r="C45" s="206" t="s">
        <v>114</v>
      </c>
      <c r="D45" s="209" t="s">
        <v>112</v>
      </c>
      <c r="E45" s="199"/>
      <c r="F45" s="269">
        <v>0</v>
      </c>
      <c r="G45" s="270">
        <f t="shared" si="1"/>
        <v>0</v>
      </c>
      <c r="H45" s="122"/>
      <c r="I45" s="133"/>
      <c r="J45" s="121"/>
      <c r="K45" s="134"/>
      <c r="L45" s="134"/>
    </row>
    <row r="46" spans="2:12" ht="24" x14ac:dyDescent="0.2">
      <c r="B46" s="131">
        <v>3</v>
      </c>
      <c r="C46" s="206" t="s">
        <v>115</v>
      </c>
      <c r="D46" s="209" t="s">
        <v>112</v>
      </c>
      <c r="E46" s="199">
        <v>55.5</v>
      </c>
      <c r="F46" s="269">
        <v>0</v>
      </c>
      <c r="G46" s="270">
        <f t="shared" si="1"/>
        <v>0</v>
      </c>
      <c r="H46" s="122"/>
      <c r="I46" s="133"/>
    </row>
    <row r="47" spans="2:12" ht="24" x14ac:dyDescent="0.2">
      <c r="B47" s="131">
        <v>4</v>
      </c>
      <c r="C47" s="206" t="s">
        <v>118</v>
      </c>
      <c r="D47" s="209" t="s">
        <v>117</v>
      </c>
      <c r="E47" s="199">
        <v>35</v>
      </c>
      <c r="F47" s="269">
        <v>0</v>
      </c>
      <c r="G47" s="270">
        <f t="shared" si="1"/>
        <v>0</v>
      </c>
      <c r="H47" s="122"/>
      <c r="I47" s="132"/>
    </row>
    <row r="48" spans="2:12" ht="27" customHeight="1" x14ac:dyDescent="0.2">
      <c r="B48" s="131">
        <v>5</v>
      </c>
      <c r="C48" s="206" t="s">
        <v>304</v>
      </c>
      <c r="D48" s="209" t="s">
        <v>112</v>
      </c>
      <c r="E48" s="199">
        <v>3.4</v>
      </c>
      <c r="F48" s="269">
        <v>0</v>
      </c>
      <c r="G48" s="270">
        <f t="shared" si="1"/>
        <v>0</v>
      </c>
      <c r="H48" s="122"/>
      <c r="I48" s="133"/>
    </row>
    <row r="49" spans="1:9" ht="24" x14ac:dyDescent="0.2">
      <c r="B49" s="131">
        <v>6</v>
      </c>
      <c r="C49" s="206" t="s">
        <v>119</v>
      </c>
      <c r="D49" s="209" t="s">
        <v>112</v>
      </c>
      <c r="E49" s="199">
        <v>70.5</v>
      </c>
      <c r="F49" s="269">
        <v>0</v>
      </c>
      <c r="G49" s="270">
        <f t="shared" si="1"/>
        <v>0</v>
      </c>
      <c r="H49" s="122"/>
      <c r="I49" s="134"/>
    </row>
    <row r="50" spans="1:9" ht="41.25" customHeight="1" x14ac:dyDescent="0.2">
      <c r="B50" s="131">
        <v>7</v>
      </c>
      <c r="C50" s="208" t="s">
        <v>120</v>
      </c>
      <c r="D50" s="209" t="s">
        <v>112</v>
      </c>
      <c r="E50" s="199">
        <v>12</v>
      </c>
      <c r="F50" s="269">
        <v>0</v>
      </c>
      <c r="G50" s="270">
        <f t="shared" si="1"/>
        <v>0</v>
      </c>
      <c r="H50" s="122"/>
      <c r="I50" s="121"/>
    </row>
    <row r="51" spans="1:9" ht="17.25" customHeight="1" x14ac:dyDescent="0.2">
      <c r="B51" s="131">
        <v>8</v>
      </c>
      <c r="C51" s="206" t="s">
        <v>134</v>
      </c>
      <c r="D51" s="209" t="s">
        <v>112</v>
      </c>
      <c r="E51" s="199">
        <v>6.1</v>
      </c>
      <c r="F51" s="269">
        <v>0</v>
      </c>
      <c r="G51" s="270">
        <f t="shared" si="1"/>
        <v>0</v>
      </c>
      <c r="H51" s="122"/>
      <c r="I51" s="121"/>
    </row>
    <row r="52" spans="1:9" ht="180" x14ac:dyDescent="0.2">
      <c r="A52" s="121"/>
      <c r="B52" s="131">
        <v>9</v>
      </c>
      <c r="C52" s="410" t="s">
        <v>872</v>
      </c>
      <c r="D52" s="222" t="s">
        <v>149</v>
      </c>
      <c r="E52" s="47">
        <v>1</v>
      </c>
      <c r="F52" s="269">
        <v>0</v>
      </c>
      <c r="G52" s="270">
        <f t="shared" ref="G52:G55" si="2">E52*F52</f>
        <v>0</v>
      </c>
      <c r="H52" s="122"/>
    </row>
    <row r="53" spans="1:9" ht="36.75" customHeight="1" x14ac:dyDescent="0.2">
      <c r="A53" s="121"/>
      <c r="B53" s="131">
        <v>10</v>
      </c>
      <c r="C53" s="223" t="s">
        <v>152</v>
      </c>
      <c r="D53" s="222" t="s">
        <v>149</v>
      </c>
      <c r="E53" s="47">
        <v>4</v>
      </c>
      <c r="F53" s="269">
        <v>0</v>
      </c>
      <c r="G53" s="270">
        <f t="shared" si="2"/>
        <v>0</v>
      </c>
      <c r="H53" s="122"/>
    </row>
    <row r="54" spans="1:9" ht="30" customHeight="1" x14ac:dyDescent="0.2">
      <c r="A54" s="121"/>
      <c r="B54" s="131">
        <v>11</v>
      </c>
      <c r="C54" s="223" t="s">
        <v>153</v>
      </c>
      <c r="D54" s="222" t="s">
        <v>112</v>
      </c>
      <c r="E54" s="47">
        <v>6.5</v>
      </c>
      <c r="F54" s="269">
        <v>0</v>
      </c>
      <c r="G54" s="270">
        <f t="shared" si="2"/>
        <v>0</v>
      </c>
      <c r="H54" s="122"/>
    </row>
    <row r="55" spans="1:9" ht="28.5" customHeight="1" x14ac:dyDescent="0.2">
      <c r="A55" s="121"/>
      <c r="B55" s="131">
        <v>12</v>
      </c>
      <c r="C55" s="223" t="s">
        <v>155</v>
      </c>
      <c r="D55" s="222" t="s">
        <v>156</v>
      </c>
      <c r="E55" s="47">
        <v>16</v>
      </c>
      <c r="F55" s="269">
        <v>0</v>
      </c>
      <c r="G55" s="270">
        <f t="shared" si="2"/>
        <v>0</v>
      </c>
      <c r="H55" s="122"/>
    </row>
    <row r="56" spans="1:9" s="9" customFormat="1" ht="21.75" customHeight="1" x14ac:dyDescent="0.25">
      <c r="A56" s="147"/>
      <c r="B56" s="327" t="s">
        <v>12</v>
      </c>
      <c r="C56" s="214" t="s">
        <v>157</v>
      </c>
      <c r="D56" s="224"/>
      <c r="E56" s="215"/>
      <c r="F56" s="216"/>
      <c r="G56" s="290">
        <f>SUM(G43:G55)</f>
        <v>0</v>
      </c>
      <c r="H56" s="150"/>
    </row>
    <row r="57" spans="1:9" x14ac:dyDescent="0.2">
      <c r="A57" s="121"/>
      <c r="B57" s="129"/>
      <c r="C57" s="197"/>
      <c r="D57" s="198"/>
      <c r="E57" s="199"/>
      <c r="F57" s="200"/>
      <c r="G57" s="201"/>
      <c r="H57" s="122"/>
    </row>
    <row r="58" spans="1:9" ht="24" x14ac:dyDescent="0.2">
      <c r="A58" s="121"/>
      <c r="B58" s="128" t="s">
        <v>83</v>
      </c>
      <c r="C58" s="192" t="s">
        <v>89</v>
      </c>
      <c r="D58" s="192" t="s">
        <v>90</v>
      </c>
      <c r="E58" s="194" t="s">
        <v>91</v>
      </c>
      <c r="F58" s="195" t="s">
        <v>92</v>
      </c>
      <c r="G58" s="196" t="s">
        <v>93</v>
      </c>
      <c r="H58" s="122"/>
    </row>
    <row r="59" spans="1:9" x14ac:dyDescent="0.2">
      <c r="A59" s="121"/>
      <c r="B59" s="129"/>
      <c r="C59" s="197"/>
      <c r="D59" s="207"/>
      <c r="E59" s="199"/>
      <c r="F59" s="200"/>
      <c r="G59" s="201"/>
      <c r="H59" s="122"/>
    </row>
    <row r="60" spans="1:9" s="16" customFormat="1" ht="20.25" x14ac:dyDescent="0.3">
      <c r="A60" s="295"/>
      <c r="B60" s="296" t="s">
        <v>17</v>
      </c>
      <c r="C60" s="297" t="s">
        <v>158</v>
      </c>
      <c r="D60" s="298"/>
      <c r="E60" s="299"/>
      <c r="F60" s="300"/>
      <c r="G60" s="301"/>
      <c r="H60" s="302"/>
    </row>
    <row r="61" spans="1:9" s="24" customFormat="1" ht="18" customHeight="1" x14ac:dyDescent="0.2">
      <c r="A61" s="140"/>
      <c r="B61" s="143" t="s">
        <v>1</v>
      </c>
      <c r="C61" s="168"/>
      <c r="D61" s="170"/>
      <c r="E61" s="170"/>
      <c r="F61" s="170"/>
      <c r="G61" s="169"/>
      <c r="H61" s="139"/>
    </row>
    <row r="62" spans="1:9" s="24" customFormat="1" ht="18" customHeight="1" x14ac:dyDescent="0.25">
      <c r="A62" s="141"/>
      <c r="B62" s="144" t="s">
        <v>2</v>
      </c>
      <c r="C62" s="171"/>
      <c r="D62" s="172"/>
      <c r="E62" s="173"/>
      <c r="F62" s="173"/>
      <c r="G62" s="172"/>
      <c r="H62" s="139"/>
    </row>
    <row r="63" spans="1:9" s="24" customFormat="1" ht="18" customHeight="1" x14ac:dyDescent="0.2">
      <c r="A63" s="140"/>
      <c r="B63" s="143" t="s">
        <v>3</v>
      </c>
      <c r="C63" s="168"/>
      <c r="D63" s="170"/>
      <c r="E63" s="170"/>
      <c r="F63" s="170"/>
      <c r="G63" s="169"/>
      <c r="H63" s="139"/>
    </row>
    <row r="64" spans="1:9" s="24" customFormat="1" ht="18" customHeight="1" x14ac:dyDescent="0.25">
      <c r="A64" s="141"/>
      <c r="B64" s="144" t="s">
        <v>4</v>
      </c>
      <c r="C64" s="171"/>
      <c r="D64" s="173"/>
      <c r="E64" s="173"/>
      <c r="F64" s="173"/>
      <c r="G64" s="172"/>
      <c r="H64" s="139"/>
    </row>
    <row r="65" spans="1:8" s="43" customFormat="1" ht="18.75" customHeight="1" x14ac:dyDescent="0.2">
      <c r="A65" s="130"/>
      <c r="B65" s="3184" t="s">
        <v>159</v>
      </c>
      <c r="C65" s="3185"/>
      <c r="D65" s="3185"/>
      <c r="E65" s="3185"/>
      <c r="F65" s="3185"/>
      <c r="G65" s="3186"/>
      <c r="H65" s="122"/>
    </row>
    <row r="66" spans="1:8" s="43" customFormat="1" ht="18.75" customHeight="1" x14ac:dyDescent="0.2">
      <c r="B66" s="3184" t="s">
        <v>160</v>
      </c>
      <c r="C66" s="3185"/>
      <c r="D66" s="3185"/>
      <c r="E66" s="3185"/>
      <c r="F66" s="3185"/>
      <c r="G66" s="3186"/>
      <c r="H66" s="122"/>
    </row>
    <row r="67" spans="1:8" s="43" customFormat="1" ht="18.75" customHeight="1" x14ac:dyDescent="0.2">
      <c r="B67" s="3184" t="s">
        <v>161</v>
      </c>
      <c r="C67" s="3185"/>
      <c r="D67" s="3185"/>
      <c r="E67" s="3185"/>
      <c r="F67" s="3185"/>
      <c r="G67" s="3186"/>
      <c r="H67" s="122"/>
    </row>
    <row r="68" spans="1:8" ht="30" customHeight="1" x14ac:dyDescent="0.2">
      <c r="B68" s="153">
        <v>1</v>
      </c>
      <c r="C68" s="412" t="s">
        <v>162</v>
      </c>
      <c r="D68" s="226"/>
      <c r="E68" s="199"/>
      <c r="F68" s="200"/>
      <c r="G68" s="201"/>
      <c r="H68" s="122"/>
    </row>
    <row r="69" spans="1:8" s="9" customFormat="1" ht="18.75" customHeight="1" x14ac:dyDescent="0.25">
      <c r="B69" s="148"/>
      <c r="C69" s="413" t="s">
        <v>722</v>
      </c>
      <c r="D69" s="226" t="s">
        <v>95</v>
      </c>
      <c r="E69" s="199">
        <v>15</v>
      </c>
      <c r="F69" s="269">
        <v>0</v>
      </c>
      <c r="G69" s="270">
        <f>E69*F69</f>
        <v>0</v>
      </c>
      <c r="H69" s="150"/>
    </row>
    <row r="70" spans="1:8" ht="40.5" customHeight="1" x14ac:dyDescent="0.2">
      <c r="B70" s="154">
        <v>2</v>
      </c>
      <c r="C70" s="227" t="s">
        <v>172</v>
      </c>
      <c r="D70" s="209" t="s">
        <v>95</v>
      </c>
      <c r="E70" s="228">
        <v>15</v>
      </c>
      <c r="F70" s="269">
        <v>0</v>
      </c>
      <c r="G70" s="270">
        <f>E70*F70</f>
        <v>0</v>
      </c>
      <c r="H70" s="122"/>
    </row>
    <row r="71" spans="1:8" ht="41.25" customHeight="1" x14ac:dyDescent="0.2">
      <c r="B71" s="309" t="s">
        <v>173</v>
      </c>
      <c r="C71" s="227" t="s">
        <v>174</v>
      </c>
      <c r="D71" s="209" t="s">
        <v>98</v>
      </c>
      <c r="E71" s="228">
        <v>1</v>
      </c>
      <c r="F71" s="269">
        <v>0</v>
      </c>
      <c r="G71" s="270">
        <f>E71*F71</f>
        <v>0</v>
      </c>
      <c r="H71" s="122"/>
    </row>
    <row r="72" spans="1:8" ht="27" customHeight="1" x14ac:dyDescent="0.2">
      <c r="B72" s="309" t="s">
        <v>175</v>
      </c>
      <c r="C72" s="227" t="s">
        <v>176</v>
      </c>
      <c r="D72" s="209" t="s">
        <v>98</v>
      </c>
      <c r="E72" s="228">
        <v>1</v>
      </c>
      <c r="F72" s="269">
        <v>0</v>
      </c>
      <c r="G72" s="270">
        <f>E72*F72</f>
        <v>0</v>
      </c>
      <c r="H72" s="122"/>
    </row>
    <row r="73" spans="1:8" ht="39" customHeight="1" x14ac:dyDescent="0.2">
      <c r="B73" s="309" t="s">
        <v>177</v>
      </c>
      <c r="C73" s="227" t="s">
        <v>178</v>
      </c>
      <c r="D73" s="209" t="s">
        <v>98</v>
      </c>
      <c r="E73" s="228">
        <v>1</v>
      </c>
      <c r="F73" s="269">
        <v>0</v>
      </c>
      <c r="G73" s="270">
        <f>E73*F73</f>
        <v>0</v>
      </c>
      <c r="H73" s="122"/>
    </row>
    <row r="74" spans="1:8" ht="27.75" customHeight="1" x14ac:dyDescent="0.2">
      <c r="B74" s="153">
        <v>3</v>
      </c>
      <c r="C74" s="229" t="s">
        <v>179</v>
      </c>
      <c r="D74" s="198"/>
      <c r="E74" s="199"/>
      <c r="F74" s="269"/>
      <c r="G74" s="201"/>
      <c r="H74" s="122"/>
    </row>
    <row r="75" spans="1:8" s="34" customFormat="1" x14ac:dyDescent="0.2">
      <c r="B75" s="292" t="s">
        <v>270</v>
      </c>
      <c r="C75" s="264" t="s">
        <v>271</v>
      </c>
      <c r="D75" s="231"/>
      <c r="E75" s="265"/>
      <c r="F75" s="266"/>
      <c r="G75" s="234"/>
      <c r="H75" s="122"/>
    </row>
    <row r="76" spans="1:8" s="34" customFormat="1" x14ac:dyDescent="0.2">
      <c r="B76" s="135"/>
      <c r="C76" s="264" t="s">
        <v>873</v>
      </c>
      <c r="D76" s="231"/>
      <c r="E76" s="265"/>
      <c r="F76" s="266">
        <v>0</v>
      </c>
      <c r="G76" s="234"/>
      <c r="H76" s="122"/>
    </row>
    <row r="77" spans="1:8" s="34" customFormat="1" x14ac:dyDescent="0.2">
      <c r="B77" s="135"/>
      <c r="C77" s="267" t="s">
        <v>341</v>
      </c>
      <c r="D77" s="231" t="s">
        <v>149</v>
      </c>
      <c r="E77" s="265">
        <v>10</v>
      </c>
      <c r="F77" s="279">
        <v>0</v>
      </c>
      <c r="G77" s="272">
        <f t="shared" ref="G77:G99" si="3">E77*F77</f>
        <v>0</v>
      </c>
      <c r="H77" s="122"/>
    </row>
    <row r="78" spans="1:8" s="136" customFormat="1" x14ac:dyDescent="0.2">
      <c r="B78" s="135"/>
      <c r="C78" s="267" t="s">
        <v>344</v>
      </c>
      <c r="D78" s="231" t="s">
        <v>149</v>
      </c>
      <c r="E78" s="265">
        <v>1</v>
      </c>
      <c r="F78" s="279">
        <v>0</v>
      </c>
      <c r="G78" s="272">
        <f>E78*F78</f>
        <v>0</v>
      </c>
      <c r="H78" s="122"/>
    </row>
    <row r="79" spans="1:8" s="34" customFormat="1" ht="15" customHeight="1" x14ac:dyDescent="0.2">
      <c r="B79" s="135"/>
      <c r="C79" s="267" t="s">
        <v>273</v>
      </c>
      <c r="D79" s="231" t="s">
        <v>149</v>
      </c>
      <c r="E79" s="265">
        <v>2</v>
      </c>
      <c r="F79" s="279">
        <v>0</v>
      </c>
      <c r="G79" s="272">
        <f t="shared" si="3"/>
        <v>0</v>
      </c>
      <c r="H79" s="122"/>
    </row>
    <row r="80" spans="1:8" s="34" customFormat="1" ht="15" customHeight="1" x14ac:dyDescent="0.2">
      <c r="B80" s="135"/>
      <c r="C80" s="267" t="s">
        <v>274</v>
      </c>
      <c r="D80" s="231" t="s">
        <v>149</v>
      </c>
      <c r="E80" s="265">
        <v>2</v>
      </c>
      <c r="F80" s="279">
        <v>0</v>
      </c>
      <c r="G80" s="272">
        <f t="shared" si="3"/>
        <v>0</v>
      </c>
      <c r="H80" s="122"/>
    </row>
    <row r="81" spans="2:8" s="34" customFormat="1" ht="15" customHeight="1" x14ac:dyDescent="0.2">
      <c r="B81" s="135"/>
      <c r="C81" s="267" t="s">
        <v>275</v>
      </c>
      <c r="D81" s="231" t="s">
        <v>149</v>
      </c>
      <c r="E81" s="265">
        <v>2</v>
      </c>
      <c r="F81" s="279">
        <v>0</v>
      </c>
      <c r="G81" s="272">
        <f t="shared" si="3"/>
        <v>0</v>
      </c>
      <c r="H81" s="122"/>
    </row>
    <row r="82" spans="2:8" s="34" customFormat="1" ht="12" customHeight="1" x14ac:dyDescent="0.2">
      <c r="B82" s="135"/>
      <c r="C82" s="268" t="s">
        <v>276</v>
      </c>
      <c r="D82" s="231" t="s">
        <v>149</v>
      </c>
      <c r="E82" s="265">
        <v>4</v>
      </c>
      <c r="F82" s="279">
        <v>0</v>
      </c>
      <c r="G82" s="272">
        <f t="shared" si="3"/>
        <v>0</v>
      </c>
      <c r="H82" s="122"/>
    </row>
    <row r="83" spans="2:8" s="34" customFormat="1" ht="12.75" customHeight="1" x14ac:dyDescent="0.2">
      <c r="B83" s="135"/>
      <c r="C83" s="268" t="s">
        <v>277</v>
      </c>
      <c r="D83" s="231" t="s">
        <v>149</v>
      </c>
      <c r="E83" s="265">
        <v>2</v>
      </c>
      <c r="F83" s="279">
        <v>0</v>
      </c>
      <c r="G83" s="272">
        <f t="shared" si="3"/>
        <v>0</v>
      </c>
      <c r="H83" s="122"/>
    </row>
    <row r="84" spans="2:8" s="34" customFormat="1" ht="12.75" customHeight="1" x14ac:dyDescent="0.2">
      <c r="B84" s="135"/>
      <c r="C84" s="268" t="s">
        <v>278</v>
      </c>
      <c r="D84" s="231" t="s">
        <v>149</v>
      </c>
      <c r="E84" s="265">
        <v>2</v>
      </c>
      <c r="F84" s="279">
        <v>0</v>
      </c>
      <c r="G84" s="272">
        <f t="shared" si="3"/>
        <v>0</v>
      </c>
      <c r="H84" s="122"/>
    </row>
    <row r="85" spans="2:8" s="34" customFormat="1" x14ac:dyDescent="0.2">
      <c r="B85" s="135"/>
      <c r="C85" s="268" t="s">
        <v>262</v>
      </c>
      <c r="D85" s="231" t="s">
        <v>149</v>
      </c>
      <c r="E85" s="265">
        <v>2</v>
      </c>
      <c r="F85" s="279">
        <v>0</v>
      </c>
      <c r="G85" s="272">
        <f t="shared" si="3"/>
        <v>0</v>
      </c>
      <c r="H85" s="122"/>
    </row>
    <row r="86" spans="2:8" s="34" customFormat="1" ht="14.25" customHeight="1" x14ac:dyDescent="0.2">
      <c r="B86" s="135"/>
      <c r="C86" s="268" t="s">
        <v>279</v>
      </c>
      <c r="D86" s="231" t="s">
        <v>149</v>
      </c>
      <c r="E86" s="265">
        <v>2</v>
      </c>
      <c r="F86" s="279">
        <v>0</v>
      </c>
      <c r="G86" s="272">
        <f t="shared" si="3"/>
        <v>0</v>
      </c>
      <c r="H86" s="122"/>
    </row>
    <row r="87" spans="2:8" s="34" customFormat="1" ht="14.25" customHeight="1" x14ac:dyDescent="0.2">
      <c r="B87" s="135"/>
      <c r="C87" s="268" t="s">
        <v>280</v>
      </c>
      <c r="D87" s="231" t="s">
        <v>149</v>
      </c>
      <c r="E87" s="265">
        <v>2</v>
      </c>
      <c r="F87" s="279">
        <v>0</v>
      </c>
      <c r="G87" s="272">
        <f t="shared" si="3"/>
        <v>0</v>
      </c>
      <c r="H87" s="122"/>
    </row>
    <row r="88" spans="2:8" s="34" customFormat="1" ht="14.25" customHeight="1" x14ac:dyDescent="0.2">
      <c r="B88" s="135"/>
      <c r="C88" s="268" t="s">
        <v>281</v>
      </c>
      <c r="D88" s="231" t="s">
        <v>149</v>
      </c>
      <c r="E88" s="265">
        <v>2</v>
      </c>
      <c r="F88" s="279">
        <v>0</v>
      </c>
      <c r="G88" s="272">
        <f t="shared" si="3"/>
        <v>0</v>
      </c>
      <c r="H88" s="122"/>
    </row>
    <row r="89" spans="2:8" s="34" customFormat="1" ht="14.25" customHeight="1" x14ac:dyDescent="0.2">
      <c r="B89" s="135"/>
      <c r="C89" s="268" t="s">
        <v>282</v>
      </c>
      <c r="D89" s="231" t="s">
        <v>149</v>
      </c>
      <c r="E89" s="265">
        <v>2</v>
      </c>
      <c r="F89" s="279">
        <v>0</v>
      </c>
      <c r="G89" s="272">
        <f t="shared" si="3"/>
        <v>0</v>
      </c>
      <c r="H89" s="122"/>
    </row>
    <row r="90" spans="2:8" s="34" customFormat="1" x14ac:dyDescent="0.2">
      <c r="B90" s="135"/>
      <c r="C90" s="416" t="s">
        <v>874</v>
      </c>
      <c r="D90" s="231" t="s">
        <v>149</v>
      </c>
      <c r="E90" s="265">
        <v>4</v>
      </c>
      <c r="F90" s="279">
        <v>0</v>
      </c>
      <c r="G90" s="272">
        <f t="shared" si="3"/>
        <v>0</v>
      </c>
      <c r="H90" s="122"/>
    </row>
    <row r="91" spans="2:8" s="34" customFormat="1" ht="41.25" customHeight="1" x14ac:dyDescent="0.2">
      <c r="B91" s="135"/>
      <c r="C91" s="416" t="s">
        <v>284</v>
      </c>
      <c r="D91" s="231" t="s">
        <v>149</v>
      </c>
      <c r="E91" s="265">
        <v>2</v>
      </c>
      <c r="F91" s="279">
        <v>0</v>
      </c>
      <c r="G91" s="272">
        <f t="shared" si="3"/>
        <v>0</v>
      </c>
      <c r="H91" s="122"/>
    </row>
    <row r="92" spans="2:8" s="34" customFormat="1" ht="38.25" customHeight="1" x14ac:dyDescent="0.2">
      <c r="B92" s="135"/>
      <c r="C92" s="268" t="s">
        <v>285</v>
      </c>
      <c r="D92" s="231" t="s">
        <v>149</v>
      </c>
      <c r="E92" s="265">
        <v>2</v>
      </c>
      <c r="F92" s="279">
        <v>0</v>
      </c>
      <c r="G92" s="272">
        <f t="shared" si="3"/>
        <v>0</v>
      </c>
      <c r="H92" s="122"/>
    </row>
    <row r="93" spans="2:8" s="34" customFormat="1" x14ac:dyDescent="0.2">
      <c r="B93" s="135"/>
      <c r="C93" s="267" t="s">
        <v>191</v>
      </c>
      <c r="D93" s="231" t="s">
        <v>149</v>
      </c>
      <c r="E93" s="265">
        <v>2</v>
      </c>
      <c r="F93" s="279">
        <v>0</v>
      </c>
      <c r="G93" s="272">
        <f t="shared" si="3"/>
        <v>0</v>
      </c>
      <c r="H93" s="122"/>
    </row>
    <row r="94" spans="2:8" s="34" customFormat="1" x14ac:dyDescent="0.2">
      <c r="B94" s="135"/>
      <c r="C94" s="268" t="s">
        <v>193</v>
      </c>
      <c r="D94" s="231" t="s">
        <v>149</v>
      </c>
      <c r="E94" s="265">
        <v>1</v>
      </c>
      <c r="F94" s="279">
        <v>0</v>
      </c>
      <c r="G94" s="272">
        <f t="shared" si="3"/>
        <v>0</v>
      </c>
      <c r="H94" s="122"/>
    </row>
    <row r="95" spans="2:8" s="34" customFormat="1" x14ac:dyDescent="0.2">
      <c r="B95" s="135"/>
      <c r="C95" s="268" t="s">
        <v>194</v>
      </c>
      <c r="D95" s="231" t="s">
        <v>149</v>
      </c>
      <c r="E95" s="265">
        <v>1</v>
      </c>
      <c r="F95" s="279">
        <v>0</v>
      </c>
      <c r="G95" s="272">
        <f t="shared" si="3"/>
        <v>0</v>
      </c>
      <c r="H95" s="122"/>
    </row>
    <row r="96" spans="2:8" s="34" customFormat="1" x14ac:dyDescent="0.2">
      <c r="B96" s="135"/>
      <c r="C96" s="267" t="s">
        <v>286</v>
      </c>
      <c r="D96" s="231" t="s">
        <v>149</v>
      </c>
      <c r="E96" s="265">
        <v>2</v>
      </c>
      <c r="F96" s="279">
        <v>0</v>
      </c>
      <c r="G96" s="272">
        <f t="shared" si="3"/>
        <v>0</v>
      </c>
      <c r="H96" s="122"/>
    </row>
    <row r="97" spans="2:8" s="34" customFormat="1" x14ac:dyDescent="0.2">
      <c r="B97" s="135"/>
      <c r="C97" s="416" t="s">
        <v>269</v>
      </c>
      <c r="D97" s="231" t="s">
        <v>149</v>
      </c>
      <c r="E97" s="265">
        <v>4</v>
      </c>
      <c r="F97" s="279">
        <v>0</v>
      </c>
      <c r="G97" s="272">
        <f t="shared" si="3"/>
        <v>0</v>
      </c>
      <c r="H97" s="122"/>
    </row>
    <row r="98" spans="2:8" s="34" customFormat="1" x14ac:dyDescent="0.2">
      <c r="B98" s="135"/>
      <c r="C98" s="416" t="s">
        <v>197</v>
      </c>
      <c r="D98" s="231" t="s">
        <v>149</v>
      </c>
      <c r="E98" s="265">
        <v>2</v>
      </c>
      <c r="F98" s="279">
        <v>0</v>
      </c>
      <c r="G98" s="272">
        <f t="shared" si="3"/>
        <v>0</v>
      </c>
      <c r="H98" s="122"/>
    </row>
    <row r="99" spans="2:8" s="34" customFormat="1" x14ac:dyDescent="0.2">
      <c r="B99" s="135"/>
      <c r="C99" s="417" t="s">
        <v>198</v>
      </c>
      <c r="D99" s="231" t="s">
        <v>149</v>
      </c>
      <c r="E99" s="265">
        <v>2</v>
      </c>
      <c r="F99" s="279">
        <v>0</v>
      </c>
      <c r="G99" s="272">
        <f t="shared" si="3"/>
        <v>0</v>
      </c>
      <c r="H99" s="122"/>
    </row>
    <row r="100" spans="2:8" s="34" customFormat="1" x14ac:dyDescent="0.2">
      <c r="B100" s="135"/>
      <c r="C100" s="264"/>
      <c r="D100" s="231"/>
      <c r="E100" s="265"/>
      <c r="F100" s="279"/>
      <c r="G100" s="234"/>
      <c r="H100" s="122"/>
    </row>
    <row r="101" spans="2:8" s="34" customFormat="1" ht="72" x14ac:dyDescent="0.2">
      <c r="B101" s="135"/>
      <c r="C101" s="267" t="s">
        <v>533</v>
      </c>
      <c r="D101" s="231" t="s">
        <v>149</v>
      </c>
      <c r="E101" s="265">
        <v>2</v>
      </c>
      <c r="F101" s="279">
        <v>0</v>
      </c>
      <c r="G101" s="272">
        <f t="shared" ref="G101:G121" si="4">E101*F101</f>
        <v>0</v>
      </c>
      <c r="H101" s="122"/>
    </row>
    <row r="102" spans="2:8" s="34" customFormat="1" x14ac:dyDescent="0.2">
      <c r="B102" s="135"/>
      <c r="C102" s="267" t="s">
        <v>267</v>
      </c>
      <c r="D102" s="231" t="s">
        <v>149</v>
      </c>
      <c r="E102" s="265">
        <v>4</v>
      </c>
      <c r="F102" s="279">
        <v>0</v>
      </c>
      <c r="G102" s="272">
        <f t="shared" si="4"/>
        <v>0</v>
      </c>
      <c r="H102" s="122"/>
    </row>
    <row r="103" spans="2:8" s="34" customFormat="1" ht="36" x14ac:dyDescent="0.2">
      <c r="B103" s="135"/>
      <c r="C103" s="267" t="s">
        <v>875</v>
      </c>
      <c r="D103" s="231" t="s">
        <v>149</v>
      </c>
      <c r="E103" s="265">
        <v>2</v>
      </c>
      <c r="F103" s="279">
        <v>0</v>
      </c>
      <c r="G103" s="272">
        <f t="shared" si="4"/>
        <v>0</v>
      </c>
      <c r="H103" s="122"/>
    </row>
    <row r="104" spans="2:8" s="34" customFormat="1" ht="15" customHeight="1" x14ac:dyDescent="0.2">
      <c r="B104" s="135"/>
      <c r="C104" s="267" t="s">
        <v>876</v>
      </c>
      <c r="D104" s="231" t="s">
        <v>149</v>
      </c>
      <c r="E104" s="265">
        <v>2</v>
      </c>
      <c r="F104" s="279">
        <v>0</v>
      </c>
      <c r="G104" s="272">
        <f t="shared" si="4"/>
        <v>0</v>
      </c>
      <c r="H104" s="122"/>
    </row>
    <row r="105" spans="2:8" s="34" customFormat="1" ht="15" customHeight="1" x14ac:dyDescent="0.2">
      <c r="B105" s="135"/>
      <c r="C105" s="267" t="s">
        <v>877</v>
      </c>
      <c r="D105" s="231" t="s">
        <v>149</v>
      </c>
      <c r="E105" s="265">
        <v>2</v>
      </c>
      <c r="F105" s="279">
        <v>0</v>
      </c>
      <c r="G105" s="272">
        <f t="shared" si="4"/>
        <v>0</v>
      </c>
      <c r="H105" s="122"/>
    </row>
    <row r="106" spans="2:8" s="34" customFormat="1" ht="15" customHeight="1" x14ac:dyDescent="0.2">
      <c r="B106" s="135"/>
      <c r="C106" s="267" t="s">
        <v>878</v>
      </c>
      <c r="D106" s="231" t="s">
        <v>149</v>
      </c>
      <c r="E106" s="265">
        <v>3</v>
      </c>
      <c r="F106" s="279">
        <v>0</v>
      </c>
      <c r="G106" s="272">
        <f t="shared" si="4"/>
        <v>0</v>
      </c>
      <c r="H106" s="122"/>
    </row>
    <row r="107" spans="2:8" s="34" customFormat="1" ht="12" customHeight="1" x14ac:dyDescent="0.2">
      <c r="B107" s="135"/>
      <c r="C107" s="268" t="s">
        <v>879</v>
      </c>
      <c r="D107" s="231" t="s">
        <v>149</v>
      </c>
      <c r="E107" s="265">
        <v>1</v>
      </c>
      <c r="F107" s="279">
        <v>0</v>
      </c>
      <c r="G107" s="272">
        <f t="shared" si="4"/>
        <v>0</v>
      </c>
      <c r="H107" s="122"/>
    </row>
    <row r="108" spans="2:8" s="34" customFormat="1" ht="12.75" customHeight="1" x14ac:dyDescent="0.2">
      <c r="B108" s="135"/>
      <c r="C108" s="267" t="s">
        <v>352</v>
      </c>
      <c r="D108" s="231" t="s">
        <v>149</v>
      </c>
      <c r="E108" s="265">
        <v>1</v>
      </c>
      <c r="F108" s="279">
        <v>0</v>
      </c>
      <c r="G108" s="272">
        <f t="shared" si="4"/>
        <v>0</v>
      </c>
      <c r="H108" s="122"/>
    </row>
    <row r="109" spans="2:8" s="34" customFormat="1" ht="14.25" customHeight="1" x14ac:dyDescent="0.2">
      <c r="B109" s="135"/>
      <c r="C109" s="416" t="s">
        <v>880</v>
      </c>
      <c r="D109" s="231" t="s">
        <v>149</v>
      </c>
      <c r="E109" s="265">
        <v>1</v>
      </c>
      <c r="F109" s="279">
        <v>0</v>
      </c>
      <c r="G109" s="272">
        <f t="shared" si="4"/>
        <v>0</v>
      </c>
      <c r="H109" s="122"/>
    </row>
    <row r="110" spans="2:8" s="34" customFormat="1" x14ac:dyDescent="0.2">
      <c r="B110" s="135"/>
      <c r="C110" s="268" t="s">
        <v>881</v>
      </c>
      <c r="D110" s="231" t="s">
        <v>149</v>
      </c>
      <c r="E110" s="265">
        <v>3</v>
      </c>
      <c r="F110" s="279">
        <v>0</v>
      </c>
      <c r="G110" s="272">
        <f t="shared" si="4"/>
        <v>0</v>
      </c>
      <c r="H110" s="122"/>
    </row>
    <row r="111" spans="2:8" s="34" customFormat="1" ht="14.25" customHeight="1" x14ac:dyDescent="0.2">
      <c r="B111" s="135"/>
      <c r="C111" s="268" t="s">
        <v>882</v>
      </c>
      <c r="D111" s="231" t="s">
        <v>149</v>
      </c>
      <c r="E111" s="265">
        <v>1</v>
      </c>
      <c r="F111" s="279">
        <v>0</v>
      </c>
      <c r="G111" s="272">
        <f t="shared" si="4"/>
        <v>0</v>
      </c>
      <c r="H111" s="122"/>
    </row>
    <row r="112" spans="2:8" s="34" customFormat="1" ht="14.25" customHeight="1" x14ac:dyDescent="0.2">
      <c r="B112" s="135"/>
      <c r="C112" s="268" t="s">
        <v>883</v>
      </c>
      <c r="D112" s="231" t="s">
        <v>149</v>
      </c>
      <c r="E112" s="265">
        <v>1</v>
      </c>
      <c r="F112" s="279">
        <v>0</v>
      </c>
      <c r="G112" s="272">
        <f t="shared" si="4"/>
        <v>0</v>
      </c>
      <c r="H112" s="122"/>
    </row>
    <row r="113" spans="2:8" s="34" customFormat="1" ht="14.25" customHeight="1" x14ac:dyDescent="0.2">
      <c r="B113" s="135"/>
      <c r="C113" s="268" t="s">
        <v>884</v>
      </c>
      <c r="D113" s="231" t="s">
        <v>149</v>
      </c>
      <c r="E113" s="265">
        <v>10</v>
      </c>
      <c r="F113" s="279">
        <v>0</v>
      </c>
      <c r="G113" s="272">
        <f t="shared" si="4"/>
        <v>0</v>
      </c>
      <c r="H113" s="122"/>
    </row>
    <row r="114" spans="2:8" s="34" customFormat="1" ht="14.25" customHeight="1" x14ac:dyDescent="0.2">
      <c r="B114" s="135"/>
      <c r="C114" s="267" t="s">
        <v>885</v>
      </c>
      <c r="D114" s="231" t="s">
        <v>149</v>
      </c>
      <c r="E114" s="265">
        <v>4</v>
      </c>
      <c r="F114" s="279">
        <v>0</v>
      </c>
      <c r="G114" s="272">
        <f t="shared" si="4"/>
        <v>0</v>
      </c>
      <c r="H114" s="122"/>
    </row>
    <row r="115" spans="2:8" s="34" customFormat="1" x14ac:dyDescent="0.2">
      <c r="B115" s="135"/>
      <c r="C115" s="267" t="s">
        <v>886</v>
      </c>
      <c r="D115" s="231" t="s">
        <v>149</v>
      </c>
      <c r="E115" s="265">
        <v>3</v>
      </c>
      <c r="F115" s="279">
        <v>0</v>
      </c>
      <c r="G115" s="272">
        <f t="shared" si="4"/>
        <v>0</v>
      </c>
      <c r="H115" s="122"/>
    </row>
    <row r="116" spans="2:8" s="34" customFormat="1" ht="13.5" customHeight="1" x14ac:dyDescent="0.2">
      <c r="B116" s="135"/>
      <c r="C116" s="416" t="s">
        <v>887</v>
      </c>
      <c r="D116" s="231" t="s">
        <v>149</v>
      </c>
      <c r="E116" s="265">
        <v>1</v>
      </c>
      <c r="F116" s="279">
        <v>0</v>
      </c>
      <c r="G116" s="272">
        <f t="shared" si="4"/>
        <v>0</v>
      </c>
      <c r="H116" s="122"/>
    </row>
    <row r="117" spans="2:8" s="34" customFormat="1" ht="14.25" customHeight="1" x14ac:dyDescent="0.2">
      <c r="B117" s="135"/>
      <c r="C117" s="268" t="s">
        <v>888</v>
      </c>
      <c r="D117" s="231" t="s">
        <v>149</v>
      </c>
      <c r="E117" s="265">
        <v>2</v>
      </c>
      <c r="F117" s="279">
        <v>0</v>
      </c>
      <c r="G117" s="272">
        <f t="shared" si="4"/>
        <v>0</v>
      </c>
      <c r="H117" s="122"/>
    </row>
    <row r="118" spans="2:8" s="34" customFormat="1" x14ac:dyDescent="0.2">
      <c r="B118" s="135"/>
      <c r="C118" s="267" t="s">
        <v>889</v>
      </c>
      <c r="D118" s="231" t="s">
        <v>149</v>
      </c>
      <c r="E118" s="265">
        <v>2</v>
      </c>
      <c r="F118" s="279">
        <v>0</v>
      </c>
      <c r="G118" s="272">
        <f t="shared" si="4"/>
        <v>0</v>
      </c>
      <c r="H118" s="122"/>
    </row>
    <row r="119" spans="2:8" s="34" customFormat="1" x14ac:dyDescent="0.2">
      <c r="B119" s="135"/>
      <c r="C119" s="416" t="s">
        <v>890</v>
      </c>
      <c r="D119" s="231" t="s">
        <v>149</v>
      </c>
      <c r="E119" s="265">
        <v>2</v>
      </c>
      <c r="F119" s="279">
        <v>0</v>
      </c>
      <c r="G119" s="272">
        <f t="shared" si="4"/>
        <v>0</v>
      </c>
      <c r="H119" s="122"/>
    </row>
    <row r="120" spans="2:8" s="34" customFormat="1" x14ac:dyDescent="0.2">
      <c r="B120" s="135"/>
      <c r="C120" s="268" t="s">
        <v>891</v>
      </c>
      <c r="D120" s="231" t="s">
        <v>149</v>
      </c>
      <c r="E120" s="265">
        <v>2</v>
      </c>
      <c r="F120" s="279">
        <v>0</v>
      </c>
      <c r="G120" s="272">
        <f t="shared" si="4"/>
        <v>0</v>
      </c>
      <c r="H120" s="122"/>
    </row>
    <row r="121" spans="2:8" s="34" customFormat="1" x14ac:dyDescent="0.2">
      <c r="B121" s="135"/>
      <c r="C121" s="267" t="s">
        <v>739</v>
      </c>
      <c r="D121" s="231" t="s">
        <v>149</v>
      </c>
      <c r="E121" s="265">
        <v>3</v>
      </c>
      <c r="F121" s="279">
        <v>0</v>
      </c>
      <c r="G121" s="272">
        <f t="shared" si="4"/>
        <v>0</v>
      </c>
      <c r="H121" s="122"/>
    </row>
    <row r="122" spans="2:8" s="136" customFormat="1" x14ac:dyDescent="0.2">
      <c r="B122" s="135"/>
      <c r="C122" s="267" t="s">
        <v>2507</v>
      </c>
      <c r="D122" s="231" t="s">
        <v>149</v>
      </c>
      <c r="E122" s="265">
        <v>1</v>
      </c>
      <c r="F122" s="279">
        <v>0</v>
      </c>
      <c r="G122" s="272">
        <f t="shared" ref="G122" si="5">E122*F122</f>
        <v>0</v>
      </c>
      <c r="H122" s="122"/>
    </row>
    <row r="123" spans="2:8" s="9" customFormat="1" ht="25.5" customHeight="1" x14ac:dyDescent="0.25">
      <c r="B123" s="293" t="s">
        <v>17</v>
      </c>
      <c r="C123" s="294" t="s">
        <v>302</v>
      </c>
      <c r="D123" s="218"/>
      <c r="E123" s="203"/>
      <c r="F123" s="204"/>
      <c r="G123" s="290">
        <f>SUM(G68:G122)</f>
        <v>0</v>
      </c>
      <c r="H123" s="150"/>
    </row>
    <row r="124" spans="2:8" x14ac:dyDescent="0.2">
      <c r="B124" s="51"/>
      <c r="C124" s="50"/>
      <c r="D124" s="50"/>
      <c r="E124" s="359"/>
      <c r="F124" s="360"/>
      <c r="G124" s="361"/>
      <c r="H124" s="122"/>
    </row>
    <row r="125" spans="2:8" ht="20.25" x14ac:dyDescent="0.2">
      <c r="B125" s="296" t="s">
        <v>18</v>
      </c>
      <c r="C125" s="297" t="s">
        <v>367</v>
      </c>
      <c r="D125" s="298"/>
      <c r="E125" s="299"/>
      <c r="F125" s="300"/>
      <c r="G125" s="301"/>
      <c r="H125" s="122"/>
    </row>
    <row r="126" spans="2:8" x14ac:dyDescent="0.2">
      <c r="B126" s="3205" t="s">
        <v>539</v>
      </c>
      <c r="C126" s="3206"/>
      <c r="D126" s="3206"/>
      <c r="E126" s="3206"/>
      <c r="F126" s="3206"/>
      <c r="G126" s="3207"/>
      <c r="H126" s="122"/>
    </row>
    <row r="127" spans="2:8" ht="25.5" customHeight="1" x14ac:dyDescent="0.2">
      <c r="B127" s="3205" t="s">
        <v>540</v>
      </c>
      <c r="C127" s="3206"/>
      <c r="D127" s="3206"/>
      <c r="E127" s="3206"/>
      <c r="F127" s="3206"/>
      <c r="G127" s="3207"/>
      <c r="H127" s="122"/>
    </row>
    <row r="128" spans="2:8" x14ac:dyDescent="0.2">
      <c r="B128" s="3205" t="s">
        <v>541</v>
      </c>
      <c r="C128" s="3206"/>
      <c r="D128" s="3206"/>
      <c r="E128" s="3206"/>
      <c r="F128" s="3206"/>
      <c r="G128" s="3207"/>
      <c r="H128" s="122"/>
    </row>
    <row r="129" spans="2:8" ht="25.5" customHeight="1" x14ac:dyDescent="0.2">
      <c r="B129" s="3205" t="s">
        <v>542</v>
      </c>
      <c r="C129" s="3206"/>
      <c r="D129" s="3206"/>
      <c r="E129" s="3206"/>
      <c r="F129" s="3206"/>
      <c r="G129" s="3207"/>
      <c r="H129" s="122"/>
    </row>
    <row r="130" spans="2:8" ht="25.5" customHeight="1" x14ac:dyDescent="0.2">
      <c r="B130" s="3205" t="s">
        <v>543</v>
      </c>
      <c r="C130" s="3206"/>
      <c r="D130" s="3206"/>
      <c r="E130" s="3206"/>
      <c r="F130" s="3206"/>
      <c r="G130" s="3207"/>
      <c r="H130" s="122"/>
    </row>
    <row r="131" spans="2:8" ht="25.5" customHeight="1" x14ac:dyDescent="0.2">
      <c r="B131" s="3205" t="s">
        <v>544</v>
      </c>
      <c r="C131" s="3206"/>
      <c r="D131" s="3206"/>
      <c r="E131" s="3206"/>
      <c r="F131" s="3206"/>
      <c r="G131" s="3207"/>
    </row>
    <row r="132" spans="2:8" x14ac:dyDescent="0.2">
      <c r="B132" s="3205" t="s">
        <v>545</v>
      </c>
      <c r="C132" s="3206"/>
      <c r="D132" s="3206"/>
      <c r="E132" s="3206"/>
      <c r="F132" s="3206"/>
      <c r="G132" s="3207"/>
    </row>
    <row r="133" spans="2:8" x14ac:dyDescent="0.2">
      <c r="B133" s="153">
        <v>1</v>
      </c>
      <c r="C133" s="357" t="s">
        <v>550</v>
      </c>
      <c r="D133" s="207"/>
      <c r="E133" s="199"/>
      <c r="F133" s="269"/>
      <c r="G133" s="270"/>
    </row>
    <row r="134" spans="2:8" ht="96" x14ac:dyDescent="0.2">
      <c r="B134" s="153"/>
      <c r="C134" s="197" t="s">
        <v>748</v>
      </c>
      <c r="D134" s="207" t="s">
        <v>98</v>
      </c>
      <c r="E134" s="199">
        <v>1</v>
      </c>
      <c r="F134" s="269">
        <v>0</v>
      </c>
      <c r="G134" s="270">
        <f t="shared" ref="G134:G159" si="6">E134*F134</f>
        <v>0</v>
      </c>
    </row>
    <row r="135" spans="2:8" ht="48" x14ac:dyDescent="0.2">
      <c r="B135" s="153"/>
      <c r="C135" s="197" t="s">
        <v>554</v>
      </c>
      <c r="D135" s="207" t="s">
        <v>123</v>
      </c>
      <c r="E135" s="199">
        <v>1</v>
      </c>
      <c r="F135" s="269">
        <v>0</v>
      </c>
      <c r="G135" s="270">
        <f t="shared" si="6"/>
        <v>0</v>
      </c>
    </row>
    <row r="136" spans="2:8" ht="36" x14ac:dyDescent="0.2">
      <c r="B136" s="153"/>
      <c r="C136" s="197" t="s">
        <v>561</v>
      </c>
      <c r="D136" s="207" t="s">
        <v>123</v>
      </c>
      <c r="E136" s="199">
        <v>1</v>
      </c>
      <c r="F136" s="269">
        <v>0</v>
      </c>
      <c r="G136" s="270">
        <f t="shared" si="6"/>
        <v>0</v>
      </c>
    </row>
    <row r="137" spans="2:8" ht="24" x14ac:dyDescent="0.2">
      <c r="B137" s="153"/>
      <c r="C137" s="197" t="s">
        <v>749</v>
      </c>
      <c r="D137" s="207" t="s">
        <v>123</v>
      </c>
      <c r="E137" s="199">
        <v>1</v>
      </c>
      <c r="F137" s="269">
        <v>0</v>
      </c>
      <c r="G137" s="270">
        <f t="shared" si="6"/>
        <v>0</v>
      </c>
    </row>
    <row r="138" spans="2:8" ht="24" x14ac:dyDescent="0.2">
      <c r="B138" s="153"/>
      <c r="C138" s="197" t="s">
        <v>565</v>
      </c>
      <c r="D138" s="207" t="s">
        <v>123</v>
      </c>
      <c r="E138" s="199">
        <v>1</v>
      </c>
      <c r="F138" s="269">
        <v>0</v>
      </c>
      <c r="G138" s="270">
        <f t="shared" si="6"/>
        <v>0</v>
      </c>
    </row>
    <row r="139" spans="2:8" ht="96" x14ac:dyDescent="0.2">
      <c r="B139" s="129"/>
      <c r="C139" s="197" t="s">
        <v>750</v>
      </c>
      <c r="D139" s="207" t="s">
        <v>98</v>
      </c>
      <c r="E139" s="199">
        <v>1</v>
      </c>
      <c r="F139" s="269">
        <v>0</v>
      </c>
      <c r="G139" s="270">
        <f t="shared" si="6"/>
        <v>0</v>
      </c>
    </row>
    <row r="140" spans="2:8" ht="60" x14ac:dyDescent="0.2">
      <c r="B140" s="129"/>
      <c r="C140" s="197" t="s">
        <v>751</v>
      </c>
      <c r="D140" s="207" t="s">
        <v>123</v>
      </c>
      <c r="E140" s="199">
        <v>1</v>
      </c>
      <c r="F140" s="269">
        <v>0</v>
      </c>
      <c r="G140" s="270">
        <f t="shared" si="6"/>
        <v>0</v>
      </c>
    </row>
    <row r="141" spans="2:8" ht="60" x14ac:dyDescent="0.2">
      <c r="B141" s="129"/>
      <c r="C141" s="197" t="s">
        <v>752</v>
      </c>
      <c r="D141" s="207" t="s">
        <v>123</v>
      </c>
      <c r="E141" s="199">
        <v>1</v>
      </c>
      <c r="F141" s="269">
        <v>0</v>
      </c>
      <c r="G141" s="270">
        <f t="shared" si="6"/>
        <v>0</v>
      </c>
    </row>
    <row r="142" spans="2:8" ht="60" x14ac:dyDescent="0.2">
      <c r="B142" s="129"/>
      <c r="C142" s="197" t="s">
        <v>753</v>
      </c>
      <c r="D142" s="207" t="s">
        <v>123</v>
      </c>
      <c r="E142" s="199">
        <v>2</v>
      </c>
      <c r="F142" s="269">
        <v>0</v>
      </c>
      <c r="G142" s="270">
        <f t="shared" si="6"/>
        <v>0</v>
      </c>
    </row>
    <row r="143" spans="2:8" ht="60" x14ac:dyDescent="0.2">
      <c r="B143" s="129"/>
      <c r="C143" s="197" t="s">
        <v>754</v>
      </c>
      <c r="D143" s="207" t="s">
        <v>123</v>
      </c>
      <c r="E143" s="199">
        <v>1</v>
      </c>
      <c r="F143" s="269">
        <v>0</v>
      </c>
      <c r="G143" s="270">
        <f t="shared" si="6"/>
        <v>0</v>
      </c>
    </row>
    <row r="144" spans="2:8" ht="48" x14ac:dyDescent="0.2">
      <c r="B144" s="129"/>
      <c r="C144" s="197" t="s">
        <v>755</v>
      </c>
      <c r="D144" s="207" t="s">
        <v>123</v>
      </c>
      <c r="E144" s="199">
        <v>1</v>
      </c>
      <c r="F144" s="269">
        <v>0</v>
      </c>
      <c r="G144" s="270">
        <f t="shared" si="6"/>
        <v>0</v>
      </c>
    </row>
    <row r="145" spans="2:7" ht="60" x14ac:dyDescent="0.2">
      <c r="B145" s="129"/>
      <c r="C145" s="311" t="s">
        <v>756</v>
      </c>
      <c r="D145" s="207" t="s">
        <v>98</v>
      </c>
      <c r="E145" s="199">
        <v>1</v>
      </c>
      <c r="F145" s="269">
        <v>0</v>
      </c>
      <c r="G145" s="270">
        <f t="shared" si="6"/>
        <v>0</v>
      </c>
    </row>
    <row r="146" spans="2:7" ht="48" x14ac:dyDescent="0.2">
      <c r="B146" s="129"/>
      <c r="C146" s="197" t="s">
        <v>757</v>
      </c>
      <c r="D146" s="207" t="s">
        <v>123</v>
      </c>
      <c r="E146" s="199">
        <v>1</v>
      </c>
      <c r="F146" s="269">
        <v>0</v>
      </c>
      <c r="G146" s="270">
        <f t="shared" si="6"/>
        <v>0</v>
      </c>
    </row>
    <row r="147" spans="2:7" ht="108" x14ac:dyDescent="0.2">
      <c r="B147" s="129"/>
      <c r="C147" s="197" t="s">
        <v>619</v>
      </c>
      <c r="D147" s="207" t="s">
        <v>123</v>
      </c>
      <c r="E147" s="199">
        <v>1</v>
      </c>
      <c r="F147" s="269">
        <v>0</v>
      </c>
      <c r="G147" s="270">
        <f t="shared" si="6"/>
        <v>0</v>
      </c>
    </row>
    <row r="148" spans="2:7" ht="36" x14ac:dyDescent="0.2">
      <c r="B148" s="129"/>
      <c r="C148" s="197" t="s">
        <v>758</v>
      </c>
      <c r="D148" s="207" t="s">
        <v>123</v>
      </c>
      <c r="E148" s="199">
        <v>60</v>
      </c>
      <c r="F148" s="269">
        <v>0</v>
      </c>
      <c r="G148" s="270">
        <f t="shared" si="6"/>
        <v>0</v>
      </c>
    </row>
    <row r="149" spans="2:7" ht="36" x14ac:dyDescent="0.2">
      <c r="B149" s="129"/>
      <c r="C149" s="197" t="s">
        <v>759</v>
      </c>
      <c r="D149" s="207" t="s">
        <v>123</v>
      </c>
      <c r="E149" s="199">
        <v>10</v>
      </c>
      <c r="F149" s="269">
        <v>0</v>
      </c>
      <c r="G149" s="270">
        <f t="shared" si="6"/>
        <v>0</v>
      </c>
    </row>
    <row r="150" spans="2:7" ht="36" x14ac:dyDescent="0.2">
      <c r="B150" s="129"/>
      <c r="C150" s="197" t="s">
        <v>760</v>
      </c>
      <c r="D150" s="207" t="s">
        <v>123</v>
      </c>
      <c r="E150" s="199">
        <v>2</v>
      </c>
      <c r="F150" s="269">
        <v>0</v>
      </c>
      <c r="G150" s="270">
        <f t="shared" si="6"/>
        <v>0</v>
      </c>
    </row>
    <row r="151" spans="2:7" ht="36" x14ac:dyDescent="0.2">
      <c r="B151" s="129"/>
      <c r="C151" s="197" t="s">
        <v>761</v>
      </c>
      <c r="D151" s="207" t="s">
        <v>123</v>
      </c>
      <c r="E151" s="199">
        <v>12</v>
      </c>
      <c r="F151" s="269">
        <v>0</v>
      </c>
      <c r="G151" s="270">
        <f t="shared" si="6"/>
        <v>0</v>
      </c>
    </row>
    <row r="152" spans="2:7" ht="36" x14ac:dyDescent="0.2">
      <c r="B152" s="129"/>
      <c r="C152" s="197" t="s">
        <v>762</v>
      </c>
      <c r="D152" s="207" t="s">
        <v>123</v>
      </c>
      <c r="E152" s="199">
        <v>1</v>
      </c>
      <c r="F152" s="269">
        <v>0</v>
      </c>
      <c r="G152" s="270">
        <f t="shared" si="6"/>
        <v>0</v>
      </c>
    </row>
    <row r="153" spans="2:7" ht="48" x14ac:dyDescent="0.2">
      <c r="B153" s="129"/>
      <c r="C153" s="197" t="s">
        <v>763</v>
      </c>
      <c r="D153" s="207" t="s">
        <v>123</v>
      </c>
      <c r="E153" s="199">
        <v>1</v>
      </c>
      <c r="F153" s="269">
        <v>0</v>
      </c>
      <c r="G153" s="270">
        <f t="shared" si="6"/>
        <v>0</v>
      </c>
    </row>
    <row r="154" spans="2:7" ht="48" x14ac:dyDescent="0.2">
      <c r="B154" s="129"/>
      <c r="C154" s="197" t="s">
        <v>764</v>
      </c>
      <c r="D154" s="207" t="s">
        <v>123</v>
      </c>
      <c r="E154" s="199">
        <v>3</v>
      </c>
      <c r="F154" s="269">
        <v>0</v>
      </c>
      <c r="G154" s="270">
        <f t="shared" si="6"/>
        <v>0</v>
      </c>
    </row>
    <row r="155" spans="2:7" ht="48" x14ac:dyDescent="0.2">
      <c r="B155" s="129"/>
      <c r="C155" s="197" t="s">
        <v>765</v>
      </c>
      <c r="D155" s="207" t="s">
        <v>123</v>
      </c>
      <c r="E155" s="199">
        <v>3</v>
      </c>
      <c r="F155" s="269">
        <v>0</v>
      </c>
      <c r="G155" s="270">
        <f t="shared" si="6"/>
        <v>0</v>
      </c>
    </row>
    <row r="156" spans="2:7" ht="48" x14ac:dyDescent="0.2">
      <c r="B156" s="129"/>
      <c r="C156" s="197" t="s">
        <v>766</v>
      </c>
      <c r="D156" s="207" t="s">
        <v>123</v>
      </c>
      <c r="E156" s="199">
        <v>3</v>
      </c>
      <c r="F156" s="269">
        <v>0</v>
      </c>
      <c r="G156" s="270">
        <f t="shared" si="6"/>
        <v>0</v>
      </c>
    </row>
    <row r="157" spans="2:7" ht="48" x14ac:dyDescent="0.2">
      <c r="B157" s="129"/>
      <c r="C157" s="197" t="s">
        <v>767</v>
      </c>
      <c r="D157" s="207" t="s">
        <v>98</v>
      </c>
      <c r="E157" s="199">
        <v>1</v>
      </c>
      <c r="F157" s="269">
        <v>0</v>
      </c>
      <c r="G157" s="270">
        <f t="shared" si="6"/>
        <v>0</v>
      </c>
    </row>
    <row r="158" spans="2:7" ht="60" x14ac:dyDescent="0.2">
      <c r="B158" s="129"/>
      <c r="C158" s="197" t="s">
        <v>768</v>
      </c>
      <c r="D158" s="207" t="s">
        <v>123</v>
      </c>
      <c r="E158" s="199">
        <v>1</v>
      </c>
      <c r="F158" s="269">
        <v>0</v>
      </c>
      <c r="G158" s="270">
        <f t="shared" si="6"/>
        <v>0</v>
      </c>
    </row>
    <row r="159" spans="2:7" ht="84" x14ac:dyDescent="0.2">
      <c r="B159" s="129"/>
      <c r="C159" s="197" t="s">
        <v>620</v>
      </c>
      <c r="D159" s="207" t="s">
        <v>123</v>
      </c>
      <c r="E159" s="199">
        <v>1</v>
      </c>
      <c r="F159" s="269">
        <v>0</v>
      </c>
      <c r="G159" s="270">
        <f t="shared" si="6"/>
        <v>0</v>
      </c>
    </row>
    <row r="160" spans="2:7" x14ac:dyDescent="0.2">
      <c r="B160" s="153">
        <v>2</v>
      </c>
      <c r="C160" s="357" t="s">
        <v>769</v>
      </c>
      <c r="D160" s="207"/>
      <c r="E160" s="199"/>
      <c r="F160" s="269"/>
      <c r="G160" s="270"/>
    </row>
    <row r="161" spans="2:8" s="121" customFormat="1" ht="387.75" customHeight="1" x14ac:dyDescent="0.2">
      <c r="B161" s="2743"/>
      <c r="C161" s="2744"/>
      <c r="D161" s="2745"/>
      <c r="E161" s="2746"/>
      <c r="F161" s="2747"/>
      <c r="G161" s="2736"/>
      <c r="H161" s="122"/>
    </row>
    <row r="162" spans="2:8" s="121" customFormat="1" ht="24.75" customHeight="1" x14ac:dyDescent="0.2">
      <c r="B162" s="2743"/>
      <c r="C162" s="2744" t="s">
        <v>2465</v>
      </c>
      <c r="D162" s="2748" t="s">
        <v>98</v>
      </c>
      <c r="E162" s="2746">
        <v>1</v>
      </c>
      <c r="F162" s="2747">
        <v>0</v>
      </c>
      <c r="G162" s="2736">
        <f t="shared" ref="G162" si="7">E162*F162</f>
        <v>0</v>
      </c>
      <c r="H162" s="122"/>
    </row>
    <row r="163" spans="2:8" ht="48" x14ac:dyDescent="0.2">
      <c r="B163" s="129"/>
      <c r="C163" s="197" t="s">
        <v>771</v>
      </c>
      <c r="D163" s="207" t="s">
        <v>123</v>
      </c>
      <c r="E163" s="199">
        <v>1</v>
      </c>
      <c r="F163" s="269">
        <v>0</v>
      </c>
      <c r="G163" s="270">
        <f t="shared" ref="G163:G168" si="8">E163*F163</f>
        <v>0</v>
      </c>
    </row>
    <row r="164" spans="2:8" ht="48" x14ac:dyDescent="0.2">
      <c r="B164" s="129"/>
      <c r="C164" s="197" t="s">
        <v>625</v>
      </c>
      <c r="D164" s="207" t="s">
        <v>123</v>
      </c>
      <c r="E164" s="199">
        <v>1</v>
      </c>
      <c r="F164" s="269">
        <v>0</v>
      </c>
      <c r="G164" s="270">
        <f t="shared" si="8"/>
        <v>0</v>
      </c>
    </row>
    <row r="165" spans="2:8" ht="60" x14ac:dyDescent="0.2">
      <c r="B165" s="129"/>
      <c r="C165" s="197" t="s">
        <v>772</v>
      </c>
      <c r="D165" s="207" t="s">
        <v>123</v>
      </c>
      <c r="E165" s="199">
        <v>1</v>
      </c>
      <c r="F165" s="269">
        <v>0</v>
      </c>
      <c r="G165" s="270">
        <f t="shared" si="8"/>
        <v>0</v>
      </c>
    </row>
    <row r="166" spans="2:8" ht="180" x14ac:dyDescent="0.2">
      <c r="B166" s="153"/>
      <c r="C166" s="311" t="s">
        <v>773</v>
      </c>
      <c r="D166" s="207" t="s">
        <v>123</v>
      </c>
      <c r="E166" s="199">
        <v>1</v>
      </c>
      <c r="F166" s="269">
        <v>0</v>
      </c>
      <c r="G166" s="270">
        <f t="shared" si="8"/>
        <v>0</v>
      </c>
    </row>
    <row r="167" spans="2:8" ht="60" x14ac:dyDescent="0.2">
      <c r="B167" s="153"/>
      <c r="C167" s="311" t="s">
        <v>774</v>
      </c>
      <c r="D167" s="207" t="s">
        <v>98</v>
      </c>
      <c r="E167" s="199">
        <v>1</v>
      </c>
      <c r="F167" s="269">
        <v>0</v>
      </c>
      <c r="G167" s="270">
        <f t="shared" si="8"/>
        <v>0</v>
      </c>
    </row>
    <row r="168" spans="2:8" ht="36" x14ac:dyDescent="0.2">
      <c r="B168" s="129"/>
      <c r="C168" s="197" t="s">
        <v>603</v>
      </c>
      <c r="D168" s="207" t="s">
        <v>123</v>
      </c>
      <c r="E168" s="199">
        <v>1</v>
      </c>
      <c r="F168" s="269">
        <v>0</v>
      </c>
      <c r="G168" s="270">
        <f t="shared" si="8"/>
        <v>0</v>
      </c>
    </row>
    <row r="169" spans="2:8" x14ac:dyDescent="0.2">
      <c r="B169" s="153">
        <v>3</v>
      </c>
      <c r="C169" s="357" t="s">
        <v>775</v>
      </c>
      <c r="D169" s="207"/>
      <c r="E169" s="199"/>
      <c r="F169" s="269"/>
      <c r="G169" s="270"/>
    </row>
    <row r="170" spans="2:8" ht="276" x14ac:dyDescent="0.2">
      <c r="B170" s="153"/>
      <c r="C170" s="311" t="s">
        <v>776</v>
      </c>
      <c r="D170" s="207" t="s">
        <v>98</v>
      </c>
      <c r="E170" s="199">
        <v>1</v>
      </c>
      <c r="F170" s="269">
        <v>0</v>
      </c>
      <c r="G170" s="270">
        <f>E170*F170</f>
        <v>0</v>
      </c>
    </row>
    <row r="171" spans="2:8" ht="72" x14ac:dyDescent="0.2">
      <c r="B171" s="129"/>
      <c r="C171" s="197" t="s">
        <v>777</v>
      </c>
      <c r="D171" s="207" t="s">
        <v>98</v>
      </c>
      <c r="E171" s="199">
        <v>1</v>
      </c>
      <c r="F171" s="269">
        <v>0</v>
      </c>
      <c r="G171" s="270">
        <f>E171*F171</f>
        <v>0</v>
      </c>
    </row>
    <row r="172" spans="2:8" ht="84" x14ac:dyDescent="0.2">
      <c r="B172" s="129"/>
      <c r="C172" s="197" t="s">
        <v>778</v>
      </c>
      <c r="D172" s="207" t="s">
        <v>98</v>
      </c>
      <c r="E172" s="199">
        <v>1</v>
      </c>
      <c r="F172" s="269">
        <v>0</v>
      </c>
      <c r="G172" s="270">
        <f>E172*F172</f>
        <v>0</v>
      </c>
    </row>
    <row r="173" spans="2:8" x14ac:dyDescent="0.2">
      <c r="B173" s="153">
        <v>4</v>
      </c>
      <c r="C173" s="357" t="s">
        <v>779</v>
      </c>
      <c r="D173" s="207"/>
      <c r="E173" s="199"/>
      <c r="F173" s="269"/>
      <c r="G173" s="270"/>
    </row>
    <row r="174" spans="2:8" ht="60" x14ac:dyDescent="0.2">
      <c r="B174" s="129"/>
      <c r="C174" s="197" t="s">
        <v>780</v>
      </c>
      <c r="D174" s="207" t="s">
        <v>98</v>
      </c>
      <c r="E174" s="199">
        <v>3</v>
      </c>
      <c r="F174" s="269">
        <v>0</v>
      </c>
      <c r="G174" s="270">
        <f>E174*F174</f>
        <v>0</v>
      </c>
    </row>
    <row r="175" spans="2:8" ht="60" x14ac:dyDescent="0.2">
      <c r="B175" s="153"/>
      <c r="C175" s="311" t="s">
        <v>781</v>
      </c>
      <c r="D175" s="207" t="s">
        <v>98</v>
      </c>
      <c r="E175" s="199">
        <v>1</v>
      </c>
      <c r="F175" s="269">
        <v>0</v>
      </c>
      <c r="G175" s="270">
        <f>E175*F175</f>
        <v>0</v>
      </c>
    </row>
    <row r="176" spans="2:8" ht="36" x14ac:dyDescent="0.2">
      <c r="B176" s="153"/>
      <c r="C176" s="311" t="s">
        <v>782</v>
      </c>
      <c r="D176" s="207" t="s">
        <v>123</v>
      </c>
      <c r="E176" s="199">
        <v>1</v>
      </c>
      <c r="F176" s="269">
        <v>0</v>
      </c>
      <c r="G176" s="270">
        <f>E176*F176</f>
        <v>0</v>
      </c>
    </row>
    <row r="177" spans="2:7" ht="132" x14ac:dyDescent="0.2">
      <c r="B177" s="153"/>
      <c r="C177" s="311" t="s">
        <v>508</v>
      </c>
      <c r="D177" s="207" t="s">
        <v>123</v>
      </c>
      <c r="E177" s="199">
        <v>1</v>
      </c>
      <c r="F177" s="269">
        <v>0</v>
      </c>
      <c r="G177" s="270">
        <f>E177*F177</f>
        <v>0</v>
      </c>
    </row>
    <row r="178" spans="2:7" ht="96" x14ac:dyDescent="0.2">
      <c r="B178" s="129"/>
      <c r="C178" s="197" t="s">
        <v>783</v>
      </c>
      <c r="D178" s="207" t="s">
        <v>123</v>
      </c>
      <c r="E178" s="199">
        <v>1</v>
      </c>
      <c r="F178" s="269">
        <v>0</v>
      </c>
      <c r="G178" s="270">
        <f>E178*F178</f>
        <v>0</v>
      </c>
    </row>
    <row r="179" spans="2:7" x14ac:dyDescent="0.2">
      <c r="B179" s="153">
        <v>5</v>
      </c>
      <c r="C179" s="357" t="s">
        <v>784</v>
      </c>
      <c r="D179" s="207"/>
      <c r="E179" s="199"/>
      <c r="F179" s="269"/>
      <c r="G179" s="270"/>
    </row>
    <row r="180" spans="2:7" x14ac:dyDescent="0.2">
      <c r="B180" s="153"/>
      <c r="C180" s="311" t="s">
        <v>643</v>
      </c>
      <c r="D180" s="207" t="s">
        <v>644</v>
      </c>
      <c r="E180" s="199">
        <v>30</v>
      </c>
      <c r="F180" s="269">
        <v>0</v>
      </c>
      <c r="G180" s="270">
        <f t="shared" ref="G180:G188" si="9">E180*F180</f>
        <v>0</v>
      </c>
    </row>
    <row r="181" spans="2:7" x14ac:dyDescent="0.2">
      <c r="B181" s="153"/>
      <c r="C181" s="311" t="s">
        <v>645</v>
      </c>
      <c r="D181" s="207" t="s">
        <v>644</v>
      </c>
      <c r="E181" s="199">
        <v>50</v>
      </c>
      <c r="F181" s="269">
        <v>0</v>
      </c>
      <c r="G181" s="270">
        <f t="shared" si="9"/>
        <v>0</v>
      </c>
    </row>
    <row r="182" spans="2:7" x14ac:dyDescent="0.2">
      <c r="B182" s="153"/>
      <c r="C182" s="311" t="s">
        <v>646</v>
      </c>
      <c r="D182" s="207" t="s">
        <v>644</v>
      </c>
      <c r="E182" s="199">
        <v>200</v>
      </c>
      <c r="F182" s="269">
        <v>0</v>
      </c>
      <c r="G182" s="270">
        <f t="shared" si="9"/>
        <v>0</v>
      </c>
    </row>
    <row r="183" spans="2:7" x14ac:dyDescent="0.2">
      <c r="B183" s="153"/>
      <c r="C183" s="311" t="s">
        <v>647</v>
      </c>
      <c r="D183" s="207" t="s">
        <v>644</v>
      </c>
      <c r="E183" s="199">
        <v>100</v>
      </c>
      <c r="F183" s="269">
        <v>0</v>
      </c>
      <c r="G183" s="270">
        <f t="shared" si="9"/>
        <v>0</v>
      </c>
    </row>
    <row r="184" spans="2:7" x14ac:dyDescent="0.2">
      <c r="B184" s="153"/>
      <c r="C184" s="311" t="s">
        <v>648</v>
      </c>
      <c r="D184" s="207" t="s">
        <v>644</v>
      </c>
      <c r="E184" s="199">
        <v>50</v>
      </c>
      <c r="F184" s="269">
        <v>0</v>
      </c>
      <c r="G184" s="270">
        <f t="shared" si="9"/>
        <v>0</v>
      </c>
    </row>
    <row r="185" spans="2:7" x14ac:dyDescent="0.2">
      <c r="B185" s="153"/>
      <c r="C185" s="311" t="s">
        <v>650</v>
      </c>
      <c r="D185" s="207" t="s">
        <v>123</v>
      </c>
      <c r="E185" s="199">
        <v>2</v>
      </c>
      <c r="F185" s="269">
        <v>0</v>
      </c>
      <c r="G185" s="270">
        <f t="shared" si="9"/>
        <v>0</v>
      </c>
    </row>
    <row r="186" spans="2:7" x14ac:dyDescent="0.2">
      <c r="B186" s="153"/>
      <c r="C186" s="311" t="s">
        <v>651</v>
      </c>
      <c r="D186" s="207" t="s">
        <v>644</v>
      </c>
      <c r="E186" s="199">
        <v>70</v>
      </c>
      <c r="F186" s="269">
        <v>0</v>
      </c>
      <c r="G186" s="270">
        <f t="shared" si="9"/>
        <v>0</v>
      </c>
    </row>
    <row r="187" spans="2:7" x14ac:dyDescent="0.2">
      <c r="B187" s="153"/>
      <c r="C187" s="311" t="s">
        <v>652</v>
      </c>
      <c r="D187" s="207" t="s">
        <v>644</v>
      </c>
      <c r="E187" s="199">
        <v>50</v>
      </c>
      <c r="F187" s="269">
        <v>0</v>
      </c>
      <c r="G187" s="270">
        <f t="shared" si="9"/>
        <v>0</v>
      </c>
    </row>
    <row r="188" spans="2:7" x14ac:dyDescent="0.2">
      <c r="B188" s="153"/>
      <c r="C188" s="311" t="s">
        <v>632</v>
      </c>
      <c r="D188" s="207" t="s">
        <v>98</v>
      </c>
      <c r="E188" s="199">
        <v>1</v>
      </c>
      <c r="F188" s="269">
        <v>0</v>
      </c>
      <c r="G188" s="270">
        <f t="shared" si="9"/>
        <v>0</v>
      </c>
    </row>
    <row r="189" spans="2:7" x14ac:dyDescent="0.2">
      <c r="B189" s="153">
        <v>6</v>
      </c>
      <c r="C189" s="357" t="s">
        <v>785</v>
      </c>
      <c r="D189" s="207"/>
      <c r="E189" s="199"/>
      <c r="F189" s="269"/>
      <c r="G189" s="270"/>
    </row>
    <row r="190" spans="2:7" ht="24" x14ac:dyDescent="0.2">
      <c r="B190" s="153"/>
      <c r="C190" s="311" t="s">
        <v>666</v>
      </c>
      <c r="D190" s="207" t="s">
        <v>644</v>
      </c>
      <c r="E190" s="199">
        <v>40</v>
      </c>
      <c r="F190" s="269">
        <v>0</v>
      </c>
      <c r="G190" s="270">
        <f t="shared" ref="G190:G200" si="10">E190*F190</f>
        <v>0</v>
      </c>
    </row>
    <row r="191" spans="2:7" x14ac:dyDescent="0.2">
      <c r="B191" s="153"/>
      <c r="C191" s="311" t="s">
        <v>667</v>
      </c>
      <c r="D191" s="207" t="s">
        <v>644</v>
      </c>
      <c r="E191" s="199">
        <v>100</v>
      </c>
      <c r="F191" s="269">
        <v>0</v>
      </c>
      <c r="G191" s="270">
        <f t="shared" si="10"/>
        <v>0</v>
      </c>
    </row>
    <row r="192" spans="2:7" x14ac:dyDescent="0.2">
      <c r="B192" s="153"/>
      <c r="C192" s="311" t="s">
        <v>668</v>
      </c>
      <c r="D192" s="207" t="s">
        <v>644</v>
      </c>
      <c r="E192" s="199">
        <v>40</v>
      </c>
      <c r="F192" s="269">
        <v>0</v>
      </c>
      <c r="G192" s="270">
        <f t="shared" si="10"/>
        <v>0</v>
      </c>
    </row>
    <row r="193" spans="2:7" x14ac:dyDescent="0.2">
      <c r="B193" s="153"/>
      <c r="C193" s="311" t="s">
        <v>669</v>
      </c>
      <c r="D193" s="207" t="s">
        <v>123</v>
      </c>
      <c r="E193" s="199">
        <v>1</v>
      </c>
      <c r="F193" s="269">
        <v>0</v>
      </c>
      <c r="G193" s="270">
        <f t="shared" si="10"/>
        <v>0</v>
      </c>
    </row>
    <row r="194" spans="2:7" x14ac:dyDescent="0.2">
      <c r="B194" s="153"/>
      <c r="C194" s="311" t="s">
        <v>786</v>
      </c>
      <c r="D194" s="207" t="s">
        <v>123</v>
      </c>
      <c r="E194" s="199">
        <v>1</v>
      </c>
      <c r="F194" s="269">
        <v>0</v>
      </c>
      <c r="G194" s="270">
        <f t="shared" si="10"/>
        <v>0</v>
      </c>
    </row>
    <row r="195" spans="2:7" x14ac:dyDescent="0.2">
      <c r="B195" s="153"/>
      <c r="C195" s="311" t="s">
        <v>672</v>
      </c>
      <c r="D195" s="207" t="s">
        <v>123</v>
      </c>
      <c r="E195" s="199">
        <v>1</v>
      </c>
      <c r="F195" s="269">
        <v>0</v>
      </c>
      <c r="G195" s="270">
        <f t="shared" si="10"/>
        <v>0</v>
      </c>
    </row>
    <row r="196" spans="2:7" ht="24" x14ac:dyDescent="0.2">
      <c r="B196" s="153"/>
      <c r="C196" s="311" t="s">
        <v>673</v>
      </c>
      <c r="D196" s="207" t="s">
        <v>123</v>
      </c>
      <c r="E196" s="199">
        <v>4</v>
      </c>
      <c r="F196" s="269">
        <v>0</v>
      </c>
      <c r="G196" s="270">
        <f t="shared" si="10"/>
        <v>0</v>
      </c>
    </row>
    <row r="197" spans="2:7" x14ac:dyDescent="0.2">
      <c r="B197" s="153"/>
      <c r="C197" s="311" t="s">
        <v>787</v>
      </c>
      <c r="D197" s="207" t="s">
        <v>123</v>
      </c>
      <c r="E197" s="199">
        <v>1</v>
      </c>
      <c r="F197" s="269">
        <v>0</v>
      </c>
      <c r="G197" s="270">
        <f t="shared" si="10"/>
        <v>0</v>
      </c>
    </row>
    <row r="198" spans="2:7" x14ac:dyDescent="0.2">
      <c r="B198" s="153"/>
      <c r="C198" s="311" t="s">
        <v>675</v>
      </c>
      <c r="D198" s="207" t="s">
        <v>123</v>
      </c>
      <c r="E198" s="199">
        <v>3</v>
      </c>
      <c r="F198" s="269">
        <v>0</v>
      </c>
      <c r="G198" s="270">
        <f t="shared" si="10"/>
        <v>0</v>
      </c>
    </row>
    <row r="199" spans="2:7" x14ac:dyDescent="0.2">
      <c r="B199" s="153"/>
      <c r="C199" s="311" t="s">
        <v>676</v>
      </c>
      <c r="D199" s="207" t="s">
        <v>123</v>
      </c>
      <c r="E199" s="199">
        <v>2</v>
      </c>
      <c r="F199" s="269">
        <v>0</v>
      </c>
      <c r="G199" s="270">
        <f t="shared" si="10"/>
        <v>0</v>
      </c>
    </row>
    <row r="200" spans="2:7" ht="24" x14ac:dyDescent="0.2">
      <c r="B200" s="153"/>
      <c r="C200" s="311" t="s">
        <v>677</v>
      </c>
      <c r="D200" s="207" t="s">
        <v>123</v>
      </c>
      <c r="E200" s="199">
        <v>1</v>
      </c>
      <c r="F200" s="269">
        <v>0</v>
      </c>
      <c r="G200" s="270">
        <f t="shared" si="10"/>
        <v>0</v>
      </c>
    </row>
    <row r="201" spans="2:7" x14ac:dyDescent="0.2">
      <c r="B201" s="153">
        <v>7</v>
      </c>
      <c r="C201" s="357" t="s">
        <v>788</v>
      </c>
      <c r="D201" s="207"/>
      <c r="E201" s="199"/>
      <c r="F201" s="269"/>
      <c r="G201" s="270"/>
    </row>
    <row r="202" spans="2:7" x14ac:dyDescent="0.2">
      <c r="B202" s="129"/>
      <c r="C202" s="197" t="s">
        <v>655</v>
      </c>
      <c r="D202" s="207" t="s">
        <v>644</v>
      </c>
      <c r="E202" s="199">
        <v>60</v>
      </c>
      <c r="F202" s="269">
        <v>0</v>
      </c>
      <c r="G202" s="270">
        <f t="shared" ref="G202:G208" si="11">E202*F202</f>
        <v>0</v>
      </c>
    </row>
    <row r="203" spans="2:7" ht="36" x14ac:dyDescent="0.2">
      <c r="B203" s="129"/>
      <c r="C203" s="197" t="s">
        <v>656</v>
      </c>
      <c r="D203" s="207" t="s">
        <v>98</v>
      </c>
      <c r="E203" s="199">
        <v>2</v>
      </c>
      <c r="F203" s="269">
        <v>0</v>
      </c>
      <c r="G203" s="270">
        <f t="shared" si="11"/>
        <v>0</v>
      </c>
    </row>
    <row r="204" spans="2:7" ht="24" x14ac:dyDescent="0.2">
      <c r="B204" s="129"/>
      <c r="C204" s="197" t="s">
        <v>657</v>
      </c>
      <c r="D204" s="207" t="s">
        <v>98</v>
      </c>
      <c r="E204" s="199">
        <v>1</v>
      </c>
      <c r="F204" s="269">
        <v>0</v>
      </c>
      <c r="G204" s="270">
        <f t="shared" si="11"/>
        <v>0</v>
      </c>
    </row>
    <row r="205" spans="2:7" x14ac:dyDescent="0.2">
      <c r="B205" s="129"/>
      <c r="C205" s="197" t="s">
        <v>658</v>
      </c>
      <c r="D205" s="207" t="s">
        <v>644</v>
      </c>
      <c r="E205" s="199">
        <v>160</v>
      </c>
      <c r="F205" s="269">
        <v>0</v>
      </c>
      <c r="G205" s="270">
        <f t="shared" si="11"/>
        <v>0</v>
      </c>
    </row>
    <row r="206" spans="2:7" x14ac:dyDescent="0.2">
      <c r="B206" s="129"/>
      <c r="C206" s="197" t="s">
        <v>660</v>
      </c>
      <c r="D206" s="207" t="s">
        <v>123</v>
      </c>
      <c r="E206" s="199">
        <v>15</v>
      </c>
      <c r="F206" s="269">
        <v>0</v>
      </c>
      <c r="G206" s="270">
        <f t="shared" si="11"/>
        <v>0</v>
      </c>
    </row>
    <row r="207" spans="2:7" x14ac:dyDescent="0.2">
      <c r="B207" s="129"/>
      <c r="C207" s="197" t="s">
        <v>661</v>
      </c>
      <c r="D207" s="207" t="s">
        <v>98</v>
      </c>
      <c r="E207" s="199">
        <v>15</v>
      </c>
      <c r="F207" s="269">
        <v>0</v>
      </c>
      <c r="G207" s="270">
        <f t="shared" si="11"/>
        <v>0</v>
      </c>
    </row>
    <row r="208" spans="2:7" x14ac:dyDescent="0.2">
      <c r="B208" s="129"/>
      <c r="C208" s="197" t="s">
        <v>663</v>
      </c>
      <c r="D208" s="207" t="s">
        <v>98</v>
      </c>
      <c r="E208" s="199">
        <v>1</v>
      </c>
      <c r="F208" s="269">
        <v>0</v>
      </c>
      <c r="G208" s="270">
        <f t="shared" si="11"/>
        <v>0</v>
      </c>
    </row>
    <row r="209" spans="2:7" x14ac:dyDescent="0.2">
      <c r="B209" s="153">
        <v>8</v>
      </c>
      <c r="C209" s="357" t="s">
        <v>679</v>
      </c>
      <c r="D209" s="207"/>
      <c r="E209" s="199"/>
      <c r="F209" s="269"/>
      <c r="G209" s="270"/>
    </row>
    <row r="210" spans="2:7" x14ac:dyDescent="0.2">
      <c r="B210" s="153"/>
      <c r="C210" s="311" t="s">
        <v>680</v>
      </c>
      <c r="D210" s="207" t="s">
        <v>98</v>
      </c>
      <c r="E210" s="199">
        <v>16</v>
      </c>
      <c r="F210" s="269">
        <v>0</v>
      </c>
      <c r="G210" s="270">
        <f>E210*F210</f>
        <v>0</v>
      </c>
    </row>
    <row r="211" spans="2:7" ht="48" x14ac:dyDescent="0.2">
      <c r="B211" s="153"/>
      <c r="C211" s="311" t="s">
        <v>789</v>
      </c>
      <c r="D211" s="207" t="s">
        <v>98</v>
      </c>
      <c r="E211" s="199">
        <v>1</v>
      </c>
      <c r="F211" s="269">
        <v>0</v>
      </c>
      <c r="G211" s="270">
        <f>E211*F211</f>
        <v>0</v>
      </c>
    </row>
    <row r="212" spans="2:7" ht="36" x14ac:dyDescent="0.2">
      <c r="B212" s="129"/>
      <c r="C212" s="197" t="s">
        <v>790</v>
      </c>
      <c r="D212" s="207" t="s">
        <v>98</v>
      </c>
      <c r="E212" s="199">
        <v>1</v>
      </c>
      <c r="F212" s="269">
        <v>0</v>
      </c>
      <c r="G212" s="270">
        <f>E212*F212</f>
        <v>0</v>
      </c>
    </row>
    <row r="213" spans="2:7" ht="36" x14ac:dyDescent="0.2">
      <c r="B213" s="153"/>
      <c r="C213" s="311" t="s">
        <v>791</v>
      </c>
      <c r="D213" s="207" t="s">
        <v>98</v>
      </c>
      <c r="E213" s="199">
        <v>1</v>
      </c>
      <c r="F213" s="269">
        <v>0</v>
      </c>
      <c r="G213" s="270">
        <f>E213*F213</f>
        <v>0</v>
      </c>
    </row>
    <row r="214" spans="2:7" ht="36" x14ac:dyDescent="0.2">
      <c r="B214" s="153"/>
      <c r="C214" s="311" t="s">
        <v>792</v>
      </c>
      <c r="D214" s="207" t="s">
        <v>98</v>
      </c>
      <c r="E214" s="199">
        <v>1</v>
      </c>
      <c r="F214" s="269">
        <v>0</v>
      </c>
      <c r="G214" s="270">
        <f>E214*F214</f>
        <v>0</v>
      </c>
    </row>
    <row r="215" spans="2:7" x14ac:dyDescent="0.2">
      <c r="B215" s="153">
        <v>9</v>
      </c>
      <c r="C215" s="357" t="s">
        <v>793</v>
      </c>
      <c r="D215" s="207"/>
      <c r="E215" s="199"/>
      <c r="F215" s="269"/>
      <c r="G215" s="270"/>
    </row>
    <row r="216" spans="2:7" ht="120" x14ac:dyDescent="0.2">
      <c r="B216" s="101"/>
      <c r="C216" s="100" t="s">
        <v>690</v>
      </c>
      <c r="D216" s="207" t="s">
        <v>98</v>
      </c>
      <c r="E216" s="199">
        <v>1</v>
      </c>
      <c r="F216" s="269">
        <v>0</v>
      </c>
      <c r="G216" s="270">
        <f t="shared" ref="G216:G225" si="12">E216*F216</f>
        <v>0</v>
      </c>
    </row>
    <row r="217" spans="2:7" x14ac:dyDescent="0.2">
      <c r="B217" s="153"/>
      <c r="C217" s="99" t="s">
        <v>691</v>
      </c>
      <c r="D217" s="207" t="s">
        <v>644</v>
      </c>
      <c r="E217" s="199">
        <v>180</v>
      </c>
      <c r="F217" s="269">
        <v>0</v>
      </c>
      <c r="G217" s="270">
        <f t="shared" si="12"/>
        <v>0</v>
      </c>
    </row>
    <row r="218" spans="2:7" ht="84" x14ac:dyDescent="0.2">
      <c r="B218" s="153"/>
      <c r="C218" s="98" t="s">
        <v>693</v>
      </c>
      <c r="D218" s="207" t="s">
        <v>644</v>
      </c>
      <c r="E218" s="199">
        <v>150</v>
      </c>
      <c r="F218" s="269">
        <v>0</v>
      </c>
      <c r="G218" s="270">
        <f t="shared" si="12"/>
        <v>0</v>
      </c>
    </row>
    <row r="219" spans="2:7" ht="36" x14ac:dyDescent="0.2">
      <c r="B219" s="153"/>
      <c r="C219" s="97" t="s">
        <v>694</v>
      </c>
      <c r="D219" s="207" t="s">
        <v>98</v>
      </c>
      <c r="E219" s="199">
        <v>1</v>
      </c>
      <c r="F219" s="269">
        <v>0</v>
      </c>
      <c r="G219" s="270">
        <f t="shared" si="12"/>
        <v>0</v>
      </c>
    </row>
    <row r="220" spans="2:7" ht="24" x14ac:dyDescent="0.2">
      <c r="B220" s="153"/>
      <c r="C220" s="97" t="s">
        <v>692</v>
      </c>
      <c r="D220" s="207" t="s">
        <v>98</v>
      </c>
      <c r="E220" s="199">
        <v>1</v>
      </c>
      <c r="F220" s="269">
        <v>0</v>
      </c>
      <c r="G220" s="270">
        <f t="shared" si="12"/>
        <v>0</v>
      </c>
    </row>
    <row r="221" spans="2:7" ht="24" x14ac:dyDescent="0.2">
      <c r="B221" s="153"/>
      <c r="C221" s="97" t="s">
        <v>695</v>
      </c>
      <c r="D221" s="207" t="s">
        <v>98</v>
      </c>
      <c r="E221" s="199">
        <v>1</v>
      </c>
      <c r="F221" s="269">
        <v>0</v>
      </c>
      <c r="G221" s="270">
        <f t="shared" si="12"/>
        <v>0</v>
      </c>
    </row>
    <row r="222" spans="2:7" x14ac:dyDescent="0.2">
      <c r="B222" s="153"/>
      <c r="C222" s="97" t="s">
        <v>696</v>
      </c>
      <c r="D222" s="207" t="s">
        <v>644</v>
      </c>
      <c r="E222" s="199">
        <v>60</v>
      </c>
      <c r="F222" s="269">
        <v>0</v>
      </c>
      <c r="G222" s="270">
        <f t="shared" si="12"/>
        <v>0</v>
      </c>
    </row>
    <row r="223" spans="2:7" x14ac:dyDescent="0.2">
      <c r="B223" s="153"/>
      <c r="C223" s="97" t="s">
        <v>697</v>
      </c>
      <c r="D223" s="207" t="s">
        <v>98</v>
      </c>
      <c r="E223" s="199">
        <v>1</v>
      </c>
      <c r="F223" s="269">
        <v>0</v>
      </c>
      <c r="G223" s="270">
        <f t="shared" si="12"/>
        <v>0</v>
      </c>
    </row>
    <row r="224" spans="2:7" x14ac:dyDescent="0.2">
      <c r="B224" s="153"/>
      <c r="C224" s="97" t="s">
        <v>698</v>
      </c>
      <c r="D224" s="207" t="s">
        <v>98</v>
      </c>
      <c r="E224" s="199">
        <v>1</v>
      </c>
      <c r="F224" s="269">
        <v>0</v>
      </c>
      <c r="G224" s="270">
        <f t="shared" si="12"/>
        <v>0</v>
      </c>
    </row>
    <row r="225" spans="2:7" x14ac:dyDescent="0.2">
      <c r="B225" s="153"/>
      <c r="C225" s="97" t="s">
        <v>699</v>
      </c>
      <c r="D225" s="207" t="s">
        <v>98</v>
      </c>
      <c r="E225" s="199">
        <v>1</v>
      </c>
      <c r="F225" s="269">
        <v>0</v>
      </c>
      <c r="G225" s="270">
        <f t="shared" si="12"/>
        <v>0</v>
      </c>
    </row>
    <row r="226" spans="2:7" x14ac:dyDescent="0.2">
      <c r="B226" s="293" t="s">
        <v>18</v>
      </c>
      <c r="C226" s="294" t="s">
        <v>794</v>
      </c>
      <c r="D226" s="218"/>
      <c r="E226" s="203"/>
      <c r="F226" s="204"/>
      <c r="G226" s="290">
        <f>SUM(G134:G225)</f>
        <v>0</v>
      </c>
    </row>
  </sheetData>
  <mergeCells count="12">
    <mergeCell ref="B65:G65"/>
    <mergeCell ref="C6:G6"/>
    <mergeCell ref="B42:G42"/>
    <mergeCell ref="B130:G130"/>
    <mergeCell ref="B131:G131"/>
    <mergeCell ref="B132:G132"/>
    <mergeCell ref="B66:G66"/>
    <mergeCell ref="B67:G67"/>
    <mergeCell ref="B126:G126"/>
    <mergeCell ref="B127:G127"/>
    <mergeCell ref="B128:G128"/>
    <mergeCell ref="B129:G129"/>
  </mergeCells>
  <pageMargins left="0.7" right="0.7" top="0.75" bottom="0.75" header="0.3" footer="0.3"/>
  <pageSetup paperSize="9" scale="85" orientation="portrait" horizontalDpi="4294967295" verticalDpi="4294967295" r:id="rId1"/>
  <headerFooter alignWithMargins="0">
    <oddFooter>&amp;C&amp;8&amp;P/&amp;N</oddFooter>
  </headerFooter>
  <rowBreaks count="2" manualBreakCount="2">
    <brk id="18" max="16383" man="1"/>
    <brk id="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6E1F-A2EA-4130-8C10-AED96A9C9405}">
  <sheetPr codeName="Sheet4">
    <tabColor rgb="FFFFFF00"/>
  </sheetPr>
  <dimension ref="A2:I182"/>
  <sheetViews>
    <sheetView showZeros="0" topLeftCell="A123" zoomScale="110" zoomScaleNormal="110" workbookViewId="0">
      <selection activeCell="B135" sqref="B135:G135"/>
    </sheetView>
  </sheetViews>
  <sheetFormatPr defaultColWidth="10.42578125" defaultRowHeight="12.75" x14ac:dyDescent="0.2"/>
  <cols>
    <col min="1" max="1" width="4.42578125" style="1" customWidth="1"/>
    <col min="2" max="2" width="7.42578125" style="8" customWidth="1"/>
    <col min="3" max="3" width="51.85546875" style="7" customWidth="1"/>
    <col min="4" max="4" width="10.42578125" style="6" customWidth="1"/>
    <col min="5" max="5" width="9.28515625" style="5" customWidth="1"/>
    <col min="6" max="6" width="12.140625" style="4" customWidth="1"/>
    <col min="7" max="7" width="13.85546875" style="3" customWidth="1"/>
    <col min="8" max="8" width="16" style="2"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9" ht="24.75" customHeight="1" x14ac:dyDescent="0.2">
      <c r="A2" s="121"/>
      <c r="B2" s="137"/>
      <c r="C2" s="354" t="s">
        <v>59</v>
      </c>
      <c r="D2" s="155"/>
      <c r="E2" s="156"/>
      <c r="F2" s="157"/>
      <c r="G2" s="355" t="s">
        <v>60</v>
      </c>
      <c r="H2" s="122"/>
      <c r="I2" s="121"/>
    </row>
    <row r="4" spans="1:9" s="25" customFormat="1" ht="15" x14ac:dyDescent="0.25">
      <c r="A4" s="119"/>
      <c r="B4" s="146" t="s">
        <v>7</v>
      </c>
      <c r="C4" s="330" t="s">
        <v>869</v>
      </c>
      <c r="D4" s="158"/>
      <c r="E4" s="159"/>
      <c r="F4" s="160"/>
      <c r="G4" s="161"/>
      <c r="H4" s="26"/>
      <c r="I4" s="119"/>
    </row>
    <row r="5" spans="1:9" s="25" customFormat="1" ht="12" customHeight="1" x14ac:dyDescent="0.25">
      <c r="A5" s="119"/>
      <c r="B5" s="145"/>
      <c r="C5" s="162"/>
      <c r="D5" s="163"/>
      <c r="E5" s="164"/>
      <c r="F5" s="165"/>
      <c r="G5" s="166"/>
      <c r="H5" s="26"/>
      <c r="I5" s="119"/>
    </row>
    <row r="6" spans="1:9" s="23" customFormat="1" ht="21" customHeight="1" x14ac:dyDescent="0.2">
      <c r="A6" s="125"/>
      <c r="B6" s="328" t="s">
        <v>80</v>
      </c>
      <c r="C6" s="329" t="s">
        <v>2521</v>
      </c>
      <c r="D6" s="158"/>
      <c r="E6" s="159"/>
      <c r="F6" s="160"/>
      <c r="G6" s="161"/>
      <c r="H6" s="123"/>
      <c r="I6" s="124"/>
    </row>
    <row r="7" spans="1:9" s="23" customFormat="1" ht="14.25" x14ac:dyDescent="0.2">
      <c r="A7" s="125"/>
      <c r="B7" s="145"/>
      <c r="C7" s="162"/>
      <c r="D7" s="163"/>
      <c r="E7" s="164"/>
      <c r="F7" s="165"/>
      <c r="G7" s="167"/>
      <c r="H7" s="123"/>
      <c r="I7" s="124"/>
    </row>
    <row r="8" spans="1:9" s="24" customFormat="1" ht="18" customHeight="1" x14ac:dyDescent="0.2">
      <c r="A8" s="140"/>
      <c r="B8" s="143" t="s">
        <v>1</v>
      </c>
      <c r="C8" s="168"/>
      <c r="D8" s="170"/>
      <c r="E8" s="170"/>
      <c r="F8" s="170"/>
      <c r="G8" s="169"/>
      <c r="H8" s="139"/>
      <c r="I8" s="139"/>
    </row>
    <row r="9" spans="1:9" s="24" customFormat="1" ht="18" customHeight="1" x14ac:dyDescent="0.25">
      <c r="A9" s="141"/>
      <c r="B9" s="144" t="s">
        <v>2</v>
      </c>
      <c r="C9" s="171"/>
      <c r="D9" s="172"/>
      <c r="E9" s="173"/>
      <c r="F9" s="173"/>
      <c r="G9" s="172"/>
      <c r="H9" s="139"/>
      <c r="I9" s="139"/>
    </row>
    <row r="10" spans="1:9" s="24" customFormat="1" ht="18" customHeight="1" x14ac:dyDescent="0.2">
      <c r="A10" s="140"/>
      <c r="B10" s="143" t="s">
        <v>3</v>
      </c>
      <c r="C10" s="168"/>
      <c r="D10" s="170"/>
      <c r="E10" s="170"/>
      <c r="F10" s="170"/>
      <c r="G10" s="169"/>
      <c r="H10" s="139"/>
      <c r="I10" s="139"/>
    </row>
    <row r="11" spans="1:9" s="24" customFormat="1" ht="18" customHeight="1" x14ac:dyDescent="0.25">
      <c r="A11" s="141"/>
      <c r="B11" s="144" t="s">
        <v>4</v>
      </c>
      <c r="C11" s="171"/>
      <c r="D11" s="173"/>
      <c r="E11" s="173"/>
      <c r="F11" s="173"/>
      <c r="G11" s="172"/>
      <c r="H11" s="139"/>
      <c r="I11" s="139"/>
    </row>
    <row r="12" spans="1:9" s="23" customFormat="1" ht="14.25" x14ac:dyDescent="0.2">
      <c r="A12" s="125"/>
      <c r="B12" s="142"/>
      <c r="C12" s="174"/>
      <c r="D12" s="175"/>
      <c r="E12" s="176"/>
      <c r="F12" s="177"/>
      <c r="G12" s="178"/>
      <c r="H12" s="123"/>
      <c r="I12" s="124"/>
    </row>
    <row r="13" spans="1:9" s="23" customFormat="1" ht="18.75" customHeight="1" x14ac:dyDescent="0.2">
      <c r="A13" s="125"/>
      <c r="B13" s="138"/>
      <c r="C13" s="334" t="s">
        <v>82</v>
      </c>
      <c r="D13" s="179"/>
      <c r="E13" s="180"/>
      <c r="F13" s="181"/>
      <c r="G13" s="182"/>
      <c r="H13" s="123"/>
      <c r="I13" s="124"/>
    </row>
    <row r="14" spans="1:9" s="21" customFormat="1" ht="18.75" customHeight="1" x14ac:dyDescent="0.2">
      <c r="A14" s="126"/>
      <c r="B14" s="315" t="s">
        <v>83</v>
      </c>
      <c r="C14" s="335" t="s">
        <v>84</v>
      </c>
      <c r="D14" s="336"/>
      <c r="E14" s="337"/>
      <c r="F14" s="338"/>
      <c r="G14" s="339" t="s">
        <v>64</v>
      </c>
      <c r="H14" s="22"/>
      <c r="I14" s="126"/>
    </row>
    <row r="15" spans="1:9" s="17" customFormat="1" ht="18.75" customHeight="1" x14ac:dyDescent="0.25">
      <c r="A15" s="331"/>
      <c r="B15" s="332" t="s">
        <v>10</v>
      </c>
      <c r="C15" s="340" t="s">
        <v>85</v>
      </c>
      <c r="D15" s="341"/>
      <c r="E15" s="342"/>
      <c r="F15" s="343"/>
      <c r="G15" s="20">
        <f>G29</f>
        <v>0</v>
      </c>
      <c r="H15" s="18"/>
      <c r="I15" s="331"/>
    </row>
    <row r="16" spans="1:9" s="17" customFormat="1" ht="18.75" customHeight="1" x14ac:dyDescent="0.25">
      <c r="A16" s="331"/>
      <c r="B16" s="332" t="s">
        <v>12</v>
      </c>
      <c r="C16" s="340" t="s">
        <v>86</v>
      </c>
      <c r="D16" s="341"/>
      <c r="E16" s="342"/>
      <c r="F16" s="343"/>
      <c r="G16" s="20">
        <f>G56</f>
        <v>0</v>
      </c>
      <c r="H16" s="18"/>
      <c r="I16" s="331"/>
    </row>
    <row r="17" spans="2:8" s="17" customFormat="1" ht="18.75" customHeight="1" x14ac:dyDescent="0.25">
      <c r="B17" s="332" t="s">
        <v>17</v>
      </c>
      <c r="C17" s="340" t="s">
        <v>87</v>
      </c>
      <c r="D17" s="341"/>
      <c r="E17" s="342"/>
      <c r="F17" s="343"/>
      <c r="G17" s="20">
        <f>G127</f>
        <v>0</v>
      </c>
      <c r="H17" s="18"/>
    </row>
    <row r="18" spans="2:8" s="331" customFormat="1" ht="18.75" customHeight="1" x14ac:dyDescent="0.25">
      <c r="B18" s="332" t="s">
        <v>18</v>
      </c>
      <c r="C18" s="340" t="s">
        <v>367</v>
      </c>
      <c r="D18" s="341"/>
      <c r="E18" s="342"/>
      <c r="F18" s="58"/>
      <c r="G18" s="20">
        <f>+G182</f>
        <v>0</v>
      </c>
      <c r="H18" s="18"/>
    </row>
    <row r="19" spans="2:8" s="17" customFormat="1" ht="18.75" customHeight="1" x14ac:dyDescent="0.25">
      <c r="B19" s="333"/>
      <c r="C19" s="344" t="s">
        <v>88</v>
      </c>
      <c r="D19" s="345"/>
      <c r="E19" s="346"/>
      <c r="F19" s="347"/>
      <c r="G19" s="19">
        <f>SUM(G15:G18)</f>
        <v>0</v>
      </c>
      <c r="H19" s="18"/>
    </row>
    <row r="20" spans="2:8" x14ac:dyDescent="0.2">
      <c r="B20" s="127"/>
      <c r="C20" s="183"/>
      <c r="D20" s="184"/>
      <c r="E20" s="185"/>
      <c r="F20" s="186"/>
      <c r="G20" s="187"/>
      <c r="H20" s="122"/>
    </row>
    <row r="22" spans="2:8" ht="24" x14ac:dyDescent="0.2">
      <c r="B22" s="128" t="s">
        <v>83</v>
      </c>
      <c r="C22" s="192" t="s">
        <v>89</v>
      </c>
      <c r="D22" s="193" t="s">
        <v>90</v>
      </c>
      <c r="E22" s="194" t="s">
        <v>91</v>
      </c>
      <c r="F22" s="195" t="s">
        <v>92</v>
      </c>
      <c r="G22" s="196" t="s">
        <v>93</v>
      </c>
      <c r="H22" s="122"/>
    </row>
    <row r="23" spans="2:8" x14ac:dyDescent="0.2">
      <c r="B23" s="129"/>
      <c r="C23" s="197"/>
      <c r="D23" s="198"/>
      <c r="E23" s="199"/>
      <c r="F23" s="200"/>
      <c r="G23" s="201"/>
      <c r="H23" s="122"/>
    </row>
    <row r="24" spans="2:8" s="16" customFormat="1" ht="20.25" x14ac:dyDescent="0.3">
      <c r="B24" s="303" t="s">
        <v>10</v>
      </c>
      <c r="C24" s="306" t="s">
        <v>85</v>
      </c>
      <c r="D24" s="305"/>
      <c r="E24" s="299"/>
      <c r="F24" s="300"/>
      <c r="G24" s="301"/>
      <c r="H24" s="302"/>
    </row>
    <row r="25" spans="2:8" ht="116.25" customHeight="1" x14ac:dyDescent="0.2">
      <c r="B25" s="129">
        <v>1</v>
      </c>
      <c r="C25" s="208" t="s">
        <v>99</v>
      </c>
      <c r="D25" s="209" t="s">
        <v>98</v>
      </c>
      <c r="E25" s="199">
        <v>1</v>
      </c>
      <c r="F25" s="44">
        <v>0</v>
      </c>
      <c r="G25" s="270">
        <f>E25*F25</f>
        <v>0</v>
      </c>
      <c r="H25" s="122"/>
    </row>
    <row r="26" spans="2:8" ht="30.75" customHeight="1" x14ac:dyDescent="0.2">
      <c r="B26" s="129">
        <v>2</v>
      </c>
      <c r="C26" s="3165" t="s">
        <v>2592</v>
      </c>
      <c r="D26" s="210" t="s">
        <v>149</v>
      </c>
      <c r="E26" s="199">
        <v>1</v>
      </c>
      <c r="F26" s="44">
        <v>0</v>
      </c>
      <c r="G26" s="270">
        <f>E26*F26</f>
        <v>0</v>
      </c>
      <c r="H26" s="122"/>
    </row>
    <row r="27" spans="2:8" ht="26.25" customHeight="1" x14ac:dyDescent="0.2">
      <c r="B27" s="129">
        <v>3</v>
      </c>
      <c r="C27" s="3165" t="s">
        <v>2591</v>
      </c>
      <c r="D27" s="210" t="s">
        <v>98</v>
      </c>
      <c r="E27" s="199">
        <v>1</v>
      </c>
      <c r="F27" s="44">
        <v>0</v>
      </c>
      <c r="G27" s="270">
        <f>E27*F27</f>
        <v>0</v>
      </c>
      <c r="H27" s="122"/>
    </row>
    <row r="28" spans="2:8" ht="38.25" customHeight="1" x14ac:dyDescent="0.2">
      <c r="B28" s="129">
        <v>4</v>
      </c>
      <c r="C28" s="212" t="s">
        <v>106</v>
      </c>
      <c r="D28" s="210" t="s">
        <v>98</v>
      </c>
      <c r="E28" s="213">
        <v>1</v>
      </c>
      <c r="F28" s="44">
        <v>0</v>
      </c>
      <c r="G28" s="270">
        <f>E28*F28</f>
        <v>0</v>
      </c>
      <c r="H28" s="122"/>
    </row>
    <row r="29" spans="2:8" s="9" customFormat="1" ht="23.25" customHeight="1" x14ac:dyDescent="0.25">
      <c r="B29" s="327" t="s">
        <v>10</v>
      </c>
      <c r="C29" s="214" t="s">
        <v>108</v>
      </c>
      <c r="D29" s="214"/>
      <c r="E29" s="215"/>
      <c r="F29" s="216"/>
      <c r="G29" s="290">
        <f>SUM(G25:G28)</f>
        <v>0</v>
      </c>
      <c r="H29" s="150"/>
    </row>
    <row r="30" spans="2:8" x14ac:dyDescent="0.2">
      <c r="B30" s="129"/>
      <c r="C30" s="197"/>
      <c r="D30" s="198"/>
      <c r="E30" s="199"/>
      <c r="F30" s="200"/>
      <c r="G30" s="201"/>
      <c r="H30" s="122"/>
    </row>
    <row r="31" spans="2:8" ht="24" x14ac:dyDescent="0.2">
      <c r="B31" s="128" t="s">
        <v>83</v>
      </c>
      <c r="C31" s="192" t="s">
        <v>89</v>
      </c>
      <c r="D31" s="193" t="s">
        <v>90</v>
      </c>
      <c r="E31" s="194" t="s">
        <v>91</v>
      </c>
      <c r="F31" s="195" t="s">
        <v>92</v>
      </c>
      <c r="G31" s="196" t="s">
        <v>93</v>
      </c>
      <c r="H31" s="122"/>
    </row>
    <row r="32" spans="2:8" x14ac:dyDescent="0.2">
      <c r="B32" s="129"/>
      <c r="C32" s="217"/>
      <c r="D32" s="207"/>
      <c r="E32" s="199"/>
      <c r="F32" s="200"/>
      <c r="G32" s="201"/>
      <c r="H32" s="122"/>
    </row>
    <row r="33" spans="2:9" s="16" customFormat="1" ht="20.25" x14ac:dyDescent="0.3">
      <c r="B33" s="303" t="s">
        <v>12</v>
      </c>
      <c r="C33" s="304" t="s">
        <v>109</v>
      </c>
      <c r="D33" s="298"/>
      <c r="E33" s="299"/>
      <c r="F33" s="300"/>
      <c r="G33" s="301"/>
      <c r="H33" s="302"/>
      <c r="I33" s="295"/>
    </row>
    <row r="34" spans="2:9" s="43" customFormat="1" ht="71.25" customHeight="1" x14ac:dyDescent="0.2">
      <c r="B34" s="3184" t="s">
        <v>110</v>
      </c>
      <c r="C34" s="3185"/>
      <c r="D34" s="3185"/>
      <c r="E34" s="3185"/>
      <c r="F34" s="3185"/>
      <c r="G34" s="3186"/>
      <c r="H34" s="122"/>
      <c r="I34" s="130"/>
    </row>
    <row r="35" spans="2:9" ht="40.5" customHeight="1" x14ac:dyDescent="0.2">
      <c r="B35" s="131">
        <v>1</v>
      </c>
      <c r="C35" s="206" t="s">
        <v>892</v>
      </c>
      <c r="D35" s="10" t="s">
        <v>117</v>
      </c>
      <c r="E35" s="199">
        <v>162</v>
      </c>
      <c r="F35" s="44">
        <v>0</v>
      </c>
      <c r="G35" s="270">
        <f t="shared" ref="G35:G42" si="0">E35*F35</f>
        <v>0</v>
      </c>
      <c r="H35" s="1714"/>
      <c r="I35" s="121"/>
    </row>
    <row r="36" spans="2:9" ht="27.75" customHeight="1" x14ac:dyDescent="0.2">
      <c r="B36" s="131">
        <v>2</v>
      </c>
      <c r="C36" s="206" t="s">
        <v>893</v>
      </c>
      <c r="D36" s="207" t="s">
        <v>117</v>
      </c>
      <c r="E36" s="199">
        <v>120</v>
      </c>
      <c r="F36" s="44">
        <v>0</v>
      </c>
      <c r="G36" s="270">
        <f t="shared" si="0"/>
        <v>0</v>
      </c>
      <c r="H36" s="1714"/>
      <c r="I36" s="121"/>
    </row>
    <row r="37" spans="2:9" ht="36" x14ac:dyDescent="0.2">
      <c r="B37" s="131">
        <v>3</v>
      </c>
      <c r="C37" s="206" t="s">
        <v>2571</v>
      </c>
      <c r="D37" s="10" t="s">
        <v>117</v>
      </c>
      <c r="E37" s="199">
        <v>120</v>
      </c>
      <c r="F37" s="44">
        <v>0</v>
      </c>
      <c r="G37" s="270">
        <f t="shared" si="0"/>
        <v>0</v>
      </c>
      <c r="H37" s="1714"/>
      <c r="I37" s="134"/>
    </row>
    <row r="38" spans="2:9" ht="27.75" customHeight="1" x14ac:dyDescent="0.2">
      <c r="B38" s="131">
        <v>4</v>
      </c>
      <c r="C38" s="206" t="s">
        <v>2570</v>
      </c>
      <c r="D38" s="10" t="s">
        <v>117</v>
      </c>
      <c r="E38" s="199">
        <v>70</v>
      </c>
      <c r="F38" s="44">
        <v>0</v>
      </c>
      <c r="G38" s="270">
        <f t="shared" si="0"/>
        <v>0</v>
      </c>
      <c r="H38" s="1714"/>
      <c r="I38" s="121"/>
    </row>
    <row r="39" spans="2:9" ht="29.25" customHeight="1" x14ac:dyDescent="0.2">
      <c r="B39" s="131">
        <v>5</v>
      </c>
      <c r="C39" s="206" t="s">
        <v>1830</v>
      </c>
      <c r="D39" s="219" t="s">
        <v>149</v>
      </c>
      <c r="E39" s="220">
        <v>8</v>
      </c>
      <c r="F39" s="44">
        <v>0</v>
      </c>
      <c r="G39" s="270">
        <f t="shared" si="0"/>
        <v>0</v>
      </c>
      <c r="H39" s="1714"/>
      <c r="I39" s="121"/>
    </row>
    <row r="40" spans="2:9" ht="29.25" customHeight="1" x14ac:dyDescent="0.2">
      <c r="B40" s="131">
        <v>6</v>
      </c>
      <c r="C40" s="206" t="s">
        <v>2566</v>
      </c>
      <c r="D40" s="209" t="s">
        <v>117</v>
      </c>
      <c r="E40" s="199">
        <v>162</v>
      </c>
      <c r="F40" s="44">
        <v>0</v>
      </c>
      <c r="G40" s="270">
        <f t="shared" si="0"/>
        <v>0</v>
      </c>
      <c r="H40" s="1714"/>
      <c r="I40" s="121"/>
    </row>
    <row r="41" spans="2:9" ht="29.25" customHeight="1" x14ac:dyDescent="0.2">
      <c r="B41" s="131">
        <v>7</v>
      </c>
      <c r="C41" s="206" t="s">
        <v>1832</v>
      </c>
      <c r="D41" s="48" t="s">
        <v>117</v>
      </c>
      <c r="E41" s="199">
        <v>42</v>
      </c>
      <c r="F41" s="44">
        <v>0</v>
      </c>
      <c r="G41" s="270">
        <f t="shared" si="0"/>
        <v>0</v>
      </c>
      <c r="H41" s="1714"/>
      <c r="I41" s="121"/>
    </row>
    <row r="42" spans="2:9" ht="28.5" customHeight="1" x14ac:dyDescent="0.2">
      <c r="B42" s="131">
        <v>8</v>
      </c>
      <c r="C42" s="223" t="s">
        <v>155</v>
      </c>
      <c r="D42" s="222" t="s">
        <v>156</v>
      </c>
      <c r="E42" s="47">
        <v>8</v>
      </c>
      <c r="F42" s="44">
        <v>0</v>
      </c>
      <c r="G42" s="270">
        <f t="shared" si="0"/>
        <v>0</v>
      </c>
      <c r="H42" s="1714"/>
      <c r="I42" s="121"/>
    </row>
    <row r="43" spans="2:9" x14ac:dyDescent="0.2">
      <c r="B43" s="131"/>
      <c r="C43" s="223" t="s">
        <v>894</v>
      </c>
      <c r="D43" s="222"/>
      <c r="E43" s="47"/>
      <c r="F43" s="1717"/>
      <c r="G43" s="270"/>
      <c r="H43" s="1714"/>
      <c r="I43" s="121"/>
    </row>
    <row r="44" spans="2:9" ht="27.75" customHeight="1" x14ac:dyDescent="0.2">
      <c r="B44" s="131">
        <v>9</v>
      </c>
      <c r="C44" s="206" t="s">
        <v>111</v>
      </c>
      <c r="D44" s="207" t="s">
        <v>112</v>
      </c>
      <c r="E44" s="199">
        <v>3</v>
      </c>
      <c r="F44" s="44">
        <v>0</v>
      </c>
      <c r="G44" s="270">
        <f t="shared" ref="G44:G55" si="1">E44*F44</f>
        <v>0</v>
      </c>
      <c r="H44" s="1714"/>
      <c r="I44" s="121"/>
    </row>
    <row r="45" spans="2:9" ht="24" x14ac:dyDescent="0.2">
      <c r="B45" s="131">
        <v>10</v>
      </c>
      <c r="C45" s="206" t="s">
        <v>114</v>
      </c>
      <c r="D45" s="209" t="s">
        <v>112</v>
      </c>
      <c r="E45" s="199">
        <v>10.5</v>
      </c>
      <c r="F45" s="44">
        <v>0</v>
      </c>
      <c r="G45" s="270">
        <f t="shared" si="1"/>
        <v>0</v>
      </c>
      <c r="H45" s="1714"/>
      <c r="I45" s="134"/>
    </row>
    <row r="46" spans="2:9" ht="39.75" customHeight="1" x14ac:dyDescent="0.2">
      <c r="B46" s="131">
        <v>11</v>
      </c>
      <c r="C46" s="206" t="s">
        <v>895</v>
      </c>
      <c r="D46" s="209" t="s">
        <v>112</v>
      </c>
      <c r="E46" s="199">
        <v>53</v>
      </c>
      <c r="F46" s="44">
        <v>0</v>
      </c>
      <c r="G46" s="270">
        <f t="shared" si="1"/>
        <v>0</v>
      </c>
      <c r="H46" s="1714"/>
      <c r="I46" s="121"/>
    </row>
    <row r="47" spans="2:9" ht="29.25" customHeight="1" x14ac:dyDescent="0.2">
      <c r="B47" s="131">
        <v>12</v>
      </c>
      <c r="C47" s="311" t="s">
        <v>116</v>
      </c>
      <c r="D47" s="219" t="s">
        <v>117</v>
      </c>
      <c r="E47" s="220">
        <v>50</v>
      </c>
      <c r="F47" s="44">
        <v>0</v>
      </c>
      <c r="G47" s="270">
        <f t="shared" si="1"/>
        <v>0</v>
      </c>
      <c r="H47" s="1714"/>
      <c r="I47" s="121"/>
    </row>
    <row r="48" spans="2:9" ht="29.25" customHeight="1" x14ac:dyDescent="0.2">
      <c r="B48" s="131">
        <v>13</v>
      </c>
      <c r="C48" s="206" t="s">
        <v>118</v>
      </c>
      <c r="D48" s="209" t="s">
        <v>117</v>
      </c>
      <c r="E48" s="199">
        <v>12</v>
      </c>
      <c r="F48" s="44">
        <v>0</v>
      </c>
      <c r="G48" s="270">
        <f t="shared" si="1"/>
        <v>0</v>
      </c>
      <c r="H48" s="1714"/>
      <c r="I48" s="121"/>
    </row>
    <row r="49" spans="1:8" ht="27" customHeight="1" x14ac:dyDescent="0.2">
      <c r="A49" s="121"/>
      <c r="B49" s="131">
        <v>14</v>
      </c>
      <c r="C49" s="206" t="s">
        <v>304</v>
      </c>
      <c r="D49" s="209" t="s">
        <v>112</v>
      </c>
      <c r="E49" s="199">
        <v>3</v>
      </c>
      <c r="F49" s="44">
        <v>0</v>
      </c>
      <c r="G49" s="270">
        <f t="shared" si="1"/>
        <v>0</v>
      </c>
      <c r="H49" s="1714"/>
    </row>
    <row r="50" spans="1:8" ht="24" x14ac:dyDescent="0.2">
      <c r="A50" s="121"/>
      <c r="B50" s="131">
        <v>15</v>
      </c>
      <c r="C50" s="206" t="s">
        <v>119</v>
      </c>
      <c r="D50" s="209" t="s">
        <v>112</v>
      </c>
      <c r="E50" s="199">
        <v>60.5</v>
      </c>
      <c r="F50" s="44">
        <v>0</v>
      </c>
      <c r="G50" s="270">
        <f t="shared" si="1"/>
        <v>0</v>
      </c>
      <c r="H50" s="1714"/>
    </row>
    <row r="51" spans="1:8" ht="25.5" customHeight="1" x14ac:dyDescent="0.2">
      <c r="A51" s="121"/>
      <c r="B51" s="131">
        <v>16</v>
      </c>
      <c r="C51" s="206" t="s">
        <v>2472</v>
      </c>
      <c r="D51" s="209" t="s">
        <v>149</v>
      </c>
      <c r="E51" s="199">
        <v>3</v>
      </c>
      <c r="F51" s="44">
        <v>0</v>
      </c>
      <c r="G51" s="270">
        <f t="shared" si="1"/>
        <v>0</v>
      </c>
      <c r="H51" s="1714"/>
    </row>
    <row r="52" spans="1:8" ht="14.25" customHeight="1" x14ac:dyDescent="0.2">
      <c r="A52" s="121"/>
      <c r="B52" s="131">
        <v>17</v>
      </c>
      <c r="C52" s="206" t="s">
        <v>133</v>
      </c>
      <c r="D52" s="209" t="s">
        <v>112</v>
      </c>
      <c r="E52" s="199">
        <f>E44</f>
        <v>3</v>
      </c>
      <c r="F52" s="44">
        <v>0</v>
      </c>
      <c r="G52" s="270">
        <f t="shared" si="1"/>
        <v>0</v>
      </c>
      <c r="H52" s="1714"/>
    </row>
    <row r="53" spans="1:8" ht="14.25" customHeight="1" x14ac:dyDescent="0.2">
      <c r="A53" s="121"/>
      <c r="B53" s="131">
        <v>18</v>
      </c>
      <c r="C53" s="206" t="s">
        <v>134</v>
      </c>
      <c r="D53" s="209" t="s">
        <v>112</v>
      </c>
      <c r="E53" s="199">
        <v>3</v>
      </c>
      <c r="F53" s="44">
        <v>0</v>
      </c>
      <c r="G53" s="270">
        <f t="shared" si="1"/>
        <v>0</v>
      </c>
      <c r="H53" s="1714"/>
    </row>
    <row r="54" spans="1:8" ht="15.75" customHeight="1" x14ac:dyDescent="0.2">
      <c r="A54" s="121"/>
      <c r="B54" s="131">
        <v>19</v>
      </c>
      <c r="C54" s="206" t="s">
        <v>135</v>
      </c>
      <c r="D54" s="209" t="s">
        <v>112</v>
      </c>
      <c r="E54" s="199">
        <f>E53</f>
        <v>3</v>
      </c>
      <c r="F54" s="44">
        <v>0</v>
      </c>
      <c r="G54" s="270">
        <f t="shared" si="1"/>
        <v>0</v>
      </c>
      <c r="H54" s="1714"/>
    </row>
    <row r="55" spans="1:8" ht="28.5" customHeight="1" x14ac:dyDescent="0.2">
      <c r="A55" s="121"/>
      <c r="B55" s="131">
        <v>20</v>
      </c>
      <c r="C55" s="223" t="s">
        <v>155</v>
      </c>
      <c r="D55" s="222" t="s">
        <v>156</v>
      </c>
      <c r="E55" s="47">
        <v>3</v>
      </c>
      <c r="F55" s="44">
        <v>0</v>
      </c>
      <c r="G55" s="270">
        <f t="shared" si="1"/>
        <v>0</v>
      </c>
      <c r="H55" s="1714"/>
    </row>
    <row r="56" spans="1:8" s="9" customFormat="1" ht="21.75" customHeight="1" x14ac:dyDescent="0.25">
      <c r="A56" s="147"/>
      <c r="B56" s="327" t="s">
        <v>12</v>
      </c>
      <c r="C56" s="214" t="s">
        <v>157</v>
      </c>
      <c r="D56" s="224"/>
      <c r="E56" s="215"/>
      <c r="F56" s="216"/>
      <c r="G56" s="290">
        <f>SUM(G35:G55)</f>
        <v>0</v>
      </c>
      <c r="H56" s="150"/>
    </row>
    <row r="57" spans="1:8" x14ac:dyDescent="0.2">
      <c r="A57" s="121"/>
      <c r="B57" s="129"/>
      <c r="C57" s="197"/>
      <c r="D57" s="198"/>
      <c r="E57" s="199"/>
      <c r="F57" s="200"/>
      <c r="G57" s="201"/>
      <c r="H57" s="122"/>
    </row>
    <row r="58" spans="1:8" ht="24" x14ac:dyDescent="0.2">
      <c r="A58" s="121"/>
      <c r="B58" s="128" t="s">
        <v>83</v>
      </c>
      <c r="C58" s="192" t="s">
        <v>89</v>
      </c>
      <c r="D58" s="192" t="s">
        <v>90</v>
      </c>
      <c r="E58" s="194" t="s">
        <v>91</v>
      </c>
      <c r="F58" s="195" t="s">
        <v>92</v>
      </c>
      <c r="G58" s="196" t="s">
        <v>93</v>
      </c>
      <c r="H58" s="122"/>
    </row>
    <row r="59" spans="1:8" x14ac:dyDescent="0.2">
      <c r="A59" s="121"/>
      <c r="B59" s="129"/>
      <c r="C59" s="197"/>
      <c r="D59" s="207"/>
      <c r="E59" s="199"/>
      <c r="F59" s="200"/>
      <c r="G59" s="201"/>
      <c r="H59" s="122"/>
    </row>
    <row r="60" spans="1:8" s="16" customFormat="1" ht="20.25" x14ac:dyDescent="0.3">
      <c r="A60" s="295"/>
      <c r="B60" s="296" t="s">
        <v>17</v>
      </c>
      <c r="C60" s="297" t="s">
        <v>158</v>
      </c>
      <c r="D60" s="298"/>
      <c r="E60" s="299"/>
      <c r="F60" s="300"/>
      <c r="G60" s="301"/>
      <c r="H60" s="302"/>
    </row>
    <row r="61" spans="1:8" s="24" customFormat="1" ht="18" customHeight="1" x14ac:dyDescent="0.2">
      <c r="A61" s="140"/>
      <c r="B61" s="143" t="s">
        <v>1</v>
      </c>
      <c r="C61" s="168"/>
      <c r="D61" s="170"/>
      <c r="E61" s="170"/>
      <c r="F61" s="170"/>
      <c r="G61" s="169"/>
      <c r="H61" s="139"/>
    </row>
    <row r="62" spans="1:8" s="24" customFormat="1" ht="18" customHeight="1" x14ac:dyDescent="0.25">
      <c r="A62" s="141"/>
      <c r="B62" s="144" t="s">
        <v>2</v>
      </c>
      <c r="C62" s="171"/>
      <c r="D62" s="172"/>
      <c r="E62" s="173"/>
      <c r="F62" s="173"/>
      <c r="G62" s="172"/>
      <c r="H62" s="139"/>
    </row>
    <row r="63" spans="1:8" s="24" customFormat="1" ht="18" customHeight="1" x14ac:dyDescent="0.2">
      <c r="A63" s="140"/>
      <c r="B63" s="143" t="s">
        <v>3</v>
      </c>
      <c r="C63" s="168"/>
      <c r="D63" s="170"/>
      <c r="E63" s="170"/>
      <c r="F63" s="170"/>
      <c r="G63" s="169"/>
      <c r="H63" s="139"/>
    </row>
    <row r="64" spans="1:8" s="24" customFormat="1" ht="18" customHeight="1" x14ac:dyDescent="0.25">
      <c r="A64" s="141"/>
      <c r="B64" s="144" t="s">
        <v>4</v>
      </c>
      <c r="C64" s="171"/>
      <c r="D64" s="173"/>
      <c r="E64" s="173"/>
      <c r="F64" s="173"/>
      <c r="G64" s="172"/>
      <c r="H64" s="139"/>
    </row>
    <row r="65" spans="2:8" s="43" customFormat="1" ht="18.75" customHeight="1" x14ac:dyDescent="0.2">
      <c r="B65" s="3184" t="s">
        <v>159</v>
      </c>
      <c r="C65" s="3185"/>
      <c r="D65" s="3185"/>
      <c r="E65" s="3185"/>
      <c r="F65" s="3185"/>
      <c r="G65" s="3186"/>
      <c r="H65" s="122"/>
    </row>
    <row r="66" spans="2:8" ht="30" customHeight="1" x14ac:dyDescent="0.2">
      <c r="B66" s="153">
        <v>1</v>
      </c>
      <c r="C66" s="225" t="s">
        <v>162</v>
      </c>
      <c r="D66" s="226"/>
      <c r="E66" s="199"/>
      <c r="F66" s="200"/>
      <c r="G66" s="201"/>
      <c r="H66" s="122"/>
    </row>
    <row r="67" spans="2:8" s="147" customFormat="1" ht="18.75" customHeight="1" x14ac:dyDescent="0.25">
      <c r="B67" s="148"/>
      <c r="C67" s="149" t="s">
        <v>2506</v>
      </c>
      <c r="D67" s="226" t="s">
        <v>95</v>
      </c>
      <c r="E67" s="353">
        <v>50</v>
      </c>
      <c r="F67" s="467">
        <v>0</v>
      </c>
      <c r="G67" s="352">
        <f t="shared" ref="G67" si="2">E67*F67</f>
        <v>0</v>
      </c>
      <c r="H67" s="150"/>
    </row>
    <row r="68" spans="2:8" s="9" customFormat="1" ht="18.75" customHeight="1" x14ac:dyDescent="0.25">
      <c r="B68" s="148"/>
      <c r="C68" s="151" t="s">
        <v>163</v>
      </c>
      <c r="D68" s="226" t="s">
        <v>95</v>
      </c>
      <c r="E68" s="199">
        <v>25</v>
      </c>
      <c r="F68" s="1717">
        <v>0</v>
      </c>
      <c r="G68" s="270">
        <f t="shared" ref="G68:G72" si="3">E68*F68</f>
        <v>0</v>
      </c>
      <c r="H68" s="150"/>
    </row>
    <row r="69" spans="2:8" ht="40.5" customHeight="1" x14ac:dyDescent="0.2">
      <c r="B69" s="40" t="s">
        <v>622</v>
      </c>
      <c r="C69" s="227" t="s">
        <v>172</v>
      </c>
      <c r="D69" s="226" t="s">
        <v>95</v>
      </c>
      <c r="E69" s="228">
        <v>75</v>
      </c>
      <c r="F69" s="1717">
        <v>0</v>
      </c>
      <c r="G69" s="270">
        <f t="shared" si="3"/>
        <v>0</v>
      </c>
      <c r="H69" s="150"/>
    </row>
    <row r="70" spans="2:8" ht="34.5" customHeight="1" x14ac:dyDescent="0.2">
      <c r="B70" s="309" t="s">
        <v>173</v>
      </c>
      <c r="C70" s="227" t="s">
        <v>174</v>
      </c>
      <c r="D70" s="209" t="s">
        <v>98</v>
      </c>
      <c r="E70" s="228">
        <v>1</v>
      </c>
      <c r="F70" s="1717">
        <v>0</v>
      </c>
      <c r="G70" s="270">
        <f t="shared" si="3"/>
        <v>0</v>
      </c>
      <c r="H70" s="150"/>
    </row>
    <row r="71" spans="2:8" ht="27" customHeight="1" x14ac:dyDescent="0.2">
      <c r="B71" s="309" t="s">
        <v>175</v>
      </c>
      <c r="C71" s="227" t="s">
        <v>176</v>
      </c>
      <c r="D71" s="209" t="s">
        <v>896</v>
      </c>
      <c r="E71" s="228">
        <v>1</v>
      </c>
      <c r="F71" s="1717">
        <v>0</v>
      </c>
      <c r="G71" s="270">
        <f t="shared" si="3"/>
        <v>0</v>
      </c>
      <c r="H71" s="150"/>
    </row>
    <row r="72" spans="2:8" ht="39" customHeight="1" x14ac:dyDescent="0.2">
      <c r="B72" s="309" t="s">
        <v>177</v>
      </c>
      <c r="C72" s="227" t="s">
        <v>178</v>
      </c>
      <c r="D72" s="209" t="s">
        <v>98</v>
      </c>
      <c r="E72" s="228">
        <v>1</v>
      </c>
      <c r="F72" s="1717">
        <v>0</v>
      </c>
      <c r="G72" s="270">
        <f t="shared" si="3"/>
        <v>0</v>
      </c>
      <c r="H72" s="150"/>
    </row>
    <row r="73" spans="2:8" ht="27.75" customHeight="1" x14ac:dyDescent="0.2">
      <c r="B73" s="153">
        <v>3</v>
      </c>
      <c r="C73" s="229" t="s">
        <v>179</v>
      </c>
      <c r="D73" s="198"/>
      <c r="E73" s="199"/>
      <c r="F73" s="1718"/>
      <c r="G73" s="201"/>
      <c r="H73" s="150"/>
    </row>
    <row r="74" spans="2:8" s="34" customFormat="1" ht="15.75" customHeight="1" x14ac:dyDescent="0.2">
      <c r="B74" s="292" t="s">
        <v>897</v>
      </c>
      <c r="C74" s="46"/>
      <c r="D74" s="198"/>
      <c r="E74" s="348"/>
      <c r="F74" s="1719"/>
      <c r="G74" s="352"/>
      <c r="H74" s="150"/>
    </row>
    <row r="75" spans="2:8" s="34" customFormat="1" ht="15.75" customHeight="1" x14ac:dyDescent="0.2">
      <c r="B75" s="135"/>
      <c r="C75" s="217" t="s">
        <v>2466</v>
      </c>
      <c r="D75" s="198" t="s">
        <v>149</v>
      </c>
      <c r="E75" s="348">
        <v>2</v>
      </c>
      <c r="F75" s="1719">
        <v>0</v>
      </c>
      <c r="G75" s="352">
        <f t="shared" ref="G75:G109" si="4">E75*F75</f>
        <v>0</v>
      </c>
      <c r="H75" s="150"/>
    </row>
    <row r="76" spans="2:8" s="136" customFormat="1" ht="15.75" customHeight="1" x14ac:dyDescent="0.2">
      <c r="B76" s="135"/>
      <c r="C76" s="217" t="s">
        <v>2467</v>
      </c>
      <c r="D76" s="198" t="s">
        <v>149</v>
      </c>
      <c r="E76" s="348">
        <v>1</v>
      </c>
      <c r="F76" s="1719">
        <v>0</v>
      </c>
      <c r="G76" s="352">
        <f t="shared" ref="G76" si="5">E76*F76</f>
        <v>0</v>
      </c>
      <c r="H76" s="150"/>
    </row>
    <row r="77" spans="2:8" s="136" customFormat="1" ht="15.75" customHeight="1" x14ac:dyDescent="0.2">
      <c r="B77" s="135"/>
      <c r="C77" s="217" t="s">
        <v>2477</v>
      </c>
      <c r="D77" s="198" t="s">
        <v>149</v>
      </c>
      <c r="E77" s="348">
        <v>1</v>
      </c>
      <c r="F77" s="1719">
        <v>0</v>
      </c>
      <c r="G77" s="352">
        <f t="shared" ref="G77" si="6">E77*F77</f>
        <v>0</v>
      </c>
      <c r="H77" s="150"/>
    </row>
    <row r="78" spans="2:8" s="34" customFormat="1" ht="15.75" customHeight="1" x14ac:dyDescent="0.2">
      <c r="B78" s="135"/>
      <c r="C78" s="217" t="s">
        <v>2469</v>
      </c>
      <c r="D78" s="198" t="s">
        <v>149</v>
      </c>
      <c r="E78" s="348">
        <v>5</v>
      </c>
      <c r="F78" s="1719">
        <v>0</v>
      </c>
      <c r="G78" s="352">
        <f>E78*F78</f>
        <v>0</v>
      </c>
      <c r="H78" s="150"/>
    </row>
    <row r="79" spans="2:8" s="136" customFormat="1" ht="15.75" customHeight="1" x14ac:dyDescent="0.2">
      <c r="B79" s="135"/>
      <c r="C79" s="217" t="s">
        <v>2476</v>
      </c>
      <c r="D79" s="198" t="s">
        <v>149</v>
      </c>
      <c r="E79" s="348">
        <v>2</v>
      </c>
      <c r="F79" s="1719">
        <v>0</v>
      </c>
      <c r="G79" s="352">
        <f>E79*F79</f>
        <v>0</v>
      </c>
      <c r="H79" s="150"/>
    </row>
    <row r="80" spans="2:8" s="136" customFormat="1" ht="15.75" customHeight="1" x14ac:dyDescent="0.2">
      <c r="B80" s="135"/>
      <c r="C80" s="217" t="s">
        <v>2468</v>
      </c>
      <c r="D80" s="198" t="s">
        <v>149</v>
      </c>
      <c r="E80" s="348">
        <v>6</v>
      </c>
      <c r="F80" s="1719">
        <v>0</v>
      </c>
      <c r="G80" s="352">
        <f>E80*F80</f>
        <v>0</v>
      </c>
      <c r="H80" s="150"/>
    </row>
    <row r="81" spans="2:8" s="34" customFormat="1" ht="15.75" customHeight="1" x14ac:dyDescent="0.2">
      <c r="B81" s="135"/>
      <c r="C81" s="217" t="s">
        <v>2470</v>
      </c>
      <c r="D81" s="198" t="s">
        <v>95</v>
      </c>
      <c r="E81" s="348">
        <v>20</v>
      </c>
      <c r="F81" s="1719">
        <v>0</v>
      </c>
      <c r="G81" s="352">
        <f t="shared" si="4"/>
        <v>0</v>
      </c>
      <c r="H81" s="150"/>
    </row>
    <row r="82" spans="2:8" s="34" customFormat="1" ht="15.75" customHeight="1" x14ac:dyDescent="0.2">
      <c r="B82" s="135"/>
      <c r="C82" s="217" t="s">
        <v>2471</v>
      </c>
      <c r="D82" s="198" t="s">
        <v>95</v>
      </c>
      <c r="E82" s="348">
        <v>10</v>
      </c>
      <c r="F82" s="1719">
        <v>0</v>
      </c>
      <c r="G82" s="352">
        <f t="shared" si="4"/>
        <v>0</v>
      </c>
      <c r="H82" s="150"/>
    </row>
    <row r="83" spans="2:8" s="136" customFormat="1" ht="15.75" customHeight="1" x14ac:dyDescent="0.2">
      <c r="B83" s="135"/>
      <c r="C83" s="217" t="s">
        <v>2505</v>
      </c>
      <c r="D83" s="198" t="s">
        <v>95</v>
      </c>
      <c r="E83" s="348">
        <v>2</v>
      </c>
      <c r="F83" s="1719">
        <v>0</v>
      </c>
      <c r="G83" s="352">
        <f t="shared" ref="G83" si="7">E83*F83</f>
        <v>0</v>
      </c>
      <c r="H83" s="150"/>
    </row>
    <row r="84" spans="2:8" s="34" customFormat="1" ht="15.75" customHeight="1" x14ac:dyDescent="0.2">
      <c r="B84" s="135"/>
      <c r="C84" s="217" t="s">
        <v>2474</v>
      </c>
      <c r="D84" s="198" t="s">
        <v>149</v>
      </c>
      <c r="E84" s="348">
        <v>3</v>
      </c>
      <c r="F84" s="1719">
        <v>0</v>
      </c>
      <c r="G84" s="352">
        <f>E84*F84</f>
        <v>0</v>
      </c>
      <c r="H84" s="150"/>
    </row>
    <row r="85" spans="2:8" s="136" customFormat="1" ht="15.75" customHeight="1" x14ac:dyDescent="0.2">
      <c r="B85" s="135"/>
      <c r="C85" s="217" t="s">
        <v>2473</v>
      </c>
      <c r="D85" s="198" t="s">
        <v>149</v>
      </c>
      <c r="E85" s="348">
        <v>3</v>
      </c>
      <c r="F85" s="1719">
        <v>0</v>
      </c>
      <c r="G85" s="352">
        <f>E85*F85</f>
        <v>0</v>
      </c>
      <c r="H85" s="150"/>
    </row>
    <row r="86" spans="2:8" s="136" customFormat="1" ht="15.75" customHeight="1" x14ac:dyDescent="0.2">
      <c r="B86" s="135"/>
      <c r="C86" s="217" t="s">
        <v>2478</v>
      </c>
      <c r="D86" s="198" t="s">
        <v>149</v>
      </c>
      <c r="E86" s="348">
        <v>2</v>
      </c>
      <c r="F86" s="1719">
        <v>0</v>
      </c>
      <c r="G86" s="352">
        <f t="shared" ref="G86" si="8">E86*F86</f>
        <v>0</v>
      </c>
      <c r="H86" s="150"/>
    </row>
    <row r="87" spans="2:8" s="136" customFormat="1" ht="15.75" customHeight="1" x14ac:dyDescent="0.2">
      <c r="B87" s="135"/>
      <c r="C87" s="217" t="s">
        <v>2479</v>
      </c>
      <c r="D87" s="198" t="s">
        <v>149</v>
      </c>
      <c r="E87" s="348">
        <v>2</v>
      </c>
      <c r="F87" s="1719">
        <v>0</v>
      </c>
      <c r="G87" s="352">
        <f t="shared" ref="G87" si="9">E87*F87</f>
        <v>0</v>
      </c>
      <c r="H87" s="150"/>
    </row>
    <row r="88" spans="2:8" s="34" customFormat="1" ht="15.75" customHeight="1" x14ac:dyDescent="0.2">
      <c r="B88" s="135"/>
      <c r="C88" s="217" t="s">
        <v>2475</v>
      </c>
      <c r="D88" s="198" t="s">
        <v>149</v>
      </c>
      <c r="E88" s="348">
        <v>2</v>
      </c>
      <c r="F88" s="1719">
        <v>0</v>
      </c>
      <c r="G88" s="352">
        <f t="shared" si="4"/>
        <v>0</v>
      </c>
      <c r="H88" s="150"/>
    </row>
    <row r="89" spans="2:8" s="136" customFormat="1" ht="15.75" customHeight="1" x14ac:dyDescent="0.2">
      <c r="B89" s="135"/>
      <c r="C89" s="217" t="s">
        <v>2486</v>
      </c>
      <c r="D89" s="198" t="s">
        <v>149</v>
      </c>
      <c r="E89" s="348">
        <v>2</v>
      </c>
      <c r="F89" s="1719">
        <v>0</v>
      </c>
      <c r="G89" s="352">
        <f t="shared" ref="G89" si="10">E89*F89</f>
        <v>0</v>
      </c>
      <c r="H89" s="150"/>
    </row>
    <row r="90" spans="2:8" s="136" customFormat="1" ht="15.75" customHeight="1" x14ac:dyDescent="0.2">
      <c r="B90" s="135"/>
      <c r="C90" s="217" t="s">
        <v>2484</v>
      </c>
      <c r="D90" s="198" t="s">
        <v>149</v>
      </c>
      <c r="E90" s="348">
        <v>1</v>
      </c>
      <c r="F90" s="1719">
        <v>0</v>
      </c>
      <c r="G90" s="352">
        <f t="shared" ref="G90" si="11">E90*F90</f>
        <v>0</v>
      </c>
      <c r="H90" s="150"/>
    </row>
    <row r="91" spans="2:8" s="34" customFormat="1" ht="15.75" customHeight="1" x14ac:dyDescent="0.2">
      <c r="B91" s="135"/>
      <c r="C91" s="217" t="s">
        <v>2480</v>
      </c>
      <c r="D91" s="198" t="s">
        <v>149</v>
      </c>
      <c r="E91" s="348">
        <v>1</v>
      </c>
      <c r="F91" s="1719">
        <v>0</v>
      </c>
      <c r="G91" s="352">
        <f t="shared" si="4"/>
        <v>0</v>
      </c>
      <c r="H91" s="150"/>
    </row>
    <row r="92" spans="2:8" s="34" customFormat="1" ht="15.75" customHeight="1" x14ac:dyDescent="0.2">
      <c r="B92" s="135"/>
      <c r="C92" s="217" t="s">
        <v>2481</v>
      </c>
      <c r="D92" s="198" t="s">
        <v>149</v>
      </c>
      <c r="E92" s="348">
        <v>28</v>
      </c>
      <c r="F92" s="1719">
        <v>0</v>
      </c>
      <c r="G92" s="352">
        <f t="shared" si="4"/>
        <v>0</v>
      </c>
      <c r="H92" s="150"/>
    </row>
    <row r="93" spans="2:8" s="136" customFormat="1" ht="15.75" customHeight="1" x14ac:dyDescent="0.2">
      <c r="B93" s="135"/>
      <c r="C93" s="217" t="s">
        <v>2482</v>
      </c>
      <c r="D93" s="198" t="s">
        <v>149</v>
      </c>
      <c r="E93" s="348">
        <v>22</v>
      </c>
      <c r="F93" s="1719">
        <v>0</v>
      </c>
      <c r="G93" s="352">
        <f t="shared" ref="G93" si="12">E93*F93</f>
        <v>0</v>
      </c>
      <c r="H93" s="150"/>
    </row>
    <row r="94" spans="2:8" s="34" customFormat="1" ht="15.75" customHeight="1" x14ac:dyDescent="0.2">
      <c r="B94" s="135"/>
      <c r="C94" s="217" t="s">
        <v>2483</v>
      </c>
      <c r="D94" s="198" t="s">
        <v>149</v>
      </c>
      <c r="E94" s="348">
        <v>2</v>
      </c>
      <c r="F94" s="1719">
        <v>0</v>
      </c>
      <c r="G94" s="352">
        <f t="shared" si="4"/>
        <v>0</v>
      </c>
      <c r="H94" s="150"/>
    </row>
    <row r="95" spans="2:8" s="34" customFormat="1" ht="15.75" customHeight="1" x14ac:dyDescent="0.2">
      <c r="B95" s="135"/>
      <c r="C95" s="217" t="s">
        <v>2487</v>
      </c>
      <c r="D95" s="198" t="s">
        <v>149</v>
      </c>
      <c r="E95" s="348">
        <v>1</v>
      </c>
      <c r="F95" s="1719">
        <v>0</v>
      </c>
      <c r="G95" s="352">
        <f t="shared" si="4"/>
        <v>0</v>
      </c>
      <c r="H95" s="150"/>
    </row>
    <row r="96" spans="2:8" s="136" customFormat="1" ht="15.75" customHeight="1" x14ac:dyDescent="0.2">
      <c r="B96" s="135"/>
      <c r="C96" s="217" t="s">
        <v>2488</v>
      </c>
      <c r="D96" s="198" t="s">
        <v>149</v>
      </c>
      <c r="E96" s="348">
        <v>1</v>
      </c>
      <c r="F96" s="1719">
        <v>0</v>
      </c>
      <c r="G96" s="352">
        <f t="shared" si="4"/>
        <v>0</v>
      </c>
      <c r="H96" s="150"/>
    </row>
    <row r="97" spans="2:8" s="136" customFormat="1" ht="15.75" customHeight="1" x14ac:dyDescent="0.2">
      <c r="B97" s="135"/>
      <c r="C97" s="217" t="s">
        <v>2489</v>
      </c>
      <c r="D97" s="198" t="s">
        <v>149</v>
      </c>
      <c r="E97" s="348">
        <v>1</v>
      </c>
      <c r="F97" s="1719">
        <v>0</v>
      </c>
      <c r="G97" s="352">
        <f t="shared" ref="G97:G98" si="13">E97*F97</f>
        <v>0</v>
      </c>
      <c r="H97" s="150"/>
    </row>
    <row r="98" spans="2:8" s="136" customFormat="1" ht="15.75" customHeight="1" x14ac:dyDescent="0.2">
      <c r="B98" s="135"/>
      <c r="C98" s="217" t="s">
        <v>2490</v>
      </c>
      <c r="D98" s="198" t="s">
        <v>149</v>
      </c>
      <c r="E98" s="348">
        <v>2</v>
      </c>
      <c r="F98" s="1719">
        <v>0</v>
      </c>
      <c r="G98" s="352">
        <f t="shared" si="13"/>
        <v>0</v>
      </c>
      <c r="H98" s="150"/>
    </row>
    <row r="99" spans="2:8" s="136" customFormat="1" ht="15.75" customHeight="1" x14ac:dyDescent="0.2">
      <c r="B99" s="135"/>
      <c r="C99" s="217" t="s">
        <v>2491</v>
      </c>
      <c r="D99" s="198" t="s">
        <v>149</v>
      </c>
      <c r="E99" s="348">
        <v>1</v>
      </c>
      <c r="F99" s="1719">
        <v>0</v>
      </c>
      <c r="G99" s="352">
        <f t="shared" ref="G99" si="14">E99*F99</f>
        <v>0</v>
      </c>
      <c r="H99" s="150"/>
    </row>
    <row r="100" spans="2:8" s="136" customFormat="1" ht="15.75" customHeight="1" x14ac:dyDescent="0.2">
      <c r="B100" s="135"/>
      <c r="C100" s="217" t="s">
        <v>2492</v>
      </c>
      <c r="D100" s="198" t="s">
        <v>149</v>
      </c>
      <c r="E100" s="348">
        <v>10</v>
      </c>
      <c r="F100" s="1719">
        <v>0</v>
      </c>
      <c r="G100" s="352">
        <f t="shared" ref="G100" si="15">E100*F100</f>
        <v>0</v>
      </c>
      <c r="H100" s="150"/>
    </row>
    <row r="101" spans="2:8" s="136" customFormat="1" ht="15.75" customHeight="1" x14ac:dyDescent="0.2">
      <c r="B101" s="135"/>
      <c r="C101" s="217" t="s">
        <v>2493</v>
      </c>
      <c r="D101" s="198" t="s">
        <v>149</v>
      </c>
      <c r="E101" s="348">
        <v>10</v>
      </c>
      <c r="F101" s="1719">
        <v>0</v>
      </c>
      <c r="G101" s="352">
        <f t="shared" ref="G101" si="16">E101*F101</f>
        <v>0</v>
      </c>
      <c r="H101" s="150"/>
    </row>
    <row r="102" spans="2:8" s="121" customFormat="1" ht="75.75" customHeight="1" x14ac:dyDescent="0.2">
      <c r="B102" s="129"/>
      <c r="C102" s="197" t="s">
        <v>2485</v>
      </c>
      <c r="D102" s="198" t="s">
        <v>149</v>
      </c>
      <c r="E102" s="199">
        <v>1</v>
      </c>
      <c r="F102" s="351">
        <v>0</v>
      </c>
      <c r="G102" s="270">
        <f t="shared" si="4"/>
        <v>0</v>
      </c>
      <c r="H102" s="122"/>
    </row>
    <row r="103" spans="2:8" s="136" customFormat="1" ht="15.75" customHeight="1" x14ac:dyDescent="0.2">
      <c r="B103" s="135"/>
      <c r="C103" s="217" t="s">
        <v>2494</v>
      </c>
      <c r="D103" s="198" t="s">
        <v>2495</v>
      </c>
      <c r="E103" s="348">
        <v>30</v>
      </c>
      <c r="F103" s="1719">
        <v>0</v>
      </c>
      <c r="G103" s="352">
        <f t="shared" si="4"/>
        <v>0</v>
      </c>
      <c r="H103" s="150"/>
    </row>
    <row r="104" spans="2:8" s="136" customFormat="1" ht="15.75" customHeight="1" x14ac:dyDescent="0.2">
      <c r="B104" s="135"/>
      <c r="C104" s="217" t="s">
        <v>2496</v>
      </c>
      <c r="D104" s="198" t="s">
        <v>149</v>
      </c>
      <c r="E104" s="348">
        <v>20</v>
      </c>
      <c r="F104" s="1719">
        <v>0</v>
      </c>
      <c r="G104" s="352">
        <f t="shared" si="4"/>
        <v>0</v>
      </c>
      <c r="H104" s="150"/>
    </row>
    <row r="105" spans="2:8" s="136" customFormat="1" ht="15.75" customHeight="1" x14ac:dyDescent="0.2">
      <c r="B105" s="135"/>
      <c r="C105" s="217" t="s">
        <v>2497</v>
      </c>
      <c r="D105" s="198" t="s">
        <v>149</v>
      </c>
      <c r="E105" s="348">
        <v>8</v>
      </c>
      <c r="F105" s="1719">
        <v>0</v>
      </c>
      <c r="G105" s="352">
        <f t="shared" si="4"/>
        <v>0</v>
      </c>
      <c r="H105" s="150"/>
    </row>
    <row r="106" spans="2:8" s="136" customFormat="1" ht="15.75" customHeight="1" x14ac:dyDescent="0.2">
      <c r="B106" s="135"/>
      <c r="C106" s="217" t="s">
        <v>2498</v>
      </c>
      <c r="D106" s="198" t="s">
        <v>149</v>
      </c>
      <c r="E106" s="348">
        <v>4</v>
      </c>
      <c r="F106" s="1719">
        <v>0</v>
      </c>
      <c r="G106" s="352">
        <f t="shared" si="4"/>
        <v>0</v>
      </c>
      <c r="H106" s="150"/>
    </row>
    <row r="107" spans="2:8" s="136" customFormat="1" ht="15.75" customHeight="1" x14ac:dyDescent="0.2">
      <c r="B107" s="135"/>
      <c r="C107" s="217" t="s">
        <v>2499</v>
      </c>
      <c r="D107" s="198" t="s">
        <v>149</v>
      </c>
      <c r="E107" s="348">
        <v>15</v>
      </c>
      <c r="F107" s="1719">
        <v>0</v>
      </c>
      <c r="G107" s="352">
        <f t="shared" si="4"/>
        <v>0</v>
      </c>
      <c r="H107" s="150"/>
    </row>
    <row r="108" spans="2:8" s="136" customFormat="1" ht="15.75" customHeight="1" x14ac:dyDescent="0.2">
      <c r="B108" s="135"/>
      <c r="C108" s="217" t="s">
        <v>2500</v>
      </c>
      <c r="D108" s="198" t="s">
        <v>149</v>
      </c>
      <c r="E108" s="348">
        <v>1</v>
      </c>
      <c r="F108" s="1719">
        <v>0</v>
      </c>
      <c r="G108" s="352">
        <f t="shared" si="4"/>
        <v>0</v>
      </c>
      <c r="H108" s="150"/>
    </row>
    <row r="109" spans="2:8" s="136" customFormat="1" ht="15.75" customHeight="1" x14ac:dyDescent="0.2">
      <c r="B109" s="135"/>
      <c r="C109" s="217" t="s">
        <v>2501</v>
      </c>
      <c r="D109" s="198" t="s">
        <v>149</v>
      </c>
      <c r="E109" s="348">
        <v>1</v>
      </c>
      <c r="F109" s="1719">
        <v>0</v>
      </c>
      <c r="G109" s="352">
        <f t="shared" si="4"/>
        <v>0</v>
      </c>
      <c r="H109" s="150"/>
    </row>
    <row r="110" spans="2:8" s="136" customFormat="1" ht="15.75" customHeight="1" x14ac:dyDescent="0.2">
      <c r="B110" s="135"/>
      <c r="C110" s="217" t="s">
        <v>2502</v>
      </c>
      <c r="D110" s="198" t="s">
        <v>149</v>
      </c>
      <c r="E110" s="348">
        <v>1</v>
      </c>
      <c r="F110" s="1719">
        <v>0</v>
      </c>
      <c r="G110" s="352">
        <f t="shared" ref="G110:G112" si="17">E110*F110</f>
        <v>0</v>
      </c>
      <c r="H110" s="150"/>
    </row>
    <row r="111" spans="2:8" s="136" customFormat="1" ht="15.75" customHeight="1" x14ac:dyDescent="0.2">
      <c r="B111" s="135"/>
      <c r="C111" s="217" t="s">
        <v>2503</v>
      </c>
      <c r="D111" s="198" t="s">
        <v>149</v>
      </c>
      <c r="E111" s="348">
        <v>1</v>
      </c>
      <c r="F111" s="1719">
        <v>0</v>
      </c>
      <c r="G111" s="352">
        <f t="shared" si="17"/>
        <v>0</v>
      </c>
      <c r="H111" s="150"/>
    </row>
    <row r="112" spans="2:8" s="136" customFormat="1" ht="15.75" customHeight="1" x14ac:dyDescent="0.2">
      <c r="B112" s="135"/>
      <c r="C112" s="217" t="s">
        <v>2504</v>
      </c>
      <c r="D112" s="198" t="s">
        <v>149</v>
      </c>
      <c r="E112" s="348">
        <v>1</v>
      </c>
      <c r="F112" s="1719">
        <v>0</v>
      </c>
      <c r="G112" s="352">
        <f t="shared" si="17"/>
        <v>0</v>
      </c>
      <c r="H112" s="150"/>
    </row>
    <row r="113" spans="2:8" s="136" customFormat="1" ht="27" customHeight="1" x14ac:dyDescent="0.2">
      <c r="B113" s="1948" t="s">
        <v>24</v>
      </c>
      <c r="C113" s="1949" t="s">
        <v>905</v>
      </c>
      <c r="D113" s="1950"/>
      <c r="E113" s="1951"/>
      <c r="F113" s="1952"/>
      <c r="G113" s="1953"/>
      <c r="H113" s="150"/>
    </row>
    <row r="114" spans="2:8" s="136" customFormat="1" ht="24" x14ac:dyDescent="0.2">
      <c r="B114" s="309" t="s">
        <v>906</v>
      </c>
      <c r="C114" s="227" t="s">
        <v>174</v>
      </c>
      <c r="D114" s="209" t="s">
        <v>98</v>
      </c>
      <c r="E114" s="228">
        <v>1</v>
      </c>
      <c r="F114" s="269">
        <v>0</v>
      </c>
      <c r="G114" s="270">
        <f>E114*F114</f>
        <v>0</v>
      </c>
      <c r="H114" s="150"/>
    </row>
    <row r="115" spans="2:8" s="136" customFormat="1" ht="15.75" customHeight="1" x14ac:dyDescent="0.2">
      <c r="B115" s="309" t="s">
        <v>907</v>
      </c>
      <c r="C115" s="227" t="s">
        <v>176</v>
      </c>
      <c r="D115" s="209" t="s">
        <v>98</v>
      </c>
      <c r="E115" s="228">
        <v>1</v>
      </c>
      <c r="F115" s="269">
        <v>0</v>
      </c>
      <c r="G115" s="270">
        <f>E115*F115</f>
        <v>0</v>
      </c>
      <c r="H115" s="150"/>
    </row>
    <row r="116" spans="2:8" s="136" customFormat="1" ht="15.75" customHeight="1" x14ac:dyDescent="0.2">
      <c r="B116" s="309" t="s">
        <v>908</v>
      </c>
      <c r="C116" s="227" t="s">
        <v>178</v>
      </c>
      <c r="D116" s="209" t="s">
        <v>98</v>
      </c>
      <c r="E116" s="228">
        <v>1</v>
      </c>
      <c r="F116" s="269">
        <v>0</v>
      </c>
      <c r="G116" s="270">
        <f>E116*F116</f>
        <v>0</v>
      </c>
      <c r="H116" s="150"/>
    </row>
    <row r="117" spans="2:8" s="136" customFormat="1" ht="15.75" customHeight="1" x14ac:dyDescent="0.2">
      <c r="B117" s="153">
        <v>5</v>
      </c>
      <c r="C117" s="229" t="s">
        <v>179</v>
      </c>
      <c r="D117" s="198"/>
      <c r="E117" s="199"/>
      <c r="F117" s="200">
        <v>0</v>
      </c>
      <c r="G117" s="201"/>
      <c r="H117" s="150"/>
    </row>
    <row r="118" spans="2:8" s="136" customFormat="1" ht="15.75" customHeight="1" x14ac:dyDescent="0.2">
      <c r="B118" s="292" t="s">
        <v>909</v>
      </c>
      <c r="C118" s="57" t="s">
        <v>910</v>
      </c>
      <c r="D118" s="56"/>
      <c r="E118" s="55"/>
      <c r="F118" s="54"/>
      <c r="G118" s="53"/>
      <c r="H118" s="150"/>
    </row>
    <row r="119" spans="2:8" s="136" customFormat="1" ht="96" customHeight="1" x14ac:dyDescent="0.2">
      <c r="B119" s="2731"/>
      <c r="C119" s="2732"/>
      <c r="D119" s="2733"/>
      <c r="E119" s="2734"/>
      <c r="F119" s="2735"/>
      <c r="G119" s="2736"/>
      <c r="H119" s="122"/>
    </row>
    <row r="120" spans="2:8" s="136" customFormat="1" ht="96" customHeight="1" x14ac:dyDescent="0.2">
      <c r="B120" s="2737"/>
      <c r="C120" s="2738"/>
      <c r="D120" s="2733"/>
      <c r="E120" s="2734"/>
      <c r="F120" s="2735"/>
      <c r="G120" s="2736"/>
      <c r="H120" s="122"/>
    </row>
    <row r="121" spans="2:8" s="136" customFormat="1" ht="96" customHeight="1" x14ac:dyDescent="0.2">
      <c r="B121" s="2737"/>
      <c r="C121" s="2738"/>
      <c r="D121" s="2733"/>
      <c r="E121" s="2734"/>
      <c r="F121" s="2735"/>
      <c r="G121" s="2736"/>
      <c r="H121" s="122"/>
    </row>
    <row r="122" spans="2:8" s="136" customFormat="1" ht="96" customHeight="1" x14ac:dyDescent="0.2">
      <c r="B122" s="2737"/>
      <c r="C122" s="2738"/>
      <c r="D122" s="2733"/>
      <c r="E122" s="2734"/>
      <c r="F122" s="2735"/>
      <c r="G122" s="2736"/>
      <c r="H122" s="122"/>
    </row>
    <row r="123" spans="2:8" s="136" customFormat="1" ht="96" customHeight="1" x14ac:dyDescent="0.2">
      <c r="B123" s="2737"/>
      <c r="C123" s="2738"/>
      <c r="D123" s="2733"/>
      <c r="E123" s="2734"/>
      <c r="F123" s="2735"/>
      <c r="G123" s="2736"/>
      <c r="H123" s="122"/>
    </row>
    <row r="124" spans="2:8" s="136" customFormat="1" ht="96" customHeight="1" x14ac:dyDescent="0.2">
      <c r="B124" s="2737"/>
      <c r="C124" s="2738"/>
      <c r="D124" s="2733"/>
      <c r="E124" s="2734"/>
      <c r="F124" s="2735"/>
      <c r="G124" s="2736"/>
      <c r="H124" s="122"/>
    </row>
    <row r="125" spans="2:8" s="136" customFormat="1" ht="115.5" customHeight="1" x14ac:dyDescent="0.2">
      <c r="B125" s="2737"/>
      <c r="C125" s="2738"/>
      <c r="D125" s="2733"/>
      <c r="E125" s="2734"/>
      <c r="F125" s="2735"/>
      <c r="G125" s="2736"/>
      <c r="H125" s="122"/>
    </row>
    <row r="126" spans="2:8" s="136" customFormat="1" ht="14.25" customHeight="1" x14ac:dyDescent="0.2">
      <c r="B126" s="2737"/>
      <c r="C126" s="2732" t="s">
        <v>2464</v>
      </c>
      <c r="D126" s="2739" t="s">
        <v>98</v>
      </c>
      <c r="E126" s="2740">
        <v>1</v>
      </c>
      <c r="F126" s="2741">
        <v>0</v>
      </c>
      <c r="G126" s="2742">
        <f t="shared" ref="G126" si="18">E126*F126</f>
        <v>0</v>
      </c>
      <c r="H126" s="122"/>
    </row>
    <row r="127" spans="2:8" s="9" customFormat="1" ht="25.5" customHeight="1" x14ac:dyDescent="0.25">
      <c r="B127" s="293" t="s">
        <v>17</v>
      </c>
      <c r="C127" s="294" t="s">
        <v>302</v>
      </c>
      <c r="D127" s="218"/>
      <c r="E127" s="203"/>
      <c r="F127" s="204"/>
      <c r="G127" s="290">
        <f>SUM(G66:G126)</f>
        <v>0</v>
      </c>
      <c r="H127" s="150"/>
    </row>
    <row r="129" spans="2:8" ht="20.25" x14ac:dyDescent="0.2">
      <c r="B129" s="296" t="s">
        <v>18</v>
      </c>
      <c r="C129" s="297" t="s">
        <v>367</v>
      </c>
      <c r="D129" s="298"/>
      <c r="E129" s="299"/>
      <c r="F129" s="300"/>
      <c r="G129" s="301"/>
    </row>
    <row r="130" spans="2:8" x14ac:dyDescent="0.2">
      <c r="B130" s="3205" t="s">
        <v>539</v>
      </c>
      <c r="C130" s="3206"/>
      <c r="D130" s="3206"/>
      <c r="E130" s="3206"/>
      <c r="F130" s="3206"/>
      <c r="G130" s="3207"/>
    </row>
    <row r="131" spans="2:8" x14ac:dyDescent="0.2">
      <c r="B131" s="3205" t="s">
        <v>540</v>
      </c>
      <c r="C131" s="3206"/>
      <c r="D131" s="3206"/>
      <c r="E131" s="3206"/>
      <c r="F131" s="3206"/>
      <c r="G131" s="3207"/>
    </row>
    <row r="132" spans="2:8" x14ac:dyDescent="0.2">
      <c r="B132" s="3205" t="s">
        <v>541</v>
      </c>
      <c r="C132" s="3206"/>
      <c r="D132" s="3206"/>
      <c r="E132" s="3206"/>
      <c r="F132" s="3206"/>
      <c r="G132" s="3207"/>
    </row>
    <row r="133" spans="2:8" x14ac:dyDescent="0.2">
      <c r="B133" s="3205" t="s">
        <v>542</v>
      </c>
      <c r="C133" s="3206"/>
      <c r="D133" s="3206"/>
      <c r="E133" s="3206"/>
      <c r="F133" s="3206"/>
      <c r="G133" s="3207"/>
    </row>
    <row r="134" spans="2:8" x14ac:dyDescent="0.2">
      <c r="B134" s="3205" t="s">
        <v>543</v>
      </c>
      <c r="C134" s="3206"/>
      <c r="D134" s="3206"/>
      <c r="E134" s="3206"/>
      <c r="F134" s="3206"/>
      <c r="G134" s="3207"/>
    </row>
    <row r="135" spans="2:8" x14ac:dyDescent="0.2">
      <c r="B135" s="3205" t="s">
        <v>544</v>
      </c>
      <c r="C135" s="3206"/>
      <c r="D135" s="3206"/>
      <c r="E135" s="3206"/>
      <c r="F135" s="3206"/>
      <c r="G135" s="3207"/>
    </row>
    <row r="136" spans="2:8" x14ac:dyDescent="0.2">
      <c r="B136" s="3205" t="s">
        <v>545</v>
      </c>
      <c r="C136" s="3206"/>
      <c r="D136" s="3206"/>
      <c r="E136" s="3206"/>
      <c r="F136" s="3206"/>
      <c r="G136" s="3207"/>
    </row>
    <row r="137" spans="2:8" x14ac:dyDescent="0.2">
      <c r="B137" s="153">
        <v>2</v>
      </c>
      <c r="C137" s="357" t="s">
        <v>769</v>
      </c>
      <c r="D137" s="207"/>
      <c r="E137" s="199"/>
      <c r="F137" s="269"/>
      <c r="G137" s="270"/>
    </row>
    <row r="138" spans="2:8" s="121" customFormat="1" ht="387.75" customHeight="1" x14ac:dyDescent="0.2">
      <c r="B138" s="2743"/>
      <c r="C138" s="2744"/>
      <c r="D138" s="2745"/>
      <c r="E138" s="2746"/>
      <c r="F138" s="2747"/>
      <c r="G138" s="2736"/>
      <c r="H138" s="122"/>
    </row>
    <row r="139" spans="2:8" s="121" customFormat="1" ht="24.75" customHeight="1" x14ac:dyDescent="0.2">
      <c r="B139" s="2743"/>
      <c r="C139" s="2744" t="s">
        <v>2465</v>
      </c>
      <c r="D139" s="2748" t="s">
        <v>98</v>
      </c>
      <c r="E139" s="2746">
        <v>1</v>
      </c>
      <c r="F139" s="2747">
        <v>0</v>
      </c>
      <c r="G139" s="2736">
        <f t="shared" ref="G139" si="19">E139*F139</f>
        <v>0</v>
      </c>
      <c r="H139" s="122"/>
    </row>
    <row r="140" spans="2:8" ht="60" x14ac:dyDescent="0.2">
      <c r="B140" s="153"/>
      <c r="C140" s="311" t="s">
        <v>772</v>
      </c>
      <c r="D140" s="10" t="s">
        <v>123</v>
      </c>
      <c r="E140" s="199">
        <v>1</v>
      </c>
      <c r="F140" s="269">
        <v>0</v>
      </c>
      <c r="G140" s="270">
        <f>E140*F140</f>
        <v>0</v>
      </c>
    </row>
    <row r="141" spans="2:8" ht="48" x14ac:dyDescent="0.2">
      <c r="B141" s="153"/>
      <c r="C141" s="311" t="s">
        <v>771</v>
      </c>
      <c r="D141" s="10" t="s">
        <v>123</v>
      </c>
      <c r="E141" s="199">
        <v>2</v>
      </c>
      <c r="F141" s="269">
        <v>0</v>
      </c>
      <c r="G141" s="270">
        <f>E141*F141</f>
        <v>0</v>
      </c>
    </row>
    <row r="142" spans="2:8" ht="48" x14ac:dyDescent="0.2">
      <c r="B142" s="153"/>
      <c r="C142" s="311" t="s">
        <v>911</v>
      </c>
      <c r="D142" s="10" t="s">
        <v>123</v>
      </c>
      <c r="E142" s="199">
        <v>2</v>
      </c>
      <c r="F142" s="269">
        <v>0</v>
      </c>
      <c r="G142" s="270">
        <f>E142*F142</f>
        <v>0</v>
      </c>
    </row>
    <row r="143" spans="2:8" ht="180" x14ac:dyDescent="0.2">
      <c r="B143" s="153"/>
      <c r="C143" s="311" t="s">
        <v>773</v>
      </c>
      <c r="D143" s="10" t="s">
        <v>123</v>
      </c>
      <c r="E143" s="199">
        <v>1</v>
      </c>
      <c r="F143" s="269">
        <v>0</v>
      </c>
      <c r="G143" s="270">
        <f>E143*F143</f>
        <v>0</v>
      </c>
    </row>
    <row r="144" spans="2:8" x14ac:dyDescent="0.2">
      <c r="B144" s="153">
        <v>3</v>
      </c>
      <c r="C144" s="357" t="s">
        <v>775</v>
      </c>
      <c r="D144" s="207"/>
      <c r="E144" s="199"/>
      <c r="F144" s="269"/>
      <c r="G144" s="270"/>
    </row>
    <row r="145" spans="2:7" ht="276" x14ac:dyDescent="0.2">
      <c r="B145" s="153"/>
      <c r="C145" s="311" t="s">
        <v>816</v>
      </c>
      <c r="D145" s="10" t="s">
        <v>98</v>
      </c>
      <c r="E145" s="199">
        <v>1</v>
      </c>
      <c r="F145" s="269">
        <v>0</v>
      </c>
      <c r="G145" s="270">
        <f>E145*F145</f>
        <v>0</v>
      </c>
    </row>
    <row r="146" spans="2:7" ht="72" x14ac:dyDescent="0.2">
      <c r="B146" s="153"/>
      <c r="C146" s="311" t="s">
        <v>777</v>
      </c>
      <c r="D146" s="10" t="s">
        <v>98</v>
      </c>
      <c r="E146" s="199">
        <v>1</v>
      </c>
      <c r="F146" s="269">
        <v>0</v>
      </c>
      <c r="G146" s="270">
        <f>E146*F146</f>
        <v>0</v>
      </c>
    </row>
    <row r="147" spans="2:7" ht="84" x14ac:dyDescent="0.2">
      <c r="B147" s="153"/>
      <c r="C147" s="311" t="s">
        <v>778</v>
      </c>
      <c r="D147" s="10" t="s">
        <v>98</v>
      </c>
      <c r="E147" s="199">
        <v>1</v>
      </c>
      <c r="F147" s="269">
        <v>0</v>
      </c>
      <c r="G147" s="270">
        <f>E147*F147</f>
        <v>0</v>
      </c>
    </row>
    <row r="148" spans="2:7" x14ac:dyDescent="0.2">
      <c r="B148" s="153">
        <v>4</v>
      </c>
      <c r="C148" s="357" t="s">
        <v>779</v>
      </c>
      <c r="D148" s="207"/>
      <c r="E148" s="199"/>
      <c r="F148" s="269">
        <v>0</v>
      </c>
      <c r="G148" s="270"/>
    </row>
    <row r="149" spans="2:7" ht="60" x14ac:dyDescent="0.2">
      <c r="B149" s="153"/>
      <c r="C149" s="311" t="s">
        <v>780</v>
      </c>
      <c r="D149" s="10" t="s">
        <v>98</v>
      </c>
      <c r="E149" s="199">
        <v>2</v>
      </c>
      <c r="F149" s="269">
        <v>0</v>
      </c>
      <c r="G149" s="270">
        <f>E149*F149</f>
        <v>0</v>
      </c>
    </row>
    <row r="150" spans="2:7" ht="60" x14ac:dyDescent="0.2">
      <c r="B150" s="153"/>
      <c r="C150" s="311" t="s">
        <v>781</v>
      </c>
      <c r="D150" s="10" t="s">
        <v>98</v>
      </c>
      <c r="E150" s="199">
        <v>2</v>
      </c>
      <c r="F150" s="269">
        <v>0</v>
      </c>
      <c r="G150" s="270">
        <f>E150*F150</f>
        <v>0</v>
      </c>
    </row>
    <row r="151" spans="2:7" ht="96" x14ac:dyDescent="0.2">
      <c r="B151" s="153"/>
      <c r="C151" s="311" t="s">
        <v>783</v>
      </c>
      <c r="D151" s="10" t="s">
        <v>123</v>
      </c>
      <c r="E151" s="199">
        <v>1</v>
      </c>
      <c r="F151" s="269">
        <v>0</v>
      </c>
      <c r="G151" s="270">
        <f>E151*F151</f>
        <v>0</v>
      </c>
    </row>
    <row r="152" spans="2:7" ht="72" x14ac:dyDescent="0.2">
      <c r="B152" s="153"/>
      <c r="C152" s="197" t="s">
        <v>533</v>
      </c>
      <c r="D152" s="207" t="s">
        <v>123</v>
      </c>
      <c r="E152" s="199">
        <v>2</v>
      </c>
      <c r="F152" s="269">
        <v>0</v>
      </c>
      <c r="G152" s="270">
        <f>E152*F152</f>
        <v>0</v>
      </c>
    </row>
    <row r="153" spans="2:7" x14ac:dyDescent="0.2">
      <c r="B153" s="153">
        <v>5</v>
      </c>
      <c r="C153" s="357" t="s">
        <v>784</v>
      </c>
      <c r="D153" s="207"/>
      <c r="E153" s="199"/>
      <c r="F153" s="269"/>
      <c r="G153" s="270"/>
    </row>
    <row r="154" spans="2:7" x14ac:dyDescent="0.2">
      <c r="B154" s="153"/>
      <c r="C154" s="311" t="s">
        <v>643</v>
      </c>
      <c r="D154" s="207" t="s">
        <v>644</v>
      </c>
      <c r="E154" s="199">
        <v>20</v>
      </c>
      <c r="F154" s="269">
        <v>0</v>
      </c>
      <c r="G154" s="270">
        <f t="shared" ref="G154:G162" si="20">E154*F154</f>
        <v>0</v>
      </c>
    </row>
    <row r="155" spans="2:7" x14ac:dyDescent="0.2">
      <c r="B155" s="153"/>
      <c r="C155" s="311" t="s">
        <v>645</v>
      </c>
      <c r="D155" s="207" t="s">
        <v>644</v>
      </c>
      <c r="E155" s="199">
        <v>30</v>
      </c>
      <c r="F155" s="269">
        <v>0</v>
      </c>
      <c r="G155" s="270">
        <f t="shared" si="20"/>
        <v>0</v>
      </c>
    </row>
    <row r="156" spans="2:7" x14ac:dyDescent="0.2">
      <c r="B156" s="153"/>
      <c r="C156" s="311" t="s">
        <v>646</v>
      </c>
      <c r="D156" s="207" t="s">
        <v>644</v>
      </c>
      <c r="E156" s="199">
        <v>100</v>
      </c>
      <c r="F156" s="269">
        <v>0</v>
      </c>
      <c r="G156" s="270">
        <f t="shared" si="20"/>
        <v>0</v>
      </c>
    </row>
    <row r="157" spans="2:7" x14ac:dyDescent="0.2">
      <c r="B157" s="153"/>
      <c r="C157" s="311" t="s">
        <v>647</v>
      </c>
      <c r="D157" s="207" t="s">
        <v>644</v>
      </c>
      <c r="E157" s="199">
        <v>50</v>
      </c>
      <c r="F157" s="269">
        <v>0</v>
      </c>
      <c r="G157" s="270">
        <f t="shared" si="20"/>
        <v>0</v>
      </c>
    </row>
    <row r="158" spans="2:7" x14ac:dyDescent="0.2">
      <c r="B158" s="153"/>
      <c r="C158" s="311" t="s">
        <v>648</v>
      </c>
      <c r="D158" s="207" t="s">
        <v>644</v>
      </c>
      <c r="E158" s="199">
        <v>30</v>
      </c>
      <c r="F158" s="269">
        <v>0</v>
      </c>
      <c r="G158" s="270">
        <f t="shared" si="20"/>
        <v>0</v>
      </c>
    </row>
    <row r="159" spans="2:7" x14ac:dyDescent="0.2">
      <c r="B159" s="153"/>
      <c r="C159" s="311" t="s">
        <v>650</v>
      </c>
      <c r="D159" s="207" t="s">
        <v>123</v>
      </c>
      <c r="E159" s="199">
        <v>2</v>
      </c>
      <c r="F159" s="269">
        <v>0</v>
      </c>
      <c r="G159" s="270">
        <f t="shared" si="20"/>
        <v>0</v>
      </c>
    </row>
    <row r="160" spans="2:7" x14ac:dyDescent="0.2">
      <c r="B160" s="153"/>
      <c r="C160" s="311" t="s">
        <v>651</v>
      </c>
      <c r="D160" s="207" t="s">
        <v>644</v>
      </c>
      <c r="E160" s="199">
        <v>50</v>
      </c>
      <c r="F160" s="269">
        <v>0</v>
      </c>
      <c r="G160" s="270">
        <f t="shared" si="20"/>
        <v>0</v>
      </c>
    </row>
    <row r="161" spans="2:7" x14ac:dyDescent="0.2">
      <c r="B161" s="153"/>
      <c r="C161" s="311" t="s">
        <v>652</v>
      </c>
      <c r="D161" s="207" t="s">
        <v>644</v>
      </c>
      <c r="E161" s="199">
        <v>30</v>
      </c>
      <c r="F161" s="269">
        <v>0</v>
      </c>
      <c r="G161" s="270">
        <f t="shared" si="20"/>
        <v>0</v>
      </c>
    </row>
    <row r="162" spans="2:7" x14ac:dyDescent="0.2">
      <c r="B162" s="153"/>
      <c r="C162" s="311" t="s">
        <v>632</v>
      </c>
      <c r="D162" s="207" t="s">
        <v>98</v>
      </c>
      <c r="E162" s="199">
        <v>1</v>
      </c>
      <c r="F162" s="269">
        <v>0</v>
      </c>
      <c r="G162" s="270">
        <f t="shared" si="20"/>
        <v>0</v>
      </c>
    </row>
    <row r="163" spans="2:7" x14ac:dyDescent="0.2">
      <c r="B163" s="153">
        <v>6</v>
      </c>
      <c r="C163" s="357" t="s">
        <v>785</v>
      </c>
      <c r="D163" s="207"/>
      <c r="E163" s="199"/>
      <c r="F163" s="269">
        <v>0</v>
      </c>
      <c r="G163" s="270"/>
    </row>
    <row r="164" spans="2:7" ht="24" x14ac:dyDescent="0.2">
      <c r="B164" s="153"/>
      <c r="C164" s="311" t="s">
        <v>666</v>
      </c>
      <c r="D164" s="207" t="s">
        <v>644</v>
      </c>
      <c r="E164" s="199">
        <v>20</v>
      </c>
      <c r="F164" s="269">
        <v>0</v>
      </c>
      <c r="G164" s="270">
        <f t="shared" ref="G164:G171" si="21">E164*F164</f>
        <v>0</v>
      </c>
    </row>
    <row r="165" spans="2:7" x14ac:dyDescent="0.2">
      <c r="B165" s="153"/>
      <c r="C165" s="311" t="s">
        <v>667</v>
      </c>
      <c r="D165" s="207" t="s">
        <v>644</v>
      </c>
      <c r="E165" s="199">
        <v>50</v>
      </c>
      <c r="F165" s="269">
        <v>0</v>
      </c>
      <c r="G165" s="270">
        <f t="shared" si="21"/>
        <v>0</v>
      </c>
    </row>
    <row r="166" spans="2:7" x14ac:dyDescent="0.2">
      <c r="B166" s="153"/>
      <c r="C166" s="311" t="s">
        <v>668</v>
      </c>
      <c r="D166" s="207" t="s">
        <v>644</v>
      </c>
      <c r="E166" s="199">
        <v>20</v>
      </c>
      <c r="F166" s="269">
        <v>0</v>
      </c>
      <c r="G166" s="270">
        <f t="shared" si="21"/>
        <v>0</v>
      </c>
    </row>
    <row r="167" spans="2:7" ht="24" x14ac:dyDescent="0.2">
      <c r="B167" s="153"/>
      <c r="C167" s="311" t="s">
        <v>673</v>
      </c>
      <c r="D167" s="207" t="s">
        <v>123</v>
      </c>
      <c r="E167" s="199">
        <v>2</v>
      </c>
      <c r="F167" s="269">
        <v>0</v>
      </c>
      <c r="G167" s="270">
        <f t="shared" si="21"/>
        <v>0</v>
      </c>
    </row>
    <row r="168" spans="2:7" x14ac:dyDescent="0.2">
      <c r="B168" s="153"/>
      <c r="C168" s="311" t="s">
        <v>787</v>
      </c>
      <c r="D168" s="207" t="s">
        <v>123</v>
      </c>
      <c r="E168" s="199">
        <v>1</v>
      </c>
      <c r="F168" s="269">
        <v>0</v>
      </c>
      <c r="G168" s="270">
        <f t="shared" si="21"/>
        <v>0</v>
      </c>
    </row>
    <row r="169" spans="2:7" x14ac:dyDescent="0.2">
      <c r="B169" s="153"/>
      <c r="C169" s="311" t="s">
        <v>675</v>
      </c>
      <c r="D169" s="207" t="s">
        <v>123</v>
      </c>
      <c r="E169" s="199">
        <v>3</v>
      </c>
      <c r="F169" s="269">
        <v>0</v>
      </c>
      <c r="G169" s="270">
        <f t="shared" si="21"/>
        <v>0</v>
      </c>
    </row>
    <row r="170" spans="2:7" x14ac:dyDescent="0.2">
      <c r="B170" s="153"/>
      <c r="C170" s="311" t="s">
        <v>676</v>
      </c>
      <c r="D170" s="207" t="s">
        <v>123</v>
      </c>
      <c r="E170" s="199">
        <v>2</v>
      </c>
      <c r="F170" s="269">
        <v>0</v>
      </c>
      <c r="G170" s="270">
        <f t="shared" si="21"/>
        <v>0</v>
      </c>
    </row>
    <row r="171" spans="2:7" ht="24" x14ac:dyDescent="0.2">
      <c r="B171" s="153"/>
      <c r="C171" s="311" t="s">
        <v>677</v>
      </c>
      <c r="D171" s="207" t="s">
        <v>123</v>
      </c>
      <c r="E171" s="199">
        <v>1</v>
      </c>
      <c r="F171" s="269">
        <v>0</v>
      </c>
      <c r="G171" s="270">
        <f t="shared" si="21"/>
        <v>0</v>
      </c>
    </row>
    <row r="172" spans="2:7" x14ac:dyDescent="0.2">
      <c r="B172" s="153">
        <v>7</v>
      </c>
      <c r="C172" s="357" t="s">
        <v>788</v>
      </c>
      <c r="D172" s="207"/>
      <c r="E172" s="199"/>
      <c r="F172" s="269"/>
      <c r="G172" s="270"/>
    </row>
    <row r="173" spans="2:7" x14ac:dyDescent="0.2">
      <c r="B173" s="153"/>
      <c r="C173" s="197" t="s">
        <v>655</v>
      </c>
      <c r="D173" s="207" t="s">
        <v>644</v>
      </c>
      <c r="E173" s="199">
        <v>10</v>
      </c>
      <c r="F173" s="269">
        <v>0</v>
      </c>
      <c r="G173" s="270">
        <f>E173*F173</f>
        <v>0</v>
      </c>
    </row>
    <row r="174" spans="2:7" ht="36" x14ac:dyDescent="0.2">
      <c r="B174" s="153"/>
      <c r="C174" s="197" t="s">
        <v>656</v>
      </c>
      <c r="D174" s="207" t="s">
        <v>98</v>
      </c>
      <c r="E174" s="199">
        <v>1</v>
      </c>
      <c r="F174" s="269">
        <v>0</v>
      </c>
      <c r="G174" s="270">
        <f>E174*F174</f>
        <v>0</v>
      </c>
    </row>
    <row r="175" spans="2:7" ht="24" x14ac:dyDescent="0.2">
      <c r="B175" s="153"/>
      <c r="C175" s="197" t="s">
        <v>657</v>
      </c>
      <c r="D175" s="207" t="s">
        <v>98</v>
      </c>
      <c r="E175" s="199">
        <v>1</v>
      </c>
      <c r="F175" s="269">
        <v>0</v>
      </c>
      <c r="G175" s="270">
        <f>E175*F175</f>
        <v>0</v>
      </c>
    </row>
    <row r="176" spans="2:7" x14ac:dyDescent="0.2">
      <c r="B176" s="153"/>
      <c r="C176" s="197" t="s">
        <v>663</v>
      </c>
      <c r="D176" s="207" t="s">
        <v>98</v>
      </c>
      <c r="E176" s="199">
        <v>1</v>
      </c>
      <c r="F176" s="269">
        <v>0</v>
      </c>
      <c r="G176" s="270">
        <f>E176*F176</f>
        <v>0</v>
      </c>
    </row>
    <row r="177" spans="2:7" x14ac:dyDescent="0.2">
      <c r="B177" s="153">
        <v>8</v>
      </c>
      <c r="C177" s="357" t="s">
        <v>679</v>
      </c>
      <c r="D177" s="207"/>
      <c r="E177" s="199"/>
      <c r="F177" s="269"/>
      <c r="G177" s="270"/>
    </row>
    <row r="178" spans="2:7" ht="48" x14ac:dyDescent="0.2">
      <c r="B178" s="153"/>
      <c r="C178" s="311" t="s">
        <v>817</v>
      </c>
      <c r="D178" s="10" t="s">
        <v>98</v>
      </c>
      <c r="E178" s="199">
        <v>1</v>
      </c>
      <c r="F178" s="269">
        <v>0</v>
      </c>
      <c r="G178" s="270">
        <f>E178*F178</f>
        <v>0</v>
      </c>
    </row>
    <row r="179" spans="2:7" ht="36" x14ac:dyDescent="0.2">
      <c r="B179" s="153"/>
      <c r="C179" s="311" t="s">
        <v>790</v>
      </c>
      <c r="D179" s="10" t="s">
        <v>98</v>
      </c>
      <c r="E179" s="199">
        <v>1</v>
      </c>
      <c r="F179" s="269">
        <v>0</v>
      </c>
      <c r="G179" s="270">
        <f>E179*F179</f>
        <v>0</v>
      </c>
    </row>
    <row r="180" spans="2:7" ht="36" x14ac:dyDescent="0.2">
      <c r="B180" s="153"/>
      <c r="C180" s="311" t="s">
        <v>791</v>
      </c>
      <c r="D180" s="10" t="s">
        <v>98</v>
      </c>
      <c r="E180" s="199">
        <v>1</v>
      </c>
      <c r="F180" s="269">
        <v>0</v>
      </c>
      <c r="G180" s="270">
        <f>E180*F180</f>
        <v>0</v>
      </c>
    </row>
    <row r="181" spans="2:7" ht="36" x14ac:dyDescent="0.2">
      <c r="B181" s="153"/>
      <c r="C181" s="311" t="s">
        <v>792</v>
      </c>
      <c r="D181" s="10" t="s">
        <v>98</v>
      </c>
      <c r="E181" s="199">
        <v>1</v>
      </c>
      <c r="F181" s="269">
        <v>0</v>
      </c>
      <c r="G181" s="270">
        <f>E181*F181</f>
        <v>0</v>
      </c>
    </row>
    <row r="182" spans="2:7" x14ac:dyDescent="0.2">
      <c r="B182" s="293" t="s">
        <v>18</v>
      </c>
      <c r="C182" s="294" t="s">
        <v>794</v>
      </c>
      <c r="D182" s="218"/>
      <c r="E182" s="203"/>
      <c r="F182" s="204"/>
      <c r="G182" s="290">
        <f>SUM(G137:G181)</f>
        <v>0</v>
      </c>
    </row>
  </sheetData>
  <mergeCells count="9">
    <mergeCell ref="B133:G133"/>
    <mergeCell ref="B134:G134"/>
    <mergeCell ref="B135:G135"/>
    <mergeCell ref="B136:G136"/>
    <mergeCell ref="B34:G34"/>
    <mergeCell ref="B65:G65"/>
    <mergeCell ref="B130:G130"/>
    <mergeCell ref="B131:G131"/>
    <mergeCell ref="B132:G132"/>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30" max="16383" man="1"/>
    <brk id="5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66A5-6686-462E-AAEF-3096B82EF2F2}">
  <sheetPr codeName="Sheet10">
    <tabColor rgb="FFFFFF00"/>
  </sheetPr>
  <dimension ref="A2:L187"/>
  <sheetViews>
    <sheetView showZeros="0" topLeftCell="A97" zoomScale="110" zoomScaleNormal="110" workbookViewId="0">
      <selection activeCell="B109" sqref="B109:G109"/>
    </sheetView>
  </sheetViews>
  <sheetFormatPr defaultColWidth="10.42578125" defaultRowHeight="12.75" x14ac:dyDescent="0.2"/>
  <cols>
    <col min="1" max="1" width="4.42578125" style="1" customWidth="1"/>
    <col min="2" max="2" width="7.42578125" style="8" customWidth="1"/>
    <col min="3" max="3" width="54.14062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4.28515625" style="1" bestFit="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5.75" x14ac:dyDescent="0.2">
      <c r="A2" s="121"/>
      <c r="B2" s="137"/>
      <c r="C2" s="354" t="s">
        <v>59</v>
      </c>
      <c r="D2" s="155"/>
      <c r="E2" s="156"/>
      <c r="F2" s="157"/>
      <c r="G2" s="355" t="s">
        <v>60</v>
      </c>
      <c r="H2" s="122"/>
      <c r="I2" s="121"/>
      <c r="J2" s="121"/>
      <c r="K2" s="121"/>
      <c r="L2" s="121"/>
    </row>
    <row r="4" spans="1:12" s="25" customFormat="1" ht="15" x14ac:dyDescent="0.25">
      <c r="A4" s="119"/>
      <c r="B4" s="146" t="s">
        <v>7</v>
      </c>
      <c r="C4" s="330" t="s">
        <v>869</v>
      </c>
      <c r="D4" s="158"/>
      <c r="E4" s="159"/>
      <c r="F4" s="160"/>
      <c r="G4" s="161"/>
      <c r="H4" s="26"/>
      <c r="I4" s="119"/>
      <c r="J4" s="119"/>
      <c r="K4" s="119"/>
      <c r="L4" s="119"/>
    </row>
    <row r="5" spans="1:12" s="25" customFormat="1" ht="15" x14ac:dyDescent="0.25">
      <c r="A5" s="119"/>
      <c r="B5" s="145"/>
      <c r="C5" s="162"/>
      <c r="D5" s="163"/>
      <c r="E5" s="164"/>
      <c r="F5" s="165"/>
      <c r="G5" s="166"/>
      <c r="H5" s="26"/>
      <c r="I5" s="119"/>
      <c r="J5" s="119"/>
      <c r="K5" s="119"/>
      <c r="L5" s="119"/>
    </row>
    <row r="6" spans="1:12" s="23" customFormat="1" ht="15" x14ac:dyDescent="0.2">
      <c r="A6" s="125"/>
      <c r="B6" s="328" t="s">
        <v>80</v>
      </c>
      <c r="C6" s="329" t="s">
        <v>2520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5" x14ac:dyDescent="0.2">
      <c r="A8" s="140"/>
      <c r="B8" s="143" t="s">
        <v>1</v>
      </c>
      <c r="C8" s="168"/>
      <c r="D8" s="170"/>
      <c r="E8" s="170"/>
      <c r="F8" s="170"/>
      <c r="G8" s="169"/>
      <c r="H8" s="139"/>
      <c r="I8" s="139"/>
      <c r="J8" s="139"/>
      <c r="K8" s="139"/>
      <c r="L8" s="139"/>
    </row>
    <row r="9" spans="1:12" s="24" customFormat="1" ht="15.75" x14ac:dyDescent="0.25">
      <c r="A9" s="141"/>
      <c r="B9" s="144" t="s">
        <v>2</v>
      </c>
      <c r="C9" s="171"/>
      <c r="D9" s="172"/>
      <c r="E9" s="173"/>
      <c r="F9" s="173"/>
      <c r="G9" s="172"/>
      <c r="H9" s="139"/>
      <c r="I9" s="139"/>
      <c r="J9" s="139"/>
      <c r="K9" s="139"/>
      <c r="L9" s="139"/>
    </row>
    <row r="10" spans="1:12" s="24" customFormat="1" ht="15" x14ac:dyDescent="0.2">
      <c r="A10" s="140"/>
      <c r="B10" s="143" t="s">
        <v>3</v>
      </c>
      <c r="C10" s="168"/>
      <c r="D10" s="170"/>
      <c r="E10" s="170"/>
      <c r="F10" s="170"/>
      <c r="G10" s="169"/>
      <c r="H10" s="139"/>
      <c r="I10" s="139"/>
      <c r="J10" s="139"/>
      <c r="K10" s="139"/>
      <c r="L10" s="139"/>
    </row>
    <row r="11" spans="1:12" s="24" customFormat="1" ht="15.75"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5" x14ac:dyDescent="0.2">
      <c r="A13" s="125"/>
      <c r="B13" s="138"/>
      <c r="C13" s="334" t="s">
        <v>82</v>
      </c>
      <c r="D13" s="179"/>
      <c r="E13" s="180"/>
      <c r="F13" s="181"/>
      <c r="G13" s="182"/>
      <c r="H13" s="123"/>
      <c r="I13" s="119"/>
      <c r="J13" s="119"/>
      <c r="K13" s="124"/>
      <c r="L13" s="124"/>
    </row>
    <row r="14" spans="1:12" s="21" customFormat="1" x14ac:dyDescent="0.2">
      <c r="A14" s="126"/>
      <c r="B14" s="315" t="s">
        <v>83</v>
      </c>
      <c r="C14" s="335" t="s">
        <v>84</v>
      </c>
      <c r="D14" s="336"/>
      <c r="E14" s="337"/>
      <c r="F14" s="338"/>
      <c r="G14" s="339" t="s">
        <v>64</v>
      </c>
      <c r="H14" s="22"/>
      <c r="I14" s="119"/>
      <c r="J14" s="119"/>
      <c r="K14" s="126"/>
      <c r="L14" s="126"/>
    </row>
    <row r="15" spans="1:12" s="17" customFormat="1" ht="14.25" x14ac:dyDescent="0.2">
      <c r="A15" s="331"/>
      <c r="B15" s="332" t="s">
        <v>10</v>
      </c>
      <c r="C15" s="340" t="s">
        <v>85</v>
      </c>
      <c r="D15" s="341"/>
      <c r="E15" s="342"/>
      <c r="F15" s="343"/>
      <c r="G15" s="20">
        <f>G27</f>
        <v>0</v>
      </c>
      <c r="H15" s="18"/>
      <c r="I15" s="124"/>
      <c r="J15" s="124"/>
      <c r="K15" s="331"/>
      <c r="L15" s="331"/>
    </row>
    <row r="16" spans="1:12" s="17" customFormat="1" ht="14.25" x14ac:dyDescent="0.2">
      <c r="A16" s="331"/>
      <c r="B16" s="332" t="s">
        <v>12</v>
      </c>
      <c r="C16" s="340" t="s">
        <v>86</v>
      </c>
      <c r="D16" s="341"/>
      <c r="E16" s="342"/>
      <c r="F16" s="343"/>
      <c r="G16" s="20">
        <f>G41</f>
        <v>0</v>
      </c>
      <c r="H16" s="18"/>
      <c r="I16" s="124"/>
      <c r="J16" s="124"/>
      <c r="K16" s="331"/>
      <c r="L16" s="331"/>
    </row>
    <row r="17" spans="1:12" s="17" customFormat="1" x14ac:dyDescent="0.2">
      <c r="B17" s="332" t="s">
        <v>17</v>
      </c>
      <c r="C17" s="340" t="s">
        <v>87</v>
      </c>
      <c r="D17" s="341"/>
      <c r="E17" s="342"/>
      <c r="F17" s="343"/>
      <c r="G17" s="20">
        <f>G101</f>
        <v>0</v>
      </c>
      <c r="H17" s="18"/>
      <c r="I17" s="139"/>
      <c r="J17" s="139"/>
    </row>
    <row r="18" spans="1:12" s="331" customFormat="1" x14ac:dyDescent="0.2">
      <c r="B18" s="332" t="s">
        <v>18</v>
      </c>
      <c r="C18" s="340" t="s">
        <v>367</v>
      </c>
      <c r="D18" s="341"/>
      <c r="E18" s="342"/>
      <c r="F18" s="58"/>
      <c r="G18" s="20">
        <f>G187</f>
        <v>0</v>
      </c>
      <c r="H18" s="18"/>
      <c r="I18" s="139"/>
      <c r="J18" s="139"/>
    </row>
    <row r="19" spans="1:12" s="17" customFormat="1" x14ac:dyDescent="0.2">
      <c r="B19" s="333"/>
      <c r="C19" s="344" t="s">
        <v>88</v>
      </c>
      <c r="D19" s="345"/>
      <c r="E19" s="346"/>
      <c r="F19" s="347"/>
      <c r="G19" s="19">
        <f>SUM(G15:G18)</f>
        <v>0</v>
      </c>
      <c r="H19" s="18"/>
      <c r="I19" s="139"/>
      <c r="J19" s="139"/>
    </row>
    <row r="20" spans="1:12" x14ac:dyDescent="0.2">
      <c r="B20" s="127"/>
      <c r="C20" s="183"/>
      <c r="D20" s="184"/>
      <c r="E20" s="185"/>
      <c r="F20" s="186"/>
      <c r="G20" s="187"/>
      <c r="H20" s="122"/>
      <c r="I20" s="139"/>
      <c r="J20" s="139"/>
    </row>
    <row r="21" spans="1:12" ht="14.25" x14ac:dyDescent="0.2">
      <c r="B21" s="120"/>
      <c r="C21" s="188"/>
      <c r="D21" s="189"/>
      <c r="E21" s="190"/>
      <c r="F21" s="191"/>
      <c r="G21" s="187"/>
      <c r="H21" s="122"/>
      <c r="I21" s="124"/>
      <c r="J21" s="124"/>
    </row>
    <row r="22" spans="1:12" ht="24" x14ac:dyDescent="0.2">
      <c r="B22" s="128" t="s">
        <v>83</v>
      </c>
      <c r="C22" s="192" t="s">
        <v>89</v>
      </c>
      <c r="D22" s="193" t="s">
        <v>90</v>
      </c>
      <c r="E22" s="194" t="s">
        <v>91</v>
      </c>
      <c r="F22" s="195" t="s">
        <v>92</v>
      </c>
      <c r="G22" s="196" t="s">
        <v>93</v>
      </c>
      <c r="H22" s="122"/>
      <c r="I22" s="121"/>
      <c r="J22" s="121"/>
    </row>
    <row r="23" spans="1:12" x14ac:dyDescent="0.2">
      <c r="B23" s="129"/>
      <c r="C23" s="197"/>
      <c r="D23" s="198"/>
      <c r="E23" s="199"/>
      <c r="F23" s="200"/>
      <c r="G23" s="201"/>
      <c r="H23" s="122"/>
      <c r="I23" s="121"/>
      <c r="J23" s="121"/>
    </row>
    <row r="24" spans="1:12" s="16" customFormat="1" ht="20.25" x14ac:dyDescent="0.3">
      <c r="B24" s="303" t="s">
        <v>10</v>
      </c>
      <c r="C24" s="306" t="s">
        <v>85</v>
      </c>
      <c r="D24" s="305"/>
      <c r="E24" s="299"/>
      <c r="F24" s="300"/>
      <c r="G24" s="301"/>
      <c r="H24" s="302"/>
      <c r="I24" s="295"/>
      <c r="J24" s="295"/>
    </row>
    <row r="25" spans="1:12" ht="108" x14ac:dyDescent="0.2">
      <c r="B25" s="129">
        <v>1</v>
      </c>
      <c r="C25" s="208" t="s">
        <v>99</v>
      </c>
      <c r="D25" s="209" t="s">
        <v>98</v>
      </c>
      <c r="E25" s="199">
        <v>1</v>
      </c>
      <c r="F25" s="44">
        <v>0</v>
      </c>
      <c r="G25" s="270">
        <f>E25*F25</f>
        <v>0</v>
      </c>
      <c r="H25" s="122"/>
      <c r="I25" s="121"/>
      <c r="J25" s="121"/>
    </row>
    <row r="26" spans="1:12" ht="36" x14ac:dyDescent="0.2">
      <c r="B26" s="129">
        <v>2</v>
      </c>
      <c r="C26" s="212" t="s">
        <v>106</v>
      </c>
      <c r="D26" s="210" t="s">
        <v>98</v>
      </c>
      <c r="E26" s="213">
        <v>1</v>
      </c>
      <c r="F26" s="44">
        <v>0</v>
      </c>
      <c r="G26" s="270">
        <f>E26*F26</f>
        <v>0</v>
      </c>
      <c r="H26" s="122"/>
      <c r="I26" s="121"/>
      <c r="J26" s="121"/>
    </row>
    <row r="27" spans="1:12" s="9" customFormat="1" x14ac:dyDescent="0.25">
      <c r="B27" s="327" t="s">
        <v>10</v>
      </c>
      <c r="C27" s="214" t="s">
        <v>108</v>
      </c>
      <c r="D27" s="214"/>
      <c r="E27" s="215"/>
      <c r="F27" s="216"/>
      <c r="G27" s="290">
        <f>SUM(G25:G26)</f>
        <v>0</v>
      </c>
      <c r="H27" s="150"/>
      <c r="I27" s="147"/>
      <c r="J27" s="147"/>
    </row>
    <row r="28" spans="1:12" x14ac:dyDescent="0.2">
      <c r="B28" s="129"/>
      <c r="C28" s="197"/>
      <c r="D28" s="198"/>
      <c r="E28" s="199"/>
      <c r="F28" s="200"/>
      <c r="G28" s="201"/>
      <c r="H28" s="122"/>
      <c r="I28" s="121"/>
      <c r="J28" s="121"/>
    </row>
    <row r="29" spans="1:12" ht="24" x14ac:dyDescent="0.2">
      <c r="B29" s="128" t="s">
        <v>83</v>
      </c>
      <c r="C29" s="192" t="s">
        <v>89</v>
      </c>
      <c r="D29" s="193" t="s">
        <v>90</v>
      </c>
      <c r="E29" s="194" t="s">
        <v>91</v>
      </c>
      <c r="F29" s="195" t="s">
        <v>92</v>
      </c>
      <c r="G29" s="196" t="s">
        <v>93</v>
      </c>
      <c r="H29" s="122"/>
      <c r="I29" s="121"/>
      <c r="J29" s="121"/>
    </row>
    <row r="30" spans="1:12" x14ac:dyDescent="0.2">
      <c r="B30" s="129"/>
      <c r="C30" s="217"/>
      <c r="D30" s="207"/>
      <c r="E30" s="199"/>
      <c r="F30" s="200"/>
      <c r="G30" s="201"/>
      <c r="H30" s="122"/>
      <c r="I30" s="121"/>
      <c r="J30" s="121"/>
    </row>
    <row r="31" spans="1:12" s="16" customFormat="1" ht="20.25" x14ac:dyDescent="0.3">
      <c r="A31" s="295"/>
      <c r="B31" s="303" t="s">
        <v>12</v>
      </c>
      <c r="C31" s="304" t="s">
        <v>109</v>
      </c>
      <c r="D31" s="298"/>
      <c r="E31" s="299"/>
      <c r="F31" s="300"/>
      <c r="G31" s="301"/>
      <c r="H31" s="302"/>
      <c r="I31" s="295"/>
      <c r="J31" s="295"/>
      <c r="K31" s="295"/>
      <c r="L31" s="295"/>
    </row>
    <row r="32" spans="1:12" s="43" customFormat="1" x14ac:dyDescent="0.2">
      <c r="A32" s="130"/>
      <c r="B32" s="3184" t="s">
        <v>110</v>
      </c>
      <c r="C32" s="3185"/>
      <c r="D32" s="3185"/>
      <c r="E32" s="3185"/>
      <c r="F32" s="3185"/>
      <c r="G32" s="3186"/>
      <c r="H32" s="122"/>
      <c r="I32" s="130"/>
      <c r="J32" s="130"/>
      <c r="K32" s="130"/>
      <c r="L32" s="130"/>
    </row>
    <row r="33" spans="1:12" ht="36" x14ac:dyDescent="0.2">
      <c r="A33" s="121"/>
      <c r="B33" s="131">
        <v>1</v>
      </c>
      <c r="C33" s="49" t="s">
        <v>892</v>
      </c>
      <c r="D33" s="68" t="s">
        <v>117</v>
      </c>
      <c r="E33" s="199">
        <v>85</v>
      </c>
      <c r="F33" s="44">
        <v>0</v>
      </c>
      <c r="G33" s="270">
        <f t="shared" ref="G33:G40" si="0">E33*F33</f>
        <v>0</v>
      </c>
      <c r="H33" s="122"/>
      <c r="I33" s="132"/>
      <c r="J33" s="121"/>
      <c r="K33" s="121"/>
      <c r="L33" s="121"/>
    </row>
    <row r="34" spans="1:12" ht="24" x14ac:dyDescent="0.2">
      <c r="A34" s="121"/>
      <c r="B34" s="131">
        <v>2</v>
      </c>
      <c r="C34" s="49" t="s">
        <v>893</v>
      </c>
      <c r="D34" s="68" t="s">
        <v>117</v>
      </c>
      <c r="E34" s="199">
        <v>45</v>
      </c>
      <c r="F34" s="44">
        <v>0</v>
      </c>
      <c r="G34" s="270">
        <f t="shared" si="0"/>
        <v>0</v>
      </c>
      <c r="H34" s="122"/>
      <c r="I34" s="132"/>
      <c r="J34" s="121"/>
      <c r="K34" s="121"/>
      <c r="L34" s="121"/>
    </row>
    <row r="35" spans="1:12" ht="41.25" customHeight="1" x14ac:dyDescent="0.2">
      <c r="A35" s="121"/>
      <c r="B35" s="131">
        <v>3</v>
      </c>
      <c r="C35" s="206" t="s">
        <v>2571</v>
      </c>
      <c r="D35" s="68" t="s">
        <v>117</v>
      </c>
      <c r="E35" s="199">
        <v>45</v>
      </c>
      <c r="F35" s="44">
        <v>0</v>
      </c>
      <c r="G35" s="270">
        <f t="shared" si="0"/>
        <v>0</v>
      </c>
      <c r="H35" s="122"/>
      <c r="I35" s="133"/>
      <c r="J35" s="121"/>
      <c r="K35" s="134"/>
      <c r="L35" s="134"/>
    </row>
    <row r="36" spans="1:12" ht="24" x14ac:dyDescent="0.2">
      <c r="A36" s="121"/>
      <c r="B36" s="131">
        <v>4</v>
      </c>
      <c r="C36" s="206" t="s">
        <v>2570</v>
      </c>
      <c r="D36" s="68" t="s">
        <v>117</v>
      </c>
      <c r="E36" s="199">
        <v>35</v>
      </c>
      <c r="F36" s="44">
        <v>0</v>
      </c>
      <c r="G36" s="270">
        <f t="shared" si="0"/>
        <v>0</v>
      </c>
      <c r="H36" s="122"/>
      <c r="I36" s="133"/>
      <c r="J36" s="121"/>
      <c r="K36" s="121"/>
      <c r="L36" s="121"/>
    </row>
    <row r="37" spans="1:12" ht="24" x14ac:dyDescent="0.2">
      <c r="A37" s="121"/>
      <c r="B37" s="131">
        <v>5</v>
      </c>
      <c r="C37" s="206" t="s">
        <v>1830</v>
      </c>
      <c r="D37" s="219" t="s">
        <v>149</v>
      </c>
      <c r="E37" s="220">
        <v>8</v>
      </c>
      <c r="F37" s="44">
        <v>0</v>
      </c>
      <c r="G37" s="270">
        <f t="shared" si="0"/>
        <v>0</v>
      </c>
      <c r="H37" s="122"/>
      <c r="I37" s="132"/>
      <c r="J37" s="121"/>
      <c r="K37" s="121"/>
      <c r="L37" s="121"/>
    </row>
    <row r="38" spans="1:12" ht="30" customHeight="1" x14ac:dyDescent="0.2">
      <c r="A38" s="121"/>
      <c r="B38" s="131">
        <v>6</v>
      </c>
      <c r="C38" s="206" t="s">
        <v>2566</v>
      </c>
      <c r="D38" s="209" t="s">
        <v>117</v>
      </c>
      <c r="E38" s="199">
        <v>85</v>
      </c>
      <c r="F38" s="44">
        <v>0</v>
      </c>
      <c r="G38" s="270">
        <f t="shared" si="0"/>
        <v>0</v>
      </c>
      <c r="H38" s="122"/>
      <c r="I38" s="132"/>
      <c r="J38" s="121"/>
      <c r="K38" s="121"/>
      <c r="L38" s="121"/>
    </row>
    <row r="39" spans="1:12" ht="28.5" customHeight="1" x14ac:dyDescent="0.2">
      <c r="A39" s="121"/>
      <c r="B39" s="131">
        <v>7</v>
      </c>
      <c r="C39" s="206" t="s">
        <v>1832</v>
      </c>
      <c r="D39" s="68" t="s">
        <v>117</v>
      </c>
      <c r="E39" s="199">
        <v>25</v>
      </c>
      <c r="F39" s="44">
        <v>0</v>
      </c>
      <c r="G39" s="270">
        <f t="shared" si="0"/>
        <v>0</v>
      </c>
      <c r="H39" s="122"/>
      <c r="I39" s="133"/>
      <c r="J39" s="121"/>
      <c r="K39" s="121"/>
      <c r="L39" s="121"/>
    </row>
    <row r="40" spans="1:12" ht="24" x14ac:dyDescent="0.2">
      <c r="A40" s="121"/>
      <c r="B40" s="131">
        <v>8</v>
      </c>
      <c r="C40" s="223" t="s">
        <v>155</v>
      </c>
      <c r="D40" s="222" t="s">
        <v>156</v>
      </c>
      <c r="E40" s="47">
        <v>7</v>
      </c>
      <c r="F40" s="44">
        <v>0</v>
      </c>
      <c r="G40" s="270">
        <f t="shared" si="0"/>
        <v>0</v>
      </c>
      <c r="H40" s="122"/>
      <c r="I40" s="121"/>
      <c r="J40" s="121"/>
      <c r="K40" s="121"/>
      <c r="L40" s="121"/>
    </row>
    <row r="41" spans="1:12" s="9" customFormat="1" x14ac:dyDescent="0.25">
      <c r="A41" s="147"/>
      <c r="B41" s="327" t="s">
        <v>12</v>
      </c>
      <c r="C41" s="214" t="s">
        <v>157</v>
      </c>
      <c r="D41" s="224"/>
      <c r="E41" s="215"/>
      <c r="F41" s="216"/>
      <c r="G41" s="290">
        <f>SUM(G33:G40)</f>
        <v>0</v>
      </c>
      <c r="H41" s="150"/>
      <c r="I41" s="147"/>
      <c r="J41" s="147"/>
      <c r="K41" s="147"/>
      <c r="L41" s="147"/>
    </row>
    <row r="42" spans="1:12" x14ac:dyDescent="0.2">
      <c r="A42" s="121"/>
      <c r="B42" s="129"/>
      <c r="C42" s="197"/>
      <c r="D42" s="198"/>
      <c r="E42" s="199"/>
      <c r="F42" s="200"/>
      <c r="G42" s="201"/>
      <c r="H42" s="122"/>
      <c r="I42" s="121"/>
      <c r="J42" s="121"/>
      <c r="K42" s="121"/>
      <c r="L42" s="121"/>
    </row>
    <row r="43" spans="1:12" ht="24" x14ac:dyDescent="0.2">
      <c r="A43" s="121"/>
      <c r="B43" s="128" t="s">
        <v>83</v>
      </c>
      <c r="C43" s="192" t="s">
        <v>89</v>
      </c>
      <c r="D43" s="192" t="s">
        <v>90</v>
      </c>
      <c r="E43" s="194" t="s">
        <v>91</v>
      </c>
      <c r="F43" s="195" t="s">
        <v>92</v>
      </c>
      <c r="G43" s="196" t="s">
        <v>93</v>
      </c>
      <c r="H43" s="122"/>
      <c r="I43" s="121"/>
      <c r="J43" s="121"/>
      <c r="K43" s="121"/>
      <c r="L43" s="121"/>
    </row>
    <row r="44" spans="1:12" x14ac:dyDescent="0.2">
      <c r="A44" s="121"/>
      <c r="B44" s="129"/>
      <c r="C44" s="197"/>
      <c r="D44" s="207"/>
      <c r="E44" s="199"/>
      <c r="F44" s="200"/>
      <c r="G44" s="201"/>
      <c r="H44" s="122"/>
      <c r="I44" s="121"/>
      <c r="J44" s="121"/>
      <c r="K44" s="121"/>
      <c r="L44" s="121"/>
    </row>
    <row r="45" spans="1:12" s="16" customFormat="1" ht="20.25" x14ac:dyDescent="0.3">
      <c r="A45" s="295"/>
      <c r="B45" s="296" t="s">
        <v>17</v>
      </c>
      <c r="C45" s="297" t="s">
        <v>158</v>
      </c>
      <c r="D45" s="298"/>
      <c r="E45" s="299"/>
      <c r="F45" s="300"/>
      <c r="G45" s="301"/>
      <c r="H45" s="302"/>
      <c r="I45" s="295"/>
      <c r="J45" s="295"/>
      <c r="K45" s="295"/>
      <c r="L45" s="295"/>
    </row>
    <row r="46" spans="1:12" s="24" customFormat="1" ht="15" x14ac:dyDescent="0.2">
      <c r="A46" s="140"/>
      <c r="B46" s="143" t="s">
        <v>1</v>
      </c>
      <c r="C46" s="168"/>
      <c r="D46" s="170"/>
      <c r="E46" s="170"/>
      <c r="F46" s="170"/>
      <c r="G46" s="169"/>
      <c r="H46" s="139"/>
      <c r="I46" s="139"/>
      <c r="J46" s="139"/>
      <c r="K46" s="139"/>
      <c r="L46" s="139"/>
    </row>
    <row r="47" spans="1:12" s="24" customFormat="1" ht="15.75" x14ac:dyDescent="0.25">
      <c r="A47" s="141"/>
      <c r="B47" s="144" t="s">
        <v>2</v>
      </c>
      <c r="C47" s="171"/>
      <c r="D47" s="172"/>
      <c r="E47" s="173"/>
      <c r="F47" s="173"/>
      <c r="G47" s="172"/>
      <c r="H47" s="139"/>
    </row>
    <row r="48" spans="1:12" s="24" customFormat="1" ht="15" x14ac:dyDescent="0.2">
      <c r="A48" s="140"/>
      <c r="B48" s="143" t="s">
        <v>3</v>
      </c>
      <c r="C48" s="168"/>
      <c r="D48" s="170"/>
      <c r="E48" s="170"/>
      <c r="F48" s="170"/>
      <c r="G48" s="169"/>
      <c r="H48" s="139"/>
    </row>
    <row r="49" spans="1:8" s="24" customFormat="1" ht="15.75" x14ac:dyDescent="0.25">
      <c r="A49" s="141"/>
      <c r="B49" s="144" t="s">
        <v>4</v>
      </c>
      <c r="C49" s="171"/>
      <c r="D49" s="173"/>
      <c r="E49" s="173"/>
      <c r="F49" s="173"/>
      <c r="G49" s="172"/>
      <c r="H49" s="139"/>
    </row>
    <row r="50" spans="1:8" s="43" customFormat="1" x14ac:dyDescent="0.2">
      <c r="A50" s="130"/>
      <c r="B50" s="3184" t="s">
        <v>159</v>
      </c>
      <c r="C50" s="3185"/>
      <c r="D50" s="3185"/>
      <c r="E50" s="3185"/>
      <c r="F50" s="3185"/>
      <c r="G50" s="3186"/>
      <c r="H50" s="122"/>
    </row>
    <row r="51" spans="1:8" ht="24" x14ac:dyDescent="0.2">
      <c r="A51" s="121"/>
      <c r="B51" s="309" t="s">
        <v>173</v>
      </c>
      <c r="C51" s="227" t="s">
        <v>174</v>
      </c>
      <c r="D51" s="209" t="s">
        <v>98</v>
      </c>
      <c r="E51" s="228">
        <v>1</v>
      </c>
      <c r="F51" s="269">
        <v>0</v>
      </c>
      <c r="G51" s="270">
        <f>E51*F51</f>
        <v>0</v>
      </c>
      <c r="H51" s="122"/>
    </row>
    <row r="52" spans="1:8" ht="24" x14ac:dyDescent="0.2">
      <c r="A52" s="121"/>
      <c r="B52" s="309" t="s">
        <v>175</v>
      </c>
      <c r="C52" s="227" t="s">
        <v>176</v>
      </c>
      <c r="D52" s="209" t="s">
        <v>98</v>
      </c>
      <c r="E52" s="228">
        <v>1</v>
      </c>
      <c r="F52" s="269">
        <v>0</v>
      </c>
      <c r="G52" s="270">
        <f>E52*F52</f>
        <v>0</v>
      </c>
      <c r="H52" s="122"/>
    </row>
    <row r="53" spans="1:8" ht="36" x14ac:dyDescent="0.2">
      <c r="A53" s="121"/>
      <c r="B53" s="309" t="s">
        <v>177</v>
      </c>
      <c r="C53" s="227" t="s">
        <v>178</v>
      </c>
      <c r="D53" s="209" t="s">
        <v>98</v>
      </c>
      <c r="E53" s="228">
        <v>1</v>
      </c>
      <c r="F53" s="269">
        <v>0</v>
      </c>
      <c r="G53" s="270">
        <f>E53*F53</f>
        <v>0</v>
      </c>
      <c r="H53" s="122"/>
    </row>
    <row r="54" spans="1:8" ht="24" x14ac:dyDescent="0.2">
      <c r="A54" s="121"/>
      <c r="B54" s="153">
        <v>3</v>
      </c>
      <c r="C54" s="229" t="s">
        <v>179</v>
      </c>
      <c r="D54" s="198"/>
      <c r="E54" s="199"/>
      <c r="F54" s="269"/>
      <c r="G54" s="201"/>
      <c r="H54" s="122"/>
    </row>
    <row r="55" spans="1:8" s="34" customFormat="1" x14ac:dyDescent="0.2">
      <c r="A55" s="136"/>
      <c r="B55" s="292" t="s">
        <v>897</v>
      </c>
      <c r="C55" s="46"/>
      <c r="D55" s="198"/>
      <c r="E55" s="348"/>
      <c r="F55" s="351"/>
      <c r="G55" s="352"/>
      <c r="H55" s="122"/>
    </row>
    <row r="56" spans="1:8" s="34" customFormat="1" x14ac:dyDescent="0.2">
      <c r="A56" s="136"/>
      <c r="B56" s="135"/>
      <c r="C56" s="217" t="s">
        <v>898</v>
      </c>
      <c r="D56" s="198" t="s">
        <v>149</v>
      </c>
      <c r="E56" s="348">
        <v>1</v>
      </c>
      <c r="F56" s="351">
        <v>0</v>
      </c>
      <c r="G56" s="352">
        <f t="shared" ref="G56:G64" si="1">E56*F56</f>
        <v>0</v>
      </c>
      <c r="H56" s="122"/>
    </row>
    <row r="57" spans="1:8" s="34" customFormat="1" x14ac:dyDescent="0.2">
      <c r="A57" s="136"/>
      <c r="B57" s="135"/>
      <c r="C57" s="217" t="s">
        <v>912</v>
      </c>
      <c r="D57" s="198" t="s">
        <v>149</v>
      </c>
      <c r="E57" s="348">
        <v>2</v>
      </c>
      <c r="F57" s="351">
        <v>0</v>
      </c>
      <c r="G57" s="352">
        <f t="shared" si="1"/>
        <v>0</v>
      </c>
      <c r="H57" s="122"/>
    </row>
    <row r="58" spans="1:8" s="34" customFormat="1" x14ac:dyDescent="0.2">
      <c r="A58" s="136"/>
      <c r="B58" s="135"/>
      <c r="C58" s="217" t="s">
        <v>913</v>
      </c>
      <c r="D58" s="198" t="s">
        <v>149</v>
      </c>
      <c r="E58" s="348">
        <v>4</v>
      </c>
      <c r="F58" s="351">
        <v>0</v>
      </c>
      <c r="G58" s="352">
        <f t="shared" si="1"/>
        <v>0</v>
      </c>
      <c r="H58" s="122"/>
    </row>
    <row r="59" spans="1:8" s="34" customFormat="1" x14ac:dyDescent="0.2">
      <c r="A59" s="136"/>
      <c r="B59" s="135"/>
      <c r="C59" s="217" t="s">
        <v>914</v>
      </c>
      <c r="D59" s="198" t="s">
        <v>149</v>
      </c>
      <c r="E59" s="348">
        <v>1</v>
      </c>
      <c r="F59" s="351">
        <v>0</v>
      </c>
      <c r="G59" s="352">
        <f t="shared" si="1"/>
        <v>0</v>
      </c>
      <c r="H59" s="122"/>
    </row>
    <row r="60" spans="1:8" s="34" customFormat="1" x14ac:dyDescent="0.2">
      <c r="A60" s="136"/>
      <c r="B60" s="135"/>
      <c r="C60" s="217" t="s">
        <v>915</v>
      </c>
      <c r="D60" s="198" t="s">
        <v>149</v>
      </c>
      <c r="E60" s="348">
        <v>1</v>
      </c>
      <c r="F60" s="351">
        <v>0</v>
      </c>
      <c r="G60" s="352">
        <f t="shared" si="1"/>
        <v>0</v>
      </c>
      <c r="H60" s="122"/>
    </row>
    <row r="61" spans="1:8" s="34" customFormat="1" x14ac:dyDescent="0.2">
      <c r="A61" s="136"/>
      <c r="B61" s="135"/>
      <c r="C61" s="217" t="s">
        <v>901</v>
      </c>
      <c r="D61" s="198" t="s">
        <v>149</v>
      </c>
      <c r="E61" s="348">
        <v>112</v>
      </c>
      <c r="F61" s="351">
        <v>0</v>
      </c>
      <c r="G61" s="352">
        <f t="shared" si="1"/>
        <v>0</v>
      </c>
      <c r="H61" s="122"/>
    </row>
    <row r="62" spans="1:8" s="34" customFormat="1" x14ac:dyDescent="0.2">
      <c r="A62" s="136"/>
      <c r="B62" s="135"/>
      <c r="C62" s="217" t="s">
        <v>916</v>
      </c>
      <c r="D62" s="198" t="s">
        <v>149</v>
      </c>
      <c r="E62" s="348">
        <v>14</v>
      </c>
      <c r="F62" s="351">
        <v>0</v>
      </c>
      <c r="G62" s="352">
        <f t="shared" si="1"/>
        <v>0</v>
      </c>
      <c r="H62" s="122"/>
    </row>
    <row r="63" spans="1:8" s="34" customFormat="1" x14ac:dyDescent="0.2">
      <c r="B63" s="135"/>
      <c r="C63" s="217" t="s">
        <v>902</v>
      </c>
      <c r="D63" s="198" t="s">
        <v>149</v>
      </c>
      <c r="E63" s="348">
        <v>2</v>
      </c>
      <c r="F63" s="351">
        <v>0</v>
      </c>
      <c r="G63" s="352">
        <f t="shared" si="1"/>
        <v>0</v>
      </c>
      <c r="H63" s="122"/>
    </row>
    <row r="64" spans="1:8" s="34" customFormat="1" x14ac:dyDescent="0.2">
      <c r="B64" s="135"/>
      <c r="C64" s="217" t="s">
        <v>904</v>
      </c>
      <c r="D64" s="198" t="s">
        <v>149</v>
      </c>
      <c r="E64" s="348">
        <v>1</v>
      </c>
      <c r="F64" s="351">
        <v>0</v>
      </c>
      <c r="G64" s="352">
        <f t="shared" si="1"/>
        <v>0</v>
      </c>
      <c r="H64" s="122"/>
    </row>
    <row r="65" spans="2:8" s="34" customFormat="1" x14ac:dyDescent="0.2">
      <c r="B65" s="292" t="s">
        <v>917</v>
      </c>
      <c r="C65" s="67" t="s">
        <v>918</v>
      </c>
      <c r="D65" s="63"/>
      <c r="E65" s="62"/>
      <c r="F65" s="61"/>
      <c r="G65" s="60"/>
      <c r="H65" s="122"/>
    </row>
    <row r="66" spans="2:8" s="34" customFormat="1" ht="242.25" x14ac:dyDescent="0.2">
      <c r="B66" s="135"/>
      <c r="C66" s="66" t="s">
        <v>919</v>
      </c>
      <c r="D66" s="63" t="s">
        <v>149</v>
      </c>
      <c r="E66" s="62">
        <v>2</v>
      </c>
      <c r="F66" s="61"/>
      <c r="G66" s="60"/>
      <c r="H66" s="122"/>
    </row>
    <row r="67" spans="2:8" s="34" customFormat="1" ht="216.75" x14ac:dyDescent="0.2">
      <c r="B67" s="135"/>
      <c r="C67" s="65" t="s">
        <v>920</v>
      </c>
      <c r="D67" s="63" t="s">
        <v>560</v>
      </c>
      <c r="E67" s="62">
        <v>2</v>
      </c>
      <c r="F67" s="61"/>
      <c r="G67" s="60"/>
      <c r="H67" s="122"/>
    </row>
    <row r="68" spans="2:8" s="34" customFormat="1" ht="89.25" x14ac:dyDescent="0.2">
      <c r="B68" s="135"/>
      <c r="C68" s="65" t="s">
        <v>921</v>
      </c>
      <c r="D68" s="63" t="s">
        <v>149</v>
      </c>
      <c r="E68" s="62">
        <v>2</v>
      </c>
      <c r="F68" s="61"/>
      <c r="G68" s="60"/>
      <c r="H68" s="122"/>
    </row>
    <row r="69" spans="2:8" s="34" customFormat="1" ht="63.75" x14ac:dyDescent="0.2">
      <c r="B69" s="135"/>
      <c r="C69" s="65" t="s">
        <v>922</v>
      </c>
      <c r="D69" s="63" t="s">
        <v>560</v>
      </c>
      <c r="E69" s="62">
        <v>1</v>
      </c>
      <c r="F69" s="61"/>
      <c r="G69" s="60"/>
      <c r="H69" s="122"/>
    </row>
    <row r="70" spans="2:8" s="34" customFormat="1" ht="280.5" x14ac:dyDescent="0.2">
      <c r="B70" s="135"/>
      <c r="C70" s="64" t="s">
        <v>923</v>
      </c>
      <c r="D70" s="63" t="s">
        <v>149</v>
      </c>
      <c r="E70" s="62">
        <v>2</v>
      </c>
      <c r="F70" s="61"/>
      <c r="G70" s="60"/>
      <c r="H70" s="122"/>
    </row>
    <row r="71" spans="2:8" s="34" customFormat="1" ht="18.75" customHeight="1" x14ac:dyDescent="0.2">
      <c r="B71" s="135"/>
      <c r="C71" s="64" t="s">
        <v>924</v>
      </c>
      <c r="D71" s="63" t="s">
        <v>560</v>
      </c>
      <c r="E71" s="62">
        <v>1</v>
      </c>
      <c r="F71" s="61"/>
      <c r="G71" s="60"/>
      <c r="H71" s="122"/>
    </row>
    <row r="72" spans="2:8" s="136" customFormat="1" ht="18.75" customHeight="1" x14ac:dyDescent="0.2">
      <c r="B72" s="135"/>
      <c r="C72" s="2755" t="s">
        <v>2522</v>
      </c>
      <c r="D72" s="2751" t="s">
        <v>560</v>
      </c>
      <c r="E72" s="2752">
        <v>1</v>
      </c>
      <c r="F72" s="61">
        <v>0</v>
      </c>
      <c r="G72" s="60">
        <f t="shared" ref="G72" si="2">E72*F72</f>
        <v>0</v>
      </c>
      <c r="H72" s="122"/>
    </row>
    <row r="73" spans="2:8" s="136" customFormat="1" ht="31.5" customHeight="1" x14ac:dyDescent="0.2">
      <c r="B73" s="1948" t="s">
        <v>24</v>
      </c>
      <c r="C73" s="1949" t="s">
        <v>905</v>
      </c>
      <c r="D73" s="1950"/>
      <c r="E73" s="1951"/>
      <c r="F73" s="1952"/>
      <c r="G73" s="1953"/>
      <c r="H73" s="122"/>
    </row>
    <row r="74" spans="2:8" s="136" customFormat="1" ht="24" x14ac:dyDescent="0.2">
      <c r="B74" s="309" t="s">
        <v>906</v>
      </c>
      <c r="C74" s="227" t="s">
        <v>174</v>
      </c>
      <c r="D74" s="209" t="s">
        <v>98</v>
      </c>
      <c r="E74" s="228">
        <v>1</v>
      </c>
      <c r="F74" s="269">
        <v>0</v>
      </c>
      <c r="G74" s="270">
        <f>E74*F74</f>
        <v>0</v>
      </c>
      <c r="H74" s="122"/>
    </row>
    <row r="75" spans="2:8" s="136" customFormat="1" ht="24" x14ac:dyDescent="0.2">
      <c r="B75" s="309" t="s">
        <v>907</v>
      </c>
      <c r="C75" s="227" t="s">
        <v>176</v>
      </c>
      <c r="D75" s="209" t="s">
        <v>98</v>
      </c>
      <c r="E75" s="228">
        <v>1</v>
      </c>
      <c r="F75" s="269">
        <v>0</v>
      </c>
      <c r="G75" s="270">
        <f>E75*F75</f>
        <v>0</v>
      </c>
      <c r="H75" s="122"/>
    </row>
    <row r="76" spans="2:8" s="136" customFormat="1" ht="36" x14ac:dyDescent="0.2">
      <c r="B76" s="309" t="s">
        <v>908</v>
      </c>
      <c r="C76" s="227" t="s">
        <v>178</v>
      </c>
      <c r="D76" s="209" t="s">
        <v>98</v>
      </c>
      <c r="E76" s="228">
        <v>1</v>
      </c>
      <c r="F76" s="269">
        <v>0</v>
      </c>
      <c r="G76" s="270">
        <f>E76*F76</f>
        <v>0</v>
      </c>
      <c r="H76" s="122"/>
    </row>
    <row r="77" spans="2:8" s="136" customFormat="1" ht="24" x14ac:dyDescent="0.2">
      <c r="B77" s="153">
        <v>5</v>
      </c>
      <c r="C77" s="229" t="s">
        <v>179</v>
      </c>
      <c r="D77" s="198"/>
      <c r="E77" s="199"/>
      <c r="F77" s="200">
        <v>0</v>
      </c>
      <c r="G77" s="201"/>
      <c r="H77" s="122"/>
    </row>
    <row r="78" spans="2:8" s="136" customFormat="1" x14ac:dyDescent="0.2">
      <c r="B78" s="292" t="s">
        <v>926</v>
      </c>
      <c r="C78" s="46"/>
      <c r="D78" s="198"/>
      <c r="E78" s="348"/>
      <c r="F78" s="351"/>
      <c r="G78" s="352"/>
      <c r="H78" s="122"/>
    </row>
    <row r="79" spans="2:8" s="136" customFormat="1" x14ac:dyDescent="0.2">
      <c r="B79" s="135"/>
      <c r="C79" s="217" t="s">
        <v>927</v>
      </c>
      <c r="D79" s="198" t="s">
        <v>928</v>
      </c>
      <c r="E79" s="348">
        <v>16</v>
      </c>
      <c r="F79" s="351">
        <v>0</v>
      </c>
      <c r="G79" s="352">
        <f t="shared" ref="G79:G92" si="3">E79*F79</f>
        <v>0</v>
      </c>
      <c r="H79" s="122"/>
    </row>
    <row r="80" spans="2:8" s="136" customFormat="1" x14ac:dyDescent="0.2">
      <c r="B80" s="135"/>
      <c r="C80" s="217" t="s">
        <v>929</v>
      </c>
      <c r="D80" s="198" t="s">
        <v>149</v>
      </c>
      <c r="E80" s="348">
        <v>2</v>
      </c>
      <c r="F80" s="351">
        <v>0</v>
      </c>
      <c r="G80" s="352">
        <f t="shared" si="3"/>
        <v>0</v>
      </c>
      <c r="H80" s="122"/>
    </row>
    <row r="81" spans="2:8" s="136" customFormat="1" x14ac:dyDescent="0.2">
      <c r="B81" s="135"/>
      <c r="C81" s="217" t="s">
        <v>930</v>
      </c>
      <c r="D81" s="198" t="s">
        <v>149</v>
      </c>
      <c r="E81" s="348">
        <v>2</v>
      </c>
      <c r="F81" s="351">
        <v>0</v>
      </c>
      <c r="G81" s="352">
        <f t="shared" si="3"/>
        <v>0</v>
      </c>
      <c r="H81" s="122"/>
    </row>
    <row r="82" spans="2:8" s="136" customFormat="1" x14ac:dyDescent="0.2">
      <c r="B82" s="135"/>
      <c r="C82" s="217" t="s">
        <v>931</v>
      </c>
      <c r="D82" s="198" t="s">
        <v>149</v>
      </c>
      <c r="E82" s="348">
        <v>10</v>
      </c>
      <c r="F82" s="351">
        <v>0</v>
      </c>
      <c r="G82" s="352">
        <f t="shared" si="3"/>
        <v>0</v>
      </c>
      <c r="H82" s="122"/>
    </row>
    <row r="83" spans="2:8" s="136" customFormat="1" x14ac:dyDescent="0.2">
      <c r="B83" s="135"/>
      <c r="C83" s="217" t="s">
        <v>932</v>
      </c>
      <c r="D83" s="198" t="s">
        <v>149</v>
      </c>
      <c r="E83" s="348">
        <v>2</v>
      </c>
      <c r="F83" s="351">
        <v>0</v>
      </c>
      <c r="G83" s="352">
        <f t="shared" si="3"/>
        <v>0</v>
      </c>
      <c r="H83" s="122"/>
    </row>
    <row r="84" spans="2:8" s="136" customFormat="1" x14ac:dyDescent="0.2">
      <c r="B84" s="135"/>
      <c r="C84" s="217" t="s">
        <v>933</v>
      </c>
      <c r="D84" s="198" t="s">
        <v>149</v>
      </c>
      <c r="E84" s="348">
        <v>2</v>
      </c>
      <c r="F84" s="351">
        <v>0</v>
      </c>
      <c r="G84" s="352">
        <f t="shared" si="3"/>
        <v>0</v>
      </c>
      <c r="H84" s="122"/>
    </row>
    <row r="85" spans="2:8" s="136" customFormat="1" x14ac:dyDescent="0.2">
      <c r="B85" s="135"/>
      <c r="C85" s="217" t="s">
        <v>934</v>
      </c>
      <c r="D85" s="198" t="s">
        <v>149</v>
      </c>
      <c r="E85" s="348">
        <v>1</v>
      </c>
      <c r="F85" s="351">
        <v>0</v>
      </c>
      <c r="G85" s="352">
        <f t="shared" si="3"/>
        <v>0</v>
      </c>
      <c r="H85" s="122"/>
    </row>
    <row r="86" spans="2:8" s="136" customFormat="1" x14ac:dyDescent="0.2">
      <c r="B86" s="135"/>
      <c r="C86" s="217" t="s">
        <v>935</v>
      </c>
      <c r="D86" s="198" t="s">
        <v>149</v>
      </c>
      <c r="E86" s="348">
        <v>1</v>
      </c>
      <c r="F86" s="351">
        <v>0</v>
      </c>
      <c r="G86" s="352">
        <f t="shared" si="3"/>
        <v>0</v>
      </c>
      <c r="H86" s="122"/>
    </row>
    <row r="87" spans="2:8" s="136" customFormat="1" x14ac:dyDescent="0.2">
      <c r="B87" s="135"/>
      <c r="C87" s="217" t="s">
        <v>936</v>
      </c>
      <c r="D87" s="198" t="s">
        <v>149</v>
      </c>
      <c r="E87" s="348">
        <v>1</v>
      </c>
      <c r="F87" s="351">
        <v>0</v>
      </c>
      <c r="G87" s="352">
        <f t="shared" si="3"/>
        <v>0</v>
      </c>
      <c r="H87" s="122"/>
    </row>
    <row r="88" spans="2:8" s="136" customFormat="1" x14ac:dyDescent="0.2">
      <c r="B88" s="135"/>
      <c r="C88" s="217" t="s">
        <v>937</v>
      </c>
      <c r="D88" s="198" t="s">
        <v>149</v>
      </c>
      <c r="E88" s="348">
        <v>10</v>
      </c>
      <c r="F88" s="351">
        <v>0</v>
      </c>
      <c r="G88" s="352">
        <f t="shared" si="3"/>
        <v>0</v>
      </c>
      <c r="H88" s="122"/>
    </row>
    <row r="89" spans="2:8" s="136" customFormat="1" x14ac:dyDescent="0.2">
      <c r="B89" s="135"/>
      <c r="C89" s="217" t="s">
        <v>938</v>
      </c>
      <c r="D89" s="198" t="s">
        <v>149</v>
      </c>
      <c r="E89" s="348">
        <v>1</v>
      </c>
      <c r="F89" s="351">
        <v>0</v>
      </c>
      <c r="G89" s="352">
        <f t="shared" si="3"/>
        <v>0</v>
      </c>
      <c r="H89" s="122"/>
    </row>
    <row r="90" spans="2:8" s="136" customFormat="1" x14ac:dyDescent="0.2">
      <c r="B90" s="135"/>
      <c r="C90" s="217" t="s">
        <v>939</v>
      </c>
      <c r="D90" s="198" t="s">
        <v>149</v>
      </c>
      <c r="E90" s="348">
        <v>2</v>
      </c>
      <c r="F90" s="351">
        <v>0</v>
      </c>
      <c r="G90" s="352">
        <f t="shared" si="3"/>
        <v>0</v>
      </c>
      <c r="H90" s="122"/>
    </row>
    <row r="91" spans="2:8" s="136" customFormat="1" x14ac:dyDescent="0.2">
      <c r="B91" s="135"/>
      <c r="C91" s="217" t="s">
        <v>940</v>
      </c>
      <c r="D91" s="198" t="s">
        <v>149</v>
      </c>
      <c r="E91" s="348">
        <v>4</v>
      </c>
      <c r="F91" s="351">
        <v>0</v>
      </c>
      <c r="G91" s="352">
        <f t="shared" si="3"/>
        <v>0</v>
      </c>
      <c r="H91" s="122"/>
    </row>
    <row r="92" spans="2:8" s="136" customFormat="1" x14ac:dyDescent="0.2">
      <c r="B92" s="292" t="s">
        <v>941</v>
      </c>
      <c r="C92" s="57" t="s">
        <v>910</v>
      </c>
      <c r="D92" s="56"/>
      <c r="E92" s="55"/>
      <c r="F92" s="54">
        <v>0</v>
      </c>
      <c r="G92" s="53">
        <f t="shared" si="3"/>
        <v>0</v>
      </c>
      <c r="H92" s="122"/>
    </row>
    <row r="93" spans="2:8" s="136" customFormat="1" ht="96" customHeight="1" x14ac:dyDescent="0.2">
      <c r="B93" s="2731"/>
      <c r="C93" s="2732"/>
      <c r="D93" s="2733"/>
      <c r="E93" s="2734"/>
      <c r="F93" s="2735"/>
      <c r="G93" s="2736"/>
      <c r="H93" s="122"/>
    </row>
    <row r="94" spans="2:8" s="136" customFormat="1" ht="96" customHeight="1" x14ac:dyDescent="0.2">
      <c r="B94" s="2737"/>
      <c r="C94" s="2738"/>
      <c r="D94" s="2733"/>
      <c r="E94" s="2734"/>
      <c r="F94" s="2735"/>
      <c r="G94" s="2736"/>
      <c r="H94" s="122"/>
    </row>
    <row r="95" spans="2:8" s="136" customFormat="1" ht="96" customHeight="1" x14ac:dyDescent="0.2">
      <c r="B95" s="2737"/>
      <c r="C95" s="2738"/>
      <c r="D95" s="2733"/>
      <c r="E95" s="2734"/>
      <c r="F95" s="2735"/>
      <c r="G95" s="2736"/>
      <c r="H95" s="122"/>
    </row>
    <row r="96" spans="2:8" s="136" customFormat="1" ht="96" customHeight="1" x14ac:dyDescent="0.2">
      <c r="B96" s="2737"/>
      <c r="C96" s="2738"/>
      <c r="D96" s="2733"/>
      <c r="E96" s="2734"/>
      <c r="F96" s="2735"/>
      <c r="G96" s="2736"/>
      <c r="H96" s="122"/>
    </row>
    <row r="97" spans="2:8" s="136" customFormat="1" ht="96" customHeight="1" x14ac:dyDescent="0.2">
      <c r="B97" s="2737"/>
      <c r="C97" s="2738"/>
      <c r="D97" s="2733"/>
      <c r="E97" s="2734"/>
      <c r="F97" s="2735"/>
      <c r="G97" s="2736"/>
      <c r="H97" s="122"/>
    </row>
    <row r="98" spans="2:8" s="136" customFormat="1" ht="96" customHeight="1" x14ac:dyDescent="0.2">
      <c r="B98" s="2737"/>
      <c r="C98" s="2738"/>
      <c r="D98" s="2733"/>
      <c r="E98" s="2734"/>
      <c r="F98" s="2735"/>
      <c r="G98" s="2736"/>
      <c r="H98" s="122"/>
    </row>
    <row r="99" spans="2:8" s="136" customFormat="1" ht="125.25" customHeight="1" x14ac:dyDescent="0.2">
      <c r="B99" s="2737"/>
      <c r="C99" s="2738"/>
      <c r="D99" s="2733"/>
      <c r="E99" s="2734"/>
      <c r="F99" s="2735"/>
      <c r="G99" s="2736"/>
      <c r="H99" s="122"/>
    </row>
    <row r="100" spans="2:8" s="136" customFormat="1" ht="14.25" customHeight="1" x14ac:dyDescent="0.2">
      <c r="B100" s="2737"/>
      <c r="C100" s="2732" t="s">
        <v>2464</v>
      </c>
      <c r="D100" s="2739" t="s">
        <v>98</v>
      </c>
      <c r="E100" s="2740">
        <v>1</v>
      </c>
      <c r="F100" s="2741">
        <v>0</v>
      </c>
      <c r="G100" s="2742">
        <f t="shared" ref="G100" si="4">E100*F100</f>
        <v>0</v>
      </c>
      <c r="H100" s="122"/>
    </row>
    <row r="101" spans="2:8" s="9" customFormat="1" x14ac:dyDescent="0.25">
      <c r="B101" s="293" t="s">
        <v>17</v>
      </c>
      <c r="C101" s="294" t="s">
        <v>302</v>
      </c>
      <c r="D101" s="218"/>
      <c r="E101" s="203"/>
      <c r="F101" s="204"/>
      <c r="G101" s="290">
        <f>SUM(G51:G100)</f>
        <v>0</v>
      </c>
      <c r="H101" s="150"/>
    </row>
    <row r="102" spans="2:8" s="1944" customFormat="1" x14ac:dyDescent="0.25">
      <c r="B102" s="1945"/>
      <c r="C102" s="1946"/>
      <c r="D102" s="1947"/>
      <c r="E102" s="353"/>
      <c r="F102" s="358"/>
      <c r="G102" s="52"/>
      <c r="H102" s="572"/>
    </row>
    <row r="103" spans="2:8" ht="20.25" x14ac:dyDescent="0.2">
      <c r="B103" s="296" t="s">
        <v>18</v>
      </c>
      <c r="C103" s="297" t="s">
        <v>367</v>
      </c>
      <c r="D103" s="298"/>
      <c r="E103" s="299"/>
      <c r="F103" s="300"/>
      <c r="G103" s="301"/>
      <c r="H103" s="122"/>
    </row>
    <row r="104" spans="2:8" x14ac:dyDescent="0.2">
      <c r="B104" s="3205" t="s">
        <v>539</v>
      </c>
      <c r="C104" s="3206"/>
      <c r="D104" s="3206"/>
      <c r="E104" s="3206"/>
      <c r="F104" s="3206"/>
      <c r="G104" s="3207"/>
      <c r="H104" s="122"/>
    </row>
    <row r="105" spans="2:8" x14ac:dyDescent="0.2">
      <c r="B105" s="3205" t="s">
        <v>540</v>
      </c>
      <c r="C105" s="3206"/>
      <c r="D105" s="3206"/>
      <c r="E105" s="3206"/>
      <c r="F105" s="3206"/>
      <c r="G105" s="3207"/>
    </row>
    <row r="106" spans="2:8" x14ac:dyDescent="0.2">
      <c r="B106" s="3205" t="s">
        <v>541</v>
      </c>
      <c r="C106" s="3206"/>
      <c r="D106" s="3206"/>
      <c r="E106" s="3206"/>
      <c r="F106" s="3206"/>
      <c r="G106" s="3207"/>
    </row>
    <row r="107" spans="2:8" x14ac:dyDescent="0.2">
      <c r="B107" s="3205" t="s">
        <v>542</v>
      </c>
      <c r="C107" s="3206"/>
      <c r="D107" s="3206"/>
      <c r="E107" s="3206"/>
      <c r="F107" s="3206"/>
      <c r="G107" s="3207"/>
    </row>
    <row r="108" spans="2:8" x14ac:dyDescent="0.2">
      <c r="B108" s="3205" t="s">
        <v>543</v>
      </c>
      <c r="C108" s="3206"/>
      <c r="D108" s="3206"/>
      <c r="E108" s="3206"/>
      <c r="F108" s="3206"/>
      <c r="G108" s="3207"/>
    </row>
    <row r="109" spans="2:8" x14ac:dyDescent="0.2">
      <c r="B109" s="3205" t="s">
        <v>544</v>
      </c>
      <c r="C109" s="3206"/>
      <c r="D109" s="3206"/>
      <c r="E109" s="3206"/>
      <c r="F109" s="3206"/>
      <c r="G109" s="3207"/>
    </row>
    <row r="110" spans="2:8" x14ac:dyDescent="0.2">
      <c r="B110" s="3205" t="s">
        <v>545</v>
      </c>
      <c r="C110" s="3206"/>
      <c r="D110" s="3206"/>
      <c r="E110" s="3206"/>
      <c r="F110" s="3206"/>
      <c r="G110" s="3207"/>
    </row>
    <row r="111" spans="2:8" x14ac:dyDescent="0.2">
      <c r="B111" s="153">
        <v>1</v>
      </c>
      <c r="C111" s="357" t="s">
        <v>550</v>
      </c>
      <c r="D111" s="207"/>
      <c r="E111" s="199"/>
      <c r="F111" s="269"/>
      <c r="G111" s="270"/>
    </row>
    <row r="112" spans="2:8" ht="108" x14ac:dyDescent="0.2">
      <c r="B112" s="129"/>
      <c r="C112" s="197" t="s">
        <v>815</v>
      </c>
      <c r="D112" s="207" t="s">
        <v>98</v>
      </c>
      <c r="E112" s="199">
        <v>1</v>
      </c>
      <c r="F112" s="351">
        <v>0</v>
      </c>
      <c r="G112" s="270">
        <f t="shared" ref="G112:G134" si="5">E112*F112</f>
        <v>0</v>
      </c>
    </row>
    <row r="113" spans="2:7" ht="36" x14ac:dyDescent="0.2">
      <c r="B113" s="129"/>
      <c r="C113" s="197" t="s">
        <v>942</v>
      </c>
      <c r="D113" s="207" t="s">
        <v>123</v>
      </c>
      <c r="E113" s="199">
        <v>3</v>
      </c>
      <c r="F113" s="351">
        <v>0</v>
      </c>
      <c r="G113" s="270">
        <f t="shared" si="5"/>
        <v>0</v>
      </c>
    </row>
    <row r="114" spans="2:7" ht="96" x14ac:dyDescent="0.2">
      <c r="B114" s="129"/>
      <c r="C114" s="197" t="s">
        <v>748</v>
      </c>
      <c r="D114" s="207" t="s">
        <v>98</v>
      </c>
      <c r="E114" s="199">
        <v>1</v>
      </c>
      <c r="F114" s="351">
        <v>0</v>
      </c>
      <c r="G114" s="270">
        <f t="shared" si="5"/>
        <v>0</v>
      </c>
    </row>
    <row r="115" spans="2:7" ht="60" x14ac:dyDescent="0.2">
      <c r="B115" s="129"/>
      <c r="C115" s="197" t="s">
        <v>751</v>
      </c>
      <c r="D115" s="207" t="s">
        <v>123</v>
      </c>
      <c r="E115" s="199">
        <v>1</v>
      </c>
      <c r="F115" s="351">
        <v>0</v>
      </c>
      <c r="G115" s="270">
        <f t="shared" si="5"/>
        <v>0</v>
      </c>
    </row>
    <row r="116" spans="2:7" ht="60" x14ac:dyDescent="0.2">
      <c r="B116" s="129"/>
      <c r="C116" s="197" t="s">
        <v>752</v>
      </c>
      <c r="D116" s="207" t="s">
        <v>123</v>
      </c>
      <c r="E116" s="199">
        <v>1</v>
      </c>
      <c r="F116" s="351">
        <v>0</v>
      </c>
      <c r="G116" s="270">
        <f t="shared" si="5"/>
        <v>0</v>
      </c>
    </row>
    <row r="117" spans="2:7" ht="60" x14ac:dyDescent="0.2">
      <c r="B117" s="129"/>
      <c r="C117" s="197" t="s">
        <v>753</v>
      </c>
      <c r="D117" s="207" t="s">
        <v>123</v>
      </c>
      <c r="E117" s="199">
        <v>2</v>
      </c>
      <c r="F117" s="351">
        <v>0</v>
      </c>
      <c r="G117" s="270">
        <f t="shared" si="5"/>
        <v>0</v>
      </c>
    </row>
    <row r="118" spans="2:7" ht="60" x14ac:dyDescent="0.2">
      <c r="B118" s="129"/>
      <c r="C118" s="197" t="s">
        <v>754</v>
      </c>
      <c r="D118" s="207" t="s">
        <v>123</v>
      </c>
      <c r="E118" s="199">
        <v>1</v>
      </c>
      <c r="F118" s="351">
        <v>0</v>
      </c>
      <c r="G118" s="270">
        <f t="shared" si="5"/>
        <v>0</v>
      </c>
    </row>
    <row r="119" spans="2:7" ht="48" x14ac:dyDescent="0.2">
      <c r="B119" s="129"/>
      <c r="C119" s="197" t="s">
        <v>755</v>
      </c>
      <c r="D119" s="207" t="s">
        <v>123</v>
      </c>
      <c r="E119" s="199">
        <v>1</v>
      </c>
      <c r="F119" s="351">
        <v>0</v>
      </c>
      <c r="G119" s="270">
        <f t="shared" si="5"/>
        <v>0</v>
      </c>
    </row>
    <row r="120" spans="2:7" ht="60" x14ac:dyDescent="0.2">
      <c r="B120" s="129"/>
      <c r="C120" s="311" t="s">
        <v>756</v>
      </c>
      <c r="D120" s="207" t="s">
        <v>98</v>
      </c>
      <c r="E120" s="199">
        <v>1</v>
      </c>
      <c r="F120" s="351">
        <v>0</v>
      </c>
      <c r="G120" s="270">
        <f t="shared" si="5"/>
        <v>0</v>
      </c>
    </row>
    <row r="121" spans="2:7" ht="48" x14ac:dyDescent="0.2">
      <c r="B121" s="129"/>
      <c r="C121" s="197" t="s">
        <v>757</v>
      </c>
      <c r="D121" s="207" t="s">
        <v>123</v>
      </c>
      <c r="E121" s="199">
        <v>1</v>
      </c>
      <c r="F121" s="351">
        <v>0</v>
      </c>
      <c r="G121" s="270">
        <f t="shared" si="5"/>
        <v>0</v>
      </c>
    </row>
    <row r="122" spans="2:7" ht="108" x14ac:dyDescent="0.2">
      <c r="B122" s="129"/>
      <c r="C122" s="197" t="s">
        <v>619</v>
      </c>
      <c r="D122" s="207" t="s">
        <v>123</v>
      </c>
      <c r="E122" s="199">
        <v>1</v>
      </c>
      <c r="F122" s="351">
        <v>0</v>
      </c>
      <c r="G122" s="270">
        <f t="shared" si="5"/>
        <v>0</v>
      </c>
    </row>
    <row r="123" spans="2:7" ht="36" x14ac:dyDescent="0.2">
      <c r="B123" s="129"/>
      <c r="C123" s="197" t="s">
        <v>758</v>
      </c>
      <c r="D123" s="207" t="s">
        <v>123</v>
      </c>
      <c r="E123" s="199">
        <v>40</v>
      </c>
      <c r="F123" s="351">
        <v>0</v>
      </c>
      <c r="G123" s="270">
        <f t="shared" si="5"/>
        <v>0</v>
      </c>
    </row>
    <row r="124" spans="2:7" ht="36" x14ac:dyDescent="0.2">
      <c r="B124" s="129"/>
      <c r="C124" s="197" t="s">
        <v>759</v>
      </c>
      <c r="D124" s="207" t="s">
        <v>123</v>
      </c>
      <c r="E124" s="199">
        <v>10</v>
      </c>
      <c r="F124" s="351">
        <v>0</v>
      </c>
      <c r="G124" s="270">
        <f t="shared" si="5"/>
        <v>0</v>
      </c>
    </row>
    <row r="125" spans="2:7" ht="36" x14ac:dyDescent="0.2">
      <c r="B125" s="129"/>
      <c r="C125" s="197" t="s">
        <v>760</v>
      </c>
      <c r="D125" s="207" t="s">
        <v>123</v>
      </c>
      <c r="E125" s="199">
        <v>2</v>
      </c>
      <c r="F125" s="351">
        <v>0</v>
      </c>
      <c r="G125" s="270">
        <f t="shared" si="5"/>
        <v>0</v>
      </c>
    </row>
    <row r="126" spans="2:7" ht="36" x14ac:dyDescent="0.2">
      <c r="B126" s="129"/>
      <c r="C126" s="197" t="s">
        <v>761</v>
      </c>
      <c r="D126" s="207" t="s">
        <v>123</v>
      </c>
      <c r="E126" s="199">
        <v>12</v>
      </c>
      <c r="F126" s="351">
        <v>0</v>
      </c>
      <c r="G126" s="270">
        <f t="shared" si="5"/>
        <v>0</v>
      </c>
    </row>
    <row r="127" spans="2:7" ht="36" x14ac:dyDescent="0.2">
      <c r="B127" s="129"/>
      <c r="C127" s="197" t="s">
        <v>762</v>
      </c>
      <c r="D127" s="207" t="s">
        <v>123</v>
      </c>
      <c r="E127" s="199">
        <v>1</v>
      </c>
      <c r="F127" s="351">
        <v>0</v>
      </c>
      <c r="G127" s="270">
        <f t="shared" si="5"/>
        <v>0</v>
      </c>
    </row>
    <row r="128" spans="2:7" ht="48" x14ac:dyDescent="0.2">
      <c r="B128" s="129"/>
      <c r="C128" s="197" t="s">
        <v>763</v>
      </c>
      <c r="D128" s="207" t="s">
        <v>123</v>
      </c>
      <c r="E128" s="199">
        <v>1</v>
      </c>
      <c r="F128" s="351">
        <v>0</v>
      </c>
      <c r="G128" s="270">
        <f t="shared" si="5"/>
        <v>0</v>
      </c>
    </row>
    <row r="129" spans="2:8" ht="48" x14ac:dyDescent="0.2">
      <c r="B129" s="129"/>
      <c r="C129" s="197" t="s">
        <v>764</v>
      </c>
      <c r="D129" s="207" t="s">
        <v>123</v>
      </c>
      <c r="E129" s="199">
        <v>3</v>
      </c>
      <c r="F129" s="351">
        <v>0</v>
      </c>
      <c r="G129" s="270">
        <f t="shared" si="5"/>
        <v>0</v>
      </c>
    </row>
    <row r="130" spans="2:8" ht="48" x14ac:dyDescent="0.2">
      <c r="B130" s="129"/>
      <c r="C130" s="197" t="s">
        <v>765</v>
      </c>
      <c r="D130" s="207" t="s">
        <v>123</v>
      </c>
      <c r="E130" s="199">
        <v>3</v>
      </c>
      <c r="F130" s="351">
        <v>0</v>
      </c>
      <c r="G130" s="270">
        <f t="shared" si="5"/>
        <v>0</v>
      </c>
    </row>
    <row r="131" spans="2:8" ht="48" x14ac:dyDescent="0.2">
      <c r="B131" s="129"/>
      <c r="C131" s="197" t="s">
        <v>766</v>
      </c>
      <c r="D131" s="207" t="s">
        <v>123</v>
      </c>
      <c r="E131" s="199">
        <v>3</v>
      </c>
      <c r="F131" s="351">
        <v>0</v>
      </c>
      <c r="G131" s="270">
        <f t="shared" si="5"/>
        <v>0</v>
      </c>
    </row>
    <row r="132" spans="2:8" ht="48" x14ac:dyDescent="0.2">
      <c r="B132" s="129"/>
      <c r="C132" s="197" t="s">
        <v>767</v>
      </c>
      <c r="D132" s="207" t="s">
        <v>98</v>
      </c>
      <c r="E132" s="199">
        <v>1</v>
      </c>
      <c r="F132" s="351">
        <v>0</v>
      </c>
      <c r="G132" s="270">
        <f t="shared" si="5"/>
        <v>0</v>
      </c>
    </row>
    <row r="133" spans="2:8" ht="60" x14ac:dyDescent="0.2">
      <c r="B133" s="129"/>
      <c r="C133" s="197" t="s">
        <v>768</v>
      </c>
      <c r="D133" s="207" t="s">
        <v>123</v>
      </c>
      <c r="E133" s="199">
        <v>1</v>
      </c>
      <c r="F133" s="351">
        <v>0</v>
      </c>
      <c r="G133" s="270">
        <f t="shared" si="5"/>
        <v>0</v>
      </c>
    </row>
    <row r="134" spans="2:8" ht="84" x14ac:dyDescent="0.2">
      <c r="B134" s="129"/>
      <c r="C134" s="197" t="s">
        <v>620</v>
      </c>
      <c r="D134" s="207" t="s">
        <v>123</v>
      </c>
      <c r="E134" s="199">
        <v>1</v>
      </c>
      <c r="F134" s="351">
        <v>0</v>
      </c>
      <c r="G134" s="270">
        <f t="shared" si="5"/>
        <v>0</v>
      </c>
    </row>
    <row r="135" spans="2:8" x14ac:dyDescent="0.2">
      <c r="B135" s="153">
        <v>2</v>
      </c>
      <c r="C135" s="357" t="s">
        <v>769</v>
      </c>
      <c r="D135" s="207"/>
      <c r="E135" s="199"/>
      <c r="F135" s="269"/>
      <c r="G135" s="270"/>
    </row>
    <row r="136" spans="2:8" s="121" customFormat="1" ht="387.75" customHeight="1" x14ac:dyDescent="0.2">
      <c r="B136" s="2743"/>
      <c r="C136" s="2744"/>
      <c r="D136" s="2745"/>
      <c r="E136" s="2746"/>
      <c r="F136" s="2747"/>
      <c r="G136" s="2736"/>
      <c r="H136" s="122"/>
    </row>
    <row r="137" spans="2:8" s="121" customFormat="1" ht="24.75" customHeight="1" x14ac:dyDescent="0.2">
      <c r="B137" s="2743"/>
      <c r="C137" s="2744" t="s">
        <v>2465</v>
      </c>
      <c r="D137" s="2748" t="s">
        <v>98</v>
      </c>
      <c r="E137" s="2746">
        <v>1</v>
      </c>
      <c r="F137" s="2747">
        <v>0</v>
      </c>
      <c r="G137" s="2736">
        <f t="shared" ref="G137" si="6">E137*F137</f>
        <v>0</v>
      </c>
      <c r="H137" s="122"/>
    </row>
    <row r="138" spans="2:8" ht="48" x14ac:dyDescent="0.2">
      <c r="B138" s="129"/>
      <c r="C138" s="197" t="s">
        <v>771</v>
      </c>
      <c r="D138" s="207" t="s">
        <v>123</v>
      </c>
      <c r="E138" s="199">
        <v>1</v>
      </c>
      <c r="F138" s="351">
        <v>0</v>
      </c>
      <c r="G138" s="270">
        <f t="shared" ref="G138:G145" si="7">E138*F138</f>
        <v>0</v>
      </c>
    </row>
    <row r="139" spans="2:8" ht="48" x14ac:dyDescent="0.2">
      <c r="B139" s="129"/>
      <c r="C139" s="197" t="s">
        <v>625</v>
      </c>
      <c r="D139" s="207" t="s">
        <v>123</v>
      </c>
      <c r="E139" s="199">
        <v>1</v>
      </c>
      <c r="F139" s="351">
        <v>0</v>
      </c>
      <c r="G139" s="270">
        <f t="shared" si="7"/>
        <v>0</v>
      </c>
    </row>
    <row r="140" spans="2:8" ht="60" x14ac:dyDescent="0.2">
      <c r="B140" s="129"/>
      <c r="C140" s="197" t="s">
        <v>772</v>
      </c>
      <c r="D140" s="207" t="s">
        <v>123</v>
      </c>
      <c r="E140" s="199">
        <v>1</v>
      </c>
      <c r="F140" s="351">
        <v>0</v>
      </c>
      <c r="G140" s="270">
        <f t="shared" si="7"/>
        <v>0</v>
      </c>
    </row>
    <row r="141" spans="2:8" ht="60.75" customHeight="1" x14ac:dyDescent="0.2">
      <c r="B141" s="129"/>
      <c r="C141" s="197" t="s">
        <v>943</v>
      </c>
      <c r="D141" s="207" t="s">
        <v>123</v>
      </c>
      <c r="E141" s="199">
        <v>1</v>
      </c>
      <c r="F141" s="351">
        <v>0</v>
      </c>
      <c r="G141" s="270">
        <f t="shared" si="7"/>
        <v>0</v>
      </c>
    </row>
    <row r="142" spans="2:8" ht="180" x14ac:dyDescent="0.2">
      <c r="B142" s="129"/>
      <c r="C142" s="197" t="s">
        <v>773</v>
      </c>
      <c r="D142" s="207" t="s">
        <v>123</v>
      </c>
      <c r="E142" s="199">
        <v>1</v>
      </c>
      <c r="F142" s="351">
        <v>0</v>
      </c>
      <c r="G142" s="270">
        <f t="shared" si="7"/>
        <v>0</v>
      </c>
    </row>
    <row r="143" spans="2:8" ht="60" x14ac:dyDescent="0.2">
      <c r="B143" s="129"/>
      <c r="C143" s="197" t="s">
        <v>944</v>
      </c>
      <c r="D143" s="207" t="s">
        <v>98</v>
      </c>
      <c r="E143" s="199">
        <v>1</v>
      </c>
      <c r="F143" s="351">
        <v>0</v>
      </c>
      <c r="G143" s="270">
        <f t="shared" si="7"/>
        <v>0</v>
      </c>
    </row>
    <row r="144" spans="2:8" ht="36" x14ac:dyDescent="0.2">
      <c r="B144" s="129"/>
      <c r="C144" s="197" t="s">
        <v>603</v>
      </c>
      <c r="D144" s="207" t="s">
        <v>123</v>
      </c>
      <c r="E144" s="199">
        <v>1</v>
      </c>
      <c r="F144" s="351">
        <v>0</v>
      </c>
      <c r="G144" s="270">
        <f t="shared" si="7"/>
        <v>0</v>
      </c>
    </row>
    <row r="145" spans="2:7" ht="288" x14ac:dyDescent="0.2">
      <c r="B145" s="129"/>
      <c r="C145" s="197" t="s">
        <v>630</v>
      </c>
      <c r="D145" s="207" t="s">
        <v>98</v>
      </c>
      <c r="E145" s="199">
        <v>2</v>
      </c>
      <c r="F145" s="351">
        <v>0</v>
      </c>
      <c r="G145" s="270">
        <f t="shared" si="7"/>
        <v>0</v>
      </c>
    </row>
    <row r="146" spans="2:7" x14ac:dyDescent="0.2">
      <c r="B146" s="153">
        <v>3</v>
      </c>
      <c r="C146" s="357" t="s">
        <v>775</v>
      </c>
      <c r="D146" s="207"/>
      <c r="E146" s="199"/>
      <c r="F146" s="269"/>
      <c r="G146" s="270"/>
    </row>
    <row r="147" spans="2:7" ht="264" x14ac:dyDescent="0.2">
      <c r="B147" s="129"/>
      <c r="C147" s="197" t="s">
        <v>776</v>
      </c>
      <c r="D147" s="207" t="s">
        <v>98</v>
      </c>
      <c r="E147" s="199">
        <v>1</v>
      </c>
      <c r="F147" s="351">
        <v>0</v>
      </c>
      <c r="G147" s="270">
        <f>E147*F147</f>
        <v>0</v>
      </c>
    </row>
    <row r="148" spans="2:7" ht="72" x14ac:dyDescent="0.2">
      <c r="B148" s="129"/>
      <c r="C148" s="197" t="s">
        <v>777</v>
      </c>
      <c r="D148" s="207" t="s">
        <v>98</v>
      </c>
      <c r="E148" s="199">
        <v>1</v>
      </c>
      <c r="F148" s="351">
        <v>0</v>
      </c>
      <c r="G148" s="270">
        <f>E148*F148</f>
        <v>0</v>
      </c>
    </row>
    <row r="149" spans="2:7" ht="84" x14ac:dyDescent="0.2">
      <c r="B149" s="129"/>
      <c r="C149" s="197" t="s">
        <v>778</v>
      </c>
      <c r="D149" s="207" t="s">
        <v>98</v>
      </c>
      <c r="E149" s="199">
        <v>1</v>
      </c>
      <c r="F149" s="351">
        <v>0</v>
      </c>
      <c r="G149" s="270">
        <f>E149*F149</f>
        <v>0</v>
      </c>
    </row>
    <row r="150" spans="2:7" x14ac:dyDescent="0.2">
      <c r="B150" s="153">
        <v>4</v>
      </c>
      <c r="C150" s="357" t="s">
        <v>779</v>
      </c>
      <c r="D150" s="207"/>
      <c r="E150" s="199"/>
      <c r="F150" s="269"/>
      <c r="G150" s="270"/>
    </row>
    <row r="151" spans="2:7" ht="60" x14ac:dyDescent="0.2">
      <c r="B151" s="129"/>
      <c r="C151" s="197" t="s">
        <v>780</v>
      </c>
      <c r="D151" s="207" t="s">
        <v>98</v>
      </c>
      <c r="E151" s="199">
        <v>2</v>
      </c>
      <c r="F151" s="351">
        <v>0</v>
      </c>
      <c r="G151" s="270">
        <f t="shared" ref="G151:G157" si="8">E151*F151</f>
        <v>0</v>
      </c>
    </row>
    <row r="152" spans="2:7" ht="48" x14ac:dyDescent="0.2">
      <c r="B152" s="129"/>
      <c r="C152" s="197" t="s">
        <v>781</v>
      </c>
      <c r="D152" s="207" t="s">
        <v>98</v>
      </c>
      <c r="E152" s="199">
        <v>2</v>
      </c>
      <c r="F152" s="351">
        <v>0</v>
      </c>
      <c r="G152" s="270">
        <f t="shared" si="8"/>
        <v>0</v>
      </c>
    </row>
    <row r="153" spans="2:7" ht="60" x14ac:dyDescent="0.2">
      <c r="B153" s="129"/>
      <c r="C153" s="197" t="s">
        <v>945</v>
      </c>
      <c r="D153" s="207" t="s">
        <v>98</v>
      </c>
      <c r="E153" s="199">
        <v>2</v>
      </c>
      <c r="F153" s="351">
        <v>0</v>
      </c>
      <c r="G153" s="270">
        <f t="shared" si="8"/>
        <v>0</v>
      </c>
    </row>
    <row r="154" spans="2:7" ht="72" x14ac:dyDescent="0.2">
      <c r="B154" s="129"/>
      <c r="C154" s="197" t="s">
        <v>533</v>
      </c>
      <c r="D154" s="207" t="s">
        <v>123</v>
      </c>
      <c r="E154" s="199">
        <v>2</v>
      </c>
      <c r="F154" s="351">
        <v>0</v>
      </c>
      <c r="G154" s="270">
        <f t="shared" si="8"/>
        <v>0</v>
      </c>
    </row>
    <row r="155" spans="2:7" ht="36" x14ac:dyDescent="0.2">
      <c r="B155" s="129"/>
      <c r="C155" s="197" t="s">
        <v>782</v>
      </c>
      <c r="D155" s="207" t="s">
        <v>123</v>
      </c>
      <c r="E155" s="199">
        <v>1</v>
      </c>
      <c r="F155" s="351">
        <v>0</v>
      </c>
      <c r="G155" s="270">
        <f t="shared" si="8"/>
        <v>0</v>
      </c>
    </row>
    <row r="156" spans="2:7" ht="132" x14ac:dyDescent="0.2">
      <c r="B156" s="129"/>
      <c r="C156" s="197" t="s">
        <v>508</v>
      </c>
      <c r="D156" s="207" t="s">
        <v>123</v>
      </c>
      <c r="E156" s="199">
        <v>1</v>
      </c>
      <c r="F156" s="351">
        <v>0</v>
      </c>
      <c r="G156" s="270">
        <f t="shared" si="8"/>
        <v>0</v>
      </c>
    </row>
    <row r="157" spans="2:7" ht="132" x14ac:dyDescent="0.2">
      <c r="B157" s="129"/>
      <c r="C157" s="197" t="s">
        <v>567</v>
      </c>
      <c r="D157" s="207" t="s">
        <v>123</v>
      </c>
      <c r="E157" s="199">
        <v>1</v>
      </c>
      <c r="F157" s="351">
        <v>0</v>
      </c>
      <c r="G157" s="270">
        <f t="shared" si="8"/>
        <v>0</v>
      </c>
    </row>
    <row r="158" spans="2:7" x14ac:dyDescent="0.2">
      <c r="B158" s="153">
        <v>5</v>
      </c>
      <c r="C158" s="357" t="s">
        <v>784</v>
      </c>
      <c r="D158" s="207"/>
      <c r="E158" s="199"/>
      <c r="F158" s="269"/>
      <c r="G158" s="270"/>
    </row>
    <row r="159" spans="2:7" x14ac:dyDescent="0.2">
      <c r="B159" s="153"/>
      <c r="C159" s="311" t="s">
        <v>643</v>
      </c>
      <c r="D159" s="207" t="s">
        <v>644</v>
      </c>
      <c r="E159" s="199">
        <v>20</v>
      </c>
      <c r="F159" s="351">
        <v>0</v>
      </c>
      <c r="G159" s="270">
        <f t="shared" ref="G159:G167" si="9">E159*F159</f>
        <v>0</v>
      </c>
    </row>
    <row r="160" spans="2:7" x14ac:dyDescent="0.2">
      <c r="B160" s="153"/>
      <c r="C160" s="311" t="s">
        <v>645</v>
      </c>
      <c r="D160" s="207" t="s">
        <v>644</v>
      </c>
      <c r="E160" s="199">
        <v>30</v>
      </c>
      <c r="F160" s="351">
        <v>0</v>
      </c>
      <c r="G160" s="270">
        <f t="shared" si="9"/>
        <v>0</v>
      </c>
    </row>
    <row r="161" spans="2:7" x14ac:dyDescent="0.2">
      <c r="B161" s="153"/>
      <c r="C161" s="311" t="s">
        <v>646</v>
      </c>
      <c r="D161" s="207" t="s">
        <v>644</v>
      </c>
      <c r="E161" s="199">
        <v>100</v>
      </c>
      <c r="F161" s="351">
        <v>0</v>
      </c>
      <c r="G161" s="270">
        <f t="shared" si="9"/>
        <v>0</v>
      </c>
    </row>
    <row r="162" spans="2:7" x14ac:dyDescent="0.2">
      <c r="B162" s="153"/>
      <c r="C162" s="311" t="s">
        <v>647</v>
      </c>
      <c r="D162" s="207" t="s">
        <v>644</v>
      </c>
      <c r="E162" s="199">
        <v>50</v>
      </c>
      <c r="F162" s="351">
        <v>0</v>
      </c>
      <c r="G162" s="270">
        <f t="shared" si="9"/>
        <v>0</v>
      </c>
    </row>
    <row r="163" spans="2:7" x14ac:dyDescent="0.2">
      <c r="B163" s="153"/>
      <c r="C163" s="311" t="s">
        <v>648</v>
      </c>
      <c r="D163" s="207" t="s">
        <v>644</v>
      </c>
      <c r="E163" s="199">
        <v>30</v>
      </c>
      <c r="F163" s="351">
        <v>0</v>
      </c>
      <c r="G163" s="270">
        <f t="shared" si="9"/>
        <v>0</v>
      </c>
    </row>
    <row r="164" spans="2:7" x14ac:dyDescent="0.2">
      <c r="B164" s="153"/>
      <c r="C164" s="311" t="s">
        <v>650</v>
      </c>
      <c r="D164" s="207" t="s">
        <v>123</v>
      </c>
      <c r="E164" s="199">
        <v>2</v>
      </c>
      <c r="F164" s="351">
        <v>0</v>
      </c>
      <c r="G164" s="270">
        <f t="shared" si="9"/>
        <v>0</v>
      </c>
    </row>
    <row r="165" spans="2:7" x14ac:dyDescent="0.2">
      <c r="B165" s="153"/>
      <c r="C165" s="311" t="s">
        <v>651</v>
      </c>
      <c r="D165" s="207" t="s">
        <v>644</v>
      </c>
      <c r="E165" s="199">
        <v>50</v>
      </c>
      <c r="F165" s="351">
        <v>0</v>
      </c>
      <c r="G165" s="270">
        <f t="shared" si="9"/>
        <v>0</v>
      </c>
    </row>
    <row r="166" spans="2:7" x14ac:dyDescent="0.2">
      <c r="B166" s="153"/>
      <c r="C166" s="311" t="s">
        <v>652</v>
      </c>
      <c r="D166" s="207" t="s">
        <v>644</v>
      </c>
      <c r="E166" s="199">
        <v>30</v>
      </c>
      <c r="F166" s="351">
        <v>0</v>
      </c>
      <c r="G166" s="270">
        <f t="shared" si="9"/>
        <v>0</v>
      </c>
    </row>
    <row r="167" spans="2:7" x14ac:dyDescent="0.2">
      <c r="B167" s="129"/>
      <c r="C167" s="311" t="s">
        <v>632</v>
      </c>
      <c r="D167" s="207" t="s">
        <v>98</v>
      </c>
      <c r="E167" s="199">
        <v>1</v>
      </c>
      <c r="F167" s="351">
        <v>0</v>
      </c>
      <c r="G167" s="270">
        <f t="shared" si="9"/>
        <v>0</v>
      </c>
    </row>
    <row r="168" spans="2:7" x14ac:dyDescent="0.2">
      <c r="B168" s="59">
        <v>6</v>
      </c>
      <c r="C168" s="357" t="s">
        <v>785</v>
      </c>
      <c r="D168" s="15"/>
      <c r="E168" s="419"/>
      <c r="F168" s="14"/>
      <c r="G168" s="13"/>
    </row>
    <row r="169" spans="2:7" ht="24" x14ac:dyDescent="0.2">
      <c r="B169" s="59"/>
      <c r="C169" s="311" t="s">
        <v>666</v>
      </c>
      <c r="D169" s="207" t="s">
        <v>644</v>
      </c>
      <c r="E169" s="199">
        <v>20</v>
      </c>
      <c r="F169" s="351">
        <v>0</v>
      </c>
      <c r="G169" s="270">
        <f t="shared" ref="G169:G176" si="10">E169*F169</f>
        <v>0</v>
      </c>
    </row>
    <row r="170" spans="2:7" x14ac:dyDescent="0.2">
      <c r="B170" s="59"/>
      <c r="C170" s="311" t="s">
        <v>667</v>
      </c>
      <c r="D170" s="207" t="s">
        <v>644</v>
      </c>
      <c r="E170" s="199">
        <v>50</v>
      </c>
      <c r="F170" s="351">
        <v>0</v>
      </c>
      <c r="G170" s="270">
        <f t="shared" si="10"/>
        <v>0</v>
      </c>
    </row>
    <row r="171" spans="2:7" x14ac:dyDescent="0.2">
      <c r="B171" s="59"/>
      <c r="C171" s="311" t="s">
        <v>668</v>
      </c>
      <c r="D171" s="207" t="s">
        <v>644</v>
      </c>
      <c r="E171" s="199">
        <v>20</v>
      </c>
      <c r="F171" s="351">
        <v>0</v>
      </c>
      <c r="G171" s="270">
        <f t="shared" si="10"/>
        <v>0</v>
      </c>
    </row>
    <row r="172" spans="2:7" x14ac:dyDescent="0.2">
      <c r="B172" s="59"/>
      <c r="C172" s="311" t="s">
        <v>673</v>
      </c>
      <c r="D172" s="207" t="s">
        <v>123</v>
      </c>
      <c r="E172" s="199">
        <v>2</v>
      </c>
      <c r="F172" s="351">
        <v>0</v>
      </c>
      <c r="G172" s="270">
        <f t="shared" si="10"/>
        <v>0</v>
      </c>
    </row>
    <row r="173" spans="2:7" x14ac:dyDescent="0.2">
      <c r="B173" s="59"/>
      <c r="C173" s="311" t="s">
        <v>787</v>
      </c>
      <c r="D173" s="207" t="s">
        <v>123</v>
      </c>
      <c r="E173" s="199">
        <v>1</v>
      </c>
      <c r="F173" s="351">
        <v>0</v>
      </c>
      <c r="G173" s="270">
        <f t="shared" si="10"/>
        <v>0</v>
      </c>
    </row>
    <row r="174" spans="2:7" x14ac:dyDescent="0.2">
      <c r="B174" s="59"/>
      <c r="C174" s="311" t="s">
        <v>675</v>
      </c>
      <c r="D174" s="207" t="s">
        <v>123</v>
      </c>
      <c r="E174" s="199">
        <v>3</v>
      </c>
      <c r="F174" s="351">
        <v>0</v>
      </c>
      <c r="G174" s="270">
        <f t="shared" si="10"/>
        <v>0</v>
      </c>
    </row>
    <row r="175" spans="2:7" x14ac:dyDescent="0.2">
      <c r="B175" s="59"/>
      <c r="C175" s="311" t="s">
        <v>676</v>
      </c>
      <c r="D175" s="207" t="s">
        <v>123</v>
      </c>
      <c r="E175" s="199">
        <v>2</v>
      </c>
      <c r="F175" s="351">
        <v>0</v>
      </c>
      <c r="G175" s="270">
        <f t="shared" si="10"/>
        <v>0</v>
      </c>
    </row>
    <row r="176" spans="2:7" ht="24" x14ac:dyDescent="0.2">
      <c r="B176" s="59"/>
      <c r="C176" s="311" t="s">
        <v>677</v>
      </c>
      <c r="D176" s="207" t="s">
        <v>123</v>
      </c>
      <c r="E176" s="199">
        <v>1</v>
      </c>
      <c r="F176" s="351">
        <v>0</v>
      </c>
      <c r="G176" s="270">
        <f t="shared" si="10"/>
        <v>0</v>
      </c>
    </row>
    <row r="177" spans="2:7" x14ac:dyDescent="0.2">
      <c r="B177" s="153">
        <v>7</v>
      </c>
      <c r="C177" s="357" t="s">
        <v>788</v>
      </c>
      <c r="D177" s="207"/>
      <c r="E177" s="199"/>
      <c r="F177" s="269"/>
      <c r="G177" s="270"/>
    </row>
    <row r="178" spans="2:7" x14ac:dyDescent="0.2">
      <c r="B178" s="153"/>
      <c r="C178" s="197" t="s">
        <v>655</v>
      </c>
      <c r="D178" s="207" t="s">
        <v>644</v>
      </c>
      <c r="E178" s="199">
        <v>40</v>
      </c>
      <c r="F178" s="351">
        <v>0</v>
      </c>
      <c r="G178" s="270">
        <f>E178*F178</f>
        <v>0</v>
      </c>
    </row>
    <row r="179" spans="2:7" ht="36" x14ac:dyDescent="0.2">
      <c r="B179" s="153"/>
      <c r="C179" s="197" t="s">
        <v>656</v>
      </c>
      <c r="D179" s="207" t="s">
        <v>98</v>
      </c>
      <c r="E179" s="199">
        <v>2</v>
      </c>
      <c r="F179" s="351">
        <v>0</v>
      </c>
      <c r="G179" s="270">
        <f>E179*F179</f>
        <v>0</v>
      </c>
    </row>
    <row r="180" spans="2:7" ht="24" x14ac:dyDescent="0.2">
      <c r="B180" s="153"/>
      <c r="C180" s="197" t="s">
        <v>657</v>
      </c>
      <c r="D180" s="207" t="s">
        <v>98</v>
      </c>
      <c r="E180" s="199">
        <v>1</v>
      </c>
      <c r="F180" s="351">
        <v>0</v>
      </c>
      <c r="G180" s="270">
        <f>E180*F180</f>
        <v>0</v>
      </c>
    </row>
    <row r="181" spans="2:7" x14ac:dyDescent="0.2">
      <c r="B181" s="129"/>
      <c r="C181" s="197" t="s">
        <v>663</v>
      </c>
      <c r="D181" s="207" t="s">
        <v>98</v>
      </c>
      <c r="E181" s="199">
        <v>1</v>
      </c>
      <c r="F181" s="351">
        <v>0</v>
      </c>
      <c r="G181" s="270">
        <f>E181*F181</f>
        <v>0</v>
      </c>
    </row>
    <row r="182" spans="2:7" x14ac:dyDescent="0.2">
      <c r="B182" s="153">
        <v>8</v>
      </c>
      <c r="C182" s="357" t="s">
        <v>679</v>
      </c>
      <c r="D182" s="207"/>
      <c r="E182" s="199"/>
      <c r="F182" s="269"/>
      <c r="G182" s="270"/>
    </row>
    <row r="183" spans="2:7" ht="48" x14ac:dyDescent="0.2">
      <c r="B183" s="129"/>
      <c r="C183" s="197" t="s">
        <v>789</v>
      </c>
      <c r="D183" s="207" t="s">
        <v>98</v>
      </c>
      <c r="E183" s="199">
        <v>1</v>
      </c>
      <c r="F183" s="351">
        <v>0</v>
      </c>
      <c r="G183" s="270">
        <f>E183*F183</f>
        <v>0</v>
      </c>
    </row>
    <row r="184" spans="2:7" ht="36" x14ac:dyDescent="0.2">
      <c r="B184" s="129"/>
      <c r="C184" s="197" t="s">
        <v>790</v>
      </c>
      <c r="D184" s="207" t="s">
        <v>98</v>
      </c>
      <c r="E184" s="199">
        <v>1</v>
      </c>
      <c r="F184" s="351">
        <v>0</v>
      </c>
      <c r="G184" s="270">
        <f>E184*F184</f>
        <v>0</v>
      </c>
    </row>
    <row r="185" spans="2:7" ht="36" x14ac:dyDescent="0.2">
      <c r="B185" s="129"/>
      <c r="C185" s="197" t="s">
        <v>791</v>
      </c>
      <c r="D185" s="207" t="s">
        <v>98</v>
      </c>
      <c r="E185" s="199">
        <v>1</v>
      </c>
      <c r="F185" s="351">
        <v>0</v>
      </c>
      <c r="G185" s="270">
        <f>E185*F185</f>
        <v>0</v>
      </c>
    </row>
    <row r="186" spans="2:7" ht="36" x14ac:dyDescent="0.2">
      <c r="B186" s="129"/>
      <c r="C186" s="197" t="s">
        <v>792</v>
      </c>
      <c r="D186" s="207" t="s">
        <v>98</v>
      </c>
      <c r="E186" s="199">
        <v>1</v>
      </c>
      <c r="F186" s="351">
        <v>0</v>
      </c>
      <c r="G186" s="270">
        <f>E186*F186</f>
        <v>0</v>
      </c>
    </row>
    <row r="187" spans="2:7" x14ac:dyDescent="0.2">
      <c r="B187" s="293" t="s">
        <v>18</v>
      </c>
      <c r="C187" s="294" t="s">
        <v>794</v>
      </c>
      <c r="D187" s="218"/>
      <c r="E187" s="203"/>
      <c r="F187" s="204"/>
      <c r="G187" s="290">
        <f>SUM(G112:G186)</f>
        <v>0</v>
      </c>
    </row>
  </sheetData>
  <mergeCells count="9">
    <mergeCell ref="B107:G107"/>
    <mergeCell ref="B108:G108"/>
    <mergeCell ref="B109:G109"/>
    <mergeCell ref="B110:G110"/>
    <mergeCell ref="B32:G32"/>
    <mergeCell ref="B50:G50"/>
    <mergeCell ref="B104:G104"/>
    <mergeCell ref="B105:G105"/>
    <mergeCell ref="B106:G106"/>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28" max="16383" man="1"/>
    <brk id="4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4D6D4-4A93-4FE1-B234-E26FE9E32C83}">
  <sheetPr codeName="Sheet12">
    <tabColor rgb="FFFFFF00"/>
  </sheetPr>
  <dimension ref="A2:L183"/>
  <sheetViews>
    <sheetView showZeros="0" topLeftCell="A93" zoomScale="110" zoomScaleNormal="110" workbookViewId="0">
      <selection activeCell="B105" sqref="B105:G105"/>
    </sheetView>
  </sheetViews>
  <sheetFormatPr defaultColWidth="10.42578125" defaultRowHeight="12.75" x14ac:dyDescent="0.2"/>
  <cols>
    <col min="1" max="1" width="4.42578125" style="1" customWidth="1"/>
    <col min="2" max="2" width="7.42578125" style="8" customWidth="1"/>
    <col min="3" max="3" width="52.28515625" style="7" customWidth="1"/>
    <col min="4" max="4" width="10.42578125" style="6" customWidth="1"/>
    <col min="5" max="5" width="9.28515625" style="5" customWidth="1"/>
    <col min="6" max="6" width="12.140625" style="4" customWidth="1"/>
    <col min="7" max="7" width="13.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5.75" x14ac:dyDescent="0.2">
      <c r="A2" s="121"/>
      <c r="B2" s="137"/>
      <c r="C2" s="354" t="s">
        <v>59</v>
      </c>
      <c r="D2" s="155"/>
      <c r="E2" s="156"/>
      <c r="F2" s="157"/>
      <c r="G2" s="355" t="s">
        <v>60</v>
      </c>
      <c r="H2" s="122"/>
      <c r="I2" s="121"/>
      <c r="J2" s="121"/>
      <c r="K2" s="121"/>
      <c r="L2" s="121"/>
    </row>
    <row r="4" spans="1:12" s="25" customFormat="1" ht="15" x14ac:dyDescent="0.25">
      <c r="A4" s="119"/>
      <c r="B4" s="146" t="s">
        <v>7</v>
      </c>
      <c r="C4" s="330" t="s">
        <v>869</v>
      </c>
      <c r="D4" s="158"/>
      <c r="E4" s="159"/>
      <c r="F4" s="160"/>
      <c r="G4" s="161"/>
      <c r="H4" s="26"/>
      <c r="I4" s="119"/>
      <c r="J4" s="119"/>
      <c r="K4" s="119"/>
      <c r="L4" s="119"/>
    </row>
    <row r="5" spans="1:12" s="25" customFormat="1" ht="15" x14ac:dyDescent="0.25">
      <c r="A5" s="119"/>
      <c r="B5" s="145"/>
      <c r="C5" s="162"/>
      <c r="D5" s="163"/>
      <c r="E5" s="164"/>
      <c r="F5" s="165"/>
      <c r="G5" s="166"/>
      <c r="H5" s="26"/>
      <c r="I5" s="119"/>
      <c r="J5" s="119"/>
      <c r="K5" s="119"/>
      <c r="L5" s="119"/>
    </row>
    <row r="6" spans="1:12" s="23" customFormat="1" ht="15" x14ac:dyDescent="0.2">
      <c r="A6" s="125"/>
      <c r="B6" s="328" t="s">
        <v>80</v>
      </c>
      <c r="C6" s="329" t="s">
        <v>2519</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5" x14ac:dyDescent="0.2">
      <c r="A8" s="140"/>
      <c r="B8" s="143" t="s">
        <v>1</v>
      </c>
      <c r="C8" s="168"/>
      <c r="D8" s="170"/>
      <c r="E8" s="170"/>
      <c r="F8" s="170"/>
      <c r="G8" s="169"/>
      <c r="H8" s="139"/>
      <c r="I8" s="139"/>
      <c r="J8" s="139"/>
      <c r="K8" s="139"/>
      <c r="L8" s="139"/>
    </row>
    <row r="9" spans="1:12" s="24" customFormat="1" ht="15.75" x14ac:dyDescent="0.25">
      <c r="A9" s="141"/>
      <c r="B9" s="144" t="s">
        <v>2</v>
      </c>
      <c r="C9" s="171"/>
      <c r="D9" s="172"/>
      <c r="E9" s="173"/>
      <c r="F9" s="173"/>
      <c r="G9" s="172"/>
      <c r="H9" s="139"/>
      <c r="I9" s="139"/>
      <c r="J9" s="139"/>
      <c r="K9" s="139"/>
      <c r="L9" s="139"/>
    </row>
    <row r="10" spans="1:12" s="24" customFormat="1" ht="15" x14ac:dyDescent="0.2">
      <c r="A10" s="140"/>
      <c r="B10" s="143" t="s">
        <v>3</v>
      </c>
      <c r="C10" s="168"/>
      <c r="D10" s="170"/>
      <c r="E10" s="170"/>
      <c r="F10" s="170"/>
      <c r="G10" s="169"/>
      <c r="H10" s="139"/>
      <c r="I10" s="139"/>
      <c r="J10" s="139"/>
      <c r="K10" s="139"/>
      <c r="L10" s="139"/>
    </row>
    <row r="11" spans="1:12" s="24" customFormat="1" ht="15.75"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5" x14ac:dyDescent="0.2">
      <c r="A13" s="125"/>
      <c r="B13" s="138"/>
      <c r="C13" s="334" t="s">
        <v>82</v>
      </c>
      <c r="D13" s="179"/>
      <c r="E13" s="180"/>
      <c r="F13" s="181"/>
      <c r="G13" s="182"/>
      <c r="H13" s="123"/>
      <c r="I13" s="124"/>
      <c r="J13" s="124"/>
      <c r="K13" s="124"/>
      <c r="L13" s="124"/>
    </row>
    <row r="14" spans="1:12" s="21" customFormat="1" x14ac:dyDescent="0.2">
      <c r="A14" s="126"/>
      <c r="B14" s="315" t="s">
        <v>83</v>
      </c>
      <c r="C14" s="335" t="s">
        <v>84</v>
      </c>
      <c r="D14" s="336"/>
      <c r="E14" s="337"/>
      <c r="F14" s="338"/>
      <c r="G14" s="339" t="s">
        <v>64</v>
      </c>
      <c r="H14" s="22"/>
      <c r="I14" s="126"/>
      <c r="J14" s="126"/>
      <c r="K14" s="126"/>
      <c r="L14" s="126"/>
    </row>
    <row r="15" spans="1:12" s="17" customFormat="1" x14ac:dyDescent="0.25">
      <c r="A15" s="331"/>
      <c r="B15" s="332" t="s">
        <v>10</v>
      </c>
      <c r="C15" s="340" t="s">
        <v>85</v>
      </c>
      <c r="D15" s="341"/>
      <c r="E15" s="342"/>
      <c r="F15" s="343"/>
      <c r="G15" s="20">
        <f>G27</f>
        <v>0</v>
      </c>
      <c r="H15" s="18"/>
      <c r="I15" s="331"/>
      <c r="J15" s="331"/>
      <c r="K15" s="331"/>
      <c r="L15" s="331"/>
    </row>
    <row r="16" spans="1:12" s="17" customFormat="1" x14ac:dyDescent="0.25">
      <c r="A16" s="331"/>
      <c r="B16" s="332" t="s">
        <v>12</v>
      </c>
      <c r="C16" s="340" t="s">
        <v>86</v>
      </c>
      <c r="D16" s="341"/>
      <c r="E16" s="342"/>
      <c r="F16" s="343"/>
      <c r="G16" s="20">
        <f>G41</f>
        <v>0</v>
      </c>
      <c r="H16" s="18"/>
      <c r="I16" s="331"/>
      <c r="J16" s="331"/>
      <c r="K16" s="331"/>
      <c r="L16" s="331"/>
    </row>
    <row r="17" spans="1:12" s="17" customFormat="1" x14ac:dyDescent="0.25">
      <c r="B17" s="332" t="s">
        <v>17</v>
      </c>
      <c r="C17" s="340" t="s">
        <v>87</v>
      </c>
      <c r="D17" s="341"/>
      <c r="E17" s="342"/>
      <c r="F17" s="343"/>
      <c r="G17" s="20">
        <f>G97</f>
        <v>0</v>
      </c>
      <c r="H17" s="18"/>
    </row>
    <row r="18" spans="1:12" s="331" customFormat="1" x14ac:dyDescent="0.25">
      <c r="B18" s="332" t="s">
        <v>18</v>
      </c>
      <c r="C18" s="340" t="s">
        <v>367</v>
      </c>
      <c r="D18" s="341"/>
      <c r="E18" s="342"/>
      <c r="F18" s="58"/>
      <c r="G18" s="20">
        <f>G183</f>
        <v>0</v>
      </c>
      <c r="H18" s="18"/>
    </row>
    <row r="19" spans="1:12" s="17" customFormat="1" x14ac:dyDescent="0.25">
      <c r="B19" s="333"/>
      <c r="C19" s="344" t="s">
        <v>88</v>
      </c>
      <c r="D19" s="345"/>
      <c r="E19" s="346"/>
      <c r="F19" s="347"/>
      <c r="G19" s="19">
        <f>SUM(G15:G18)</f>
        <v>0</v>
      </c>
      <c r="H19" s="18"/>
    </row>
    <row r="20" spans="1:12" x14ac:dyDescent="0.2">
      <c r="B20" s="127"/>
      <c r="C20" s="183"/>
      <c r="D20" s="184"/>
      <c r="E20" s="185"/>
      <c r="F20" s="186"/>
      <c r="G20" s="187"/>
      <c r="H20" s="122"/>
    </row>
    <row r="22" spans="1:12" ht="24" x14ac:dyDescent="0.2">
      <c r="B22" s="128" t="s">
        <v>83</v>
      </c>
      <c r="C22" s="192" t="s">
        <v>89</v>
      </c>
      <c r="D22" s="193" t="s">
        <v>90</v>
      </c>
      <c r="E22" s="194" t="s">
        <v>91</v>
      </c>
      <c r="F22" s="195" t="s">
        <v>92</v>
      </c>
      <c r="G22" s="196" t="s">
        <v>93</v>
      </c>
      <c r="H22" s="122"/>
    </row>
    <row r="23" spans="1:12" x14ac:dyDescent="0.2">
      <c r="B23" s="129"/>
      <c r="C23" s="197"/>
      <c r="D23" s="198"/>
      <c r="E23" s="199"/>
      <c r="F23" s="200"/>
      <c r="G23" s="201"/>
      <c r="H23" s="122"/>
    </row>
    <row r="24" spans="1:12" s="16" customFormat="1" ht="20.25" x14ac:dyDescent="0.3">
      <c r="B24" s="303" t="s">
        <v>10</v>
      </c>
      <c r="C24" s="306" t="s">
        <v>85</v>
      </c>
      <c r="D24" s="305"/>
      <c r="E24" s="299"/>
      <c r="F24" s="300"/>
      <c r="G24" s="301"/>
      <c r="H24" s="302"/>
    </row>
    <row r="25" spans="1:12" ht="108" x14ac:dyDescent="0.2">
      <c r="B25" s="129">
        <v>1</v>
      </c>
      <c r="C25" s="208" t="s">
        <v>99</v>
      </c>
      <c r="D25" s="209" t="s">
        <v>98</v>
      </c>
      <c r="E25" s="199">
        <v>1</v>
      </c>
      <c r="F25" s="44">
        <v>0</v>
      </c>
      <c r="G25" s="270">
        <f>E25*F25</f>
        <v>0</v>
      </c>
      <c r="H25" s="122"/>
    </row>
    <row r="26" spans="1:12" ht="36" x14ac:dyDescent="0.2">
      <c r="B26" s="129">
        <v>2</v>
      </c>
      <c r="C26" s="212" t="s">
        <v>106</v>
      </c>
      <c r="D26" s="210" t="s">
        <v>98</v>
      </c>
      <c r="E26" s="213">
        <v>1</v>
      </c>
      <c r="F26" s="44">
        <v>0</v>
      </c>
      <c r="G26" s="270">
        <f>E26*F26</f>
        <v>0</v>
      </c>
      <c r="H26" s="122"/>
    </row>
    <row r="27" spans="1:12" s="9" customFormat="1" x14ac:dyDescent="0.25">
      <c r="B27" s="327" t="s">
        <v>10</v>
      </c>
      <c r="C27" s="214" t="s">
        <v>108</v>
      </c>
      <c r="D27" s="214"/>
      <c r="E27" s="215"/>
      <c r="F27" s="216"/>
      <c r="G27" s="290">
        <f>SUM(G25:G26)</f>
        <v>0</v>
      </c>
      <c r="H27" s="150"/>
    </row>
    <row r="28" spans="1:12" x14ac:dyDescent="0.2">
      <c r="B28" s="129"/>
      <c r="C28" s="197"/>
      <c r="D28" s="198"/>
      <c r="E28" s="199"/>
      <c r="F28" s="200"/>
      <c r="G28" s="201"/>
      <c r="H28" s="122"/>
    </row>
    <row r="29" spans="1:12" ht="24" x14ac:dyDescent="0.2">
      <c r="B29" s="128" t="s">
        <v>83</v>
      </c>
      <c r="C29" s="192" t="s">
        <v>89</v>
      </c>
      <c r="D29" s="193" t="s">
        <v>90</v>
      </c>
      <c r="E29" s="194" t="s">
        <v>91</v>
      </c>
      <c r="F29" s="195" t="s">
        <v>92</v>
      </c>
      <c r="G29" s="196" t="s">
        <v>93</v>
      </c>
      <c r="H29" s="122"/>
    </row>
    <row r="30" spans="1:12" x14ac:dyDescent="0.2">
      <c r="B30" s="129"/>
      <c r="C30" s="217"/>
      <c r="D30" s="207"/>
      <c r="E30" s="199"/>
      <c r="F30" s="200"/>
      <c r="G30" s="201"/>
      <c r="H30" s="122"/>
    </row>
    <row r="31" spans="1:12" s="16" customFormat="1" ht="20.25" x14ac:dyDescent="0.3">
      <c r="A31" s="295"/>
      <c r="B31" s="303" t="s">
        <v>12</v>
      </c>
      <c r="C31" s="304" t="s">
        <v>109</v>
      </c>
      <c r="D31" s="298"/>
      <c r="E31" s="299"/>
      <c r="F31" s="300"/>
      <c r="G31" s="301"/>
      <c r="H31" s="302"/>
      <c r="I31" s="295"/>
      <c r="J31" s="295"/>
      <c r="K31" s="295"/>
      <c r="L31" s="295"/>
    </row>
    <row r="32" spans="1:12" s="43" customFormat="1" x14ac:dyDescent="0.2">
      <c r="A32" s="130"/>
      <c r="B32" s="3184" t="s">
        <v>110</v>
      </c>
      <c r="C32" s="3185"/>
      <c r="D32" s="3185"/>
      <c r="E32" s="3185"/>
      <c r="F32" s="3185"/>
      <c r="G32" s="3186"/>
      <c r="H32" s="122"/>
      <c r="I32" s="130"/>
      <c r="J32" s="130"/>
      <c r="K32" s="130"/>
      <c r="L32" s="130"/>
    </row>
    <row r="33" spans="1:12" ht="36" x14ac:dyDescent="0.2">
      <c r="A33" s="121"/>
      <c r="B33" s="131">
        <v>1</v>
      </c>
      <c r="C33" s="49" t="s">
        <v>892</v>
      </c>
      <c r="D33" s="68" t="s">
        <v>117</v>
      </c>
      <c r="E33" s="199">
        <v>85</v>
      </c>
      <c r="F33" s="44">
        <v>0</v>
      </c>
      <c r="G33" s="270">
        <f t="shared" ref="G33:G40" si="0">E33*F33</f>
        <v>0</v>
      </c>
      <c r="H33" s="122"/>
      <c r="I33" s="132"/>
      <c r="J33" s="121"/>
      <c r="K33" s="121"/>
      <c r="L33" s="121"/>
    </row>
    <row r="34" spans="1:12" ht="24" x14ac:dyDescent="0.2">
      <c r="A34" s="121"/>
      <c r="B34" s="131">
        <v>2</v>
      </c>
      <c r="C34" s="49" t="s">
        <v>893</v>
      </c>
      <c r="D34" s="68" t="s">
        <v>117</v>
      </c>
      <c r="E34" s="199">
        <v>45</v>
      </c>
      <c r="F34" s="44">
        <v>0</v>
      </c>
      <c r="G34" s="270">
        <f t="shared" si="0"/>
        <v>0</v>
      </c>
      <c r="H34" s="122"/>
      <c r="I34" s="132"/>
      <c r="J34" s="121"/>
      <c r="K34" s="121"/>
      <c r="L34" s="121"/>
    </row>
    <row r="35" spans="1:12" ht="36" x14ac:dyDescent="0.2">
      <c r="A35" s="121"/>
      <c r="B35" s="131">
        <v>3</v>
      </c>
      <c r="C35" s="206" t="s">
        <v>2571</v>
      </c>
      <c r="D35" s="68" t="s">
        <v>117</v>
      </c>
      <c r="E35" s="199">
        <v>45</v>
      </c>
      <c r="F35" s="44">
        <v>0</v>
      </c>
      <c r="G35" s="270">
        <f t="shared" si="0"/>
        <v>0</v>
      </c>
      <c r="H35" s="122"/>
      <c r="I35" s="133"/>
      <c r="J35" s="121"/>
      <c r="K35" s="134"/>
      <c r="L35" s="134"/>
    </row>
    <row r="36" spans="1:12" ht="24" x14ac:dyDescent="0.2">
      <c r="A36" s="121"/>
      <c r="B36" s="131">
        <v>4</v>
      </c>
      <c r="C36" s="206" t="s">
        <v>2570</v>
      </c>
      <c r="D36" s="68" t="s">
        <v>117</v>
      </c>
      <c r="E36" s="199">
        <v>35</v>
      </c>
      <c r="F36" s="44">
        <v>0</v>
      </c>
      <c r="G36" s="270">
        <f t="shared" si="0"/>
        <v>0</v>
      </c>
      <c r="H36" s="122"/>
      <c r="I36" s="133"/>
      <c r="J36" s="121"/>
      <c r="K36" s="121"/>
      <c r="L36" s="121"/>
    </row>
    <row r="37" spans="1:12" ht="24" x14ac:dyDescent="0.2">
      <c r="A37" s="121"/>
      <c r="B37" s="131">
        <v>5</v>
      </c>
      <c r="C37" s="206" t="s">
        <v>1830</v>
      </c>
      <c r="D37" s="219" t="s">
        <v>149</v>
      </c>
      <c r="E37" s="220">
        <v>8</v>
      </c>
      <c r="F37" s="44">
        <v>0</v>
      </c>
      <c r="G37" s="270">
        <f t="shared" si="0"/>
        <v>0</v>
      </c>
      <c r="H37" s="122"/>
      <c r="I37" s="132"/>
      <c r="J37" s="121"/>
      <c r="K37" s="121"/>
      <c r="L37" s="121"/>
    </row>
    <row r="38" spans="1:12" ht="26.25" customHeight="1" x14ac:dyDescent="0.2">
      <c r="A38" s="121"/>
      <c r="B38" s="131">
        <v>6</v>
      </c>
      <c r="C38" s="206" t="s">
        <v>2566</v>
      </c>
      <c r="D38" s="209" t="s">
        <v>117</v>
      </c>
      <c r="E38" s="199">
        <v>85</v>
      </c>
      <c r="F38" s="44">
        <v>0</v>
      </c>
      <c r="G38" s="270">
        <f t="shared" si="0"/>
        <v>0</v>
      </c>
      <c r="H38" s="122"/>
      <c r="I38" s="132"/>
      <c r="J38" s="121"/>
      <c r="K38" s="121"/>
      <c r="L38" s="121"/>
    </row>
    <row r="39" spans="1:12" ht="24" x14ac:dyDescent="0.2">
      <c r="A39" s="121"/>
      <c r="B39" s="131">
        <v>7</v>
      </c>
      <c r="C39" s="206" t="s">
        <v>1832</v>
      </c>
      <c r="D39" s="68" t="s">
        <v>117</v>
      </c>
      <c r="E39" s="199">
        <v>25</v>
      </c>
      <c r="F39" s="44">
        <v>0</v>
      </c>
      <c r="G39" s="270">
        <f t="shared" si="0"/>
        <v>0</v>
      </c>
      <c r="H39" s="122"/>
      <c r="I39" s="133"/>
      <c r="J39" s="121"/>
      <c r="K39" s="121"/>
      <c r="L39" s="121"/>
    </row>
    <row r="40" spans="1:12" ht="24" x14ac:dyDescent="0.2">
      <c r="A40" s="121"/>
      <c r="B40" s="131">
        <v>8</v>
      </c>
      <c r="C40" s="223" t="s">
        <v>155</v>
      </c>
      <c r="D40" s="222" t="s">
        <v>156</v>
      </c>
      <c r="E40" s="47">
        <v>7</v>
      </c>
      <c r="F40" s="44">
        <v>0</v>
      </c>
      <c r="G40" s="270">
        <f t="shared" si="0"/>
        <v>0</v>
      </c>
      <c r="H40" s="122"/>
      <c r="I40" s="121"/>
      <c r="J40" s="121"/>
      <c r="K40" s="121"/>
      <c r="L40" s="121"/>
    </row>
    <row r="41" spans="1:12" s="9" customFormat="1" x14ac:dyDescent="0.25">
      <c r="A41" s="147"/>
      <c r="B41" s="327" t="s">
        <v>12</v>
      </c>
      <c r="C41" s="214" t="s">
        <v>157</v>
      </c>
      <c r="D41" s="224"/>
      <c r="E41" s="215"/>
      <c r="F41" s="216"/>
      <c r="G41" s="290">
        <f>SUM(G33:G40)</f>
        <v>0</v>
      </c>
      <c r="H41" s="150"/>
      <c r="I41" s="147"/>
      <c r="J41" s="147"/>
      <c r="K41" s="147"/>
      <c r="L41" s="147"/>
    </row>
    <row r="42" spans="1:12" x14ac:dyDescent="0.2">
      <c r="A42" s="121"/>
      <c r="B42" s="129"/>
      <c r="C42" s="197"/>
      <c r="D42" s="198"/>
      <c r="E42" s="199"/>
      <c r="F42" s="200"/>
      <c r="G42" s="201"/>
      <c r="H42" s="122"/>
      <c r="I42" s="121"/>
      <c r="J42" s="121"/>
      <c r="K42" s="121"/>
      <c r="L42" s="121"/>
    </row>
    <row r="43" spans="1:12" ht="24" x14ac:dyDescent="0.2">
      <c r="A43" s="121"/>
      <c r="B43" s="128" t="s">
        <v>83</v>
      </c>
      <c r="C43" s="192" t="s">
        <v>89</v>
      </c>
      <c r="D43" s="192" t="s">
        <v>90</v>
      </c>
      <c r="E43" s="194" t="s">
        <v>91</v>
      </c>
      <c r="F43" s="195" t="s">
        <v>92</v>
      </c>
      <c r="G43" s="196" t="s">
        <v>93</v>
      </c>
      <c r="H43" s="122"/>
      <c r="I43" s="121"/>
      <c r="J43" s="121"/>
      <c r="K43" s="121"/>
      <c r="L43" s="121"/>
    </row>
    <row r="44" spans="1:12" x14ac:dyDescent="0.2">
      <c r="A44" s="121"/>
      <c r="B44" s="129"/>
      <c r="C44" s="197"/>
      <c r="D44" s="207"/>
      <c r="E44" s="199"/>
      <c r="F44" s="200"/>
      <c r="G44" s="201"/>
      <c r="H44" s="122"/>
      <c r="I44" s="121"/>
      <c r="J44" s="121"/>
      <c r="K44" s="121"/>
      <c r="L44" s="121"/>
    </row>
    <row r="45" spans="1:12" s="16" customFormat="1" ht="20.25" x14ac:dyDescent="0.3">
      <c r="A45" s="295"/>
      <c r="B45" s="296" t="s">
        <v>17</v>
      </c>
      <c r="C45" s="297" t="s">
        <v>158</v>
      </c>
      <c r="D45" s="298"/>
      <c r="E45" s="299"/>
      <c r="F45" s="300"/>
      <c r="G45" s="301"/>
      <c r="H45" s="302"/>
      <c r="I45" s="295"/>
      <c r="J45" s="295"/>
      <c r="K45" s="295"/>
      <c r="L45" s="295"/>
    </row>
    <row r="46" spans="1:12" s="24" customFormat="1" ht="15" x14ac:dyDescent="0.2">
      <c r="A46" s="140"/>
      <c r="B46" s="143" t="s">
        <v>1</v>
      </c>
      <c r="C46" s="168"/>
      <c r="D46" s="170"/>
      <c r="E46" s="170"/>
      <c r="F46" s="170"/>
      <c r="G46" s="169"/>
      <c r="H46" s="139"/>
      <c r="I46" s="139"/>
      <c r="J46" s="139"/>
      <c r="K46" s="139"/>
      <c r="L46" s="139"/>
    </row>
    <row r="47" spans="1:12" s="24" customFormat="1" ht="15.75" x14ac:dyDescent="0.25">
      <c r="A47" s="141"/>
      <c r="B47" s="144" t="s">
        <v>2</v>
      </c>
      <c r="C47" s="171"/>
      <c r="D47" s="172"/>
      <c r="E47" s="173"/>
      <c r="F47" s="173"/>
      <c r="G47" s="172"/>
      <c r="H47" s="139"/>
    </row>
    <row r="48" spans="1:12" s="24" customFormat="1" ht="15" x14ac:dyDescent="0.2">
      <c r="A48" s="140"/>
      <c r="B48" s="143" t="s">
        <v>3</v>
      </c>
      <c r="C48" s="168"/>
      <c r="D48" s="170"/>
      <c r="E48" s="170"/>
      <c r="F48" s="170"/>
      <c r="G48" s="169"/>
      <c r="H48" s="139"/>
    </row>
    <row r="49" spans="1:8" s="24" customFormat="1" ht="15.75" x14ac:dyDescent="0.25">
      <c r="A49" s="141"/>
      <c r="B49" s="144" t="s">
        <v>4</v>
      </c>
      <c r="C49" s="171"/>
      <c r="D49" s="173"/>
      <c r="E49" s="173"/>
      <c r="F49" s="173"/>
      <c r="G49" s="172"/>
      <c r="H49" s="139"/>
    </row>
    <row r="50" spans="1:8" s="43" customFormat="1" x14ac:dyDescent="0.2">
      <c r="A50" s="130"/>
      <c r="B50" s="3184" t="s">
        <v>159</v>
      </c>
      <c r="C50" s="3185"/>
      <c r="D50" s="3185"/>
      <c r="E50" s="3185"/>
      <c r="F50" s="3185"/>
      <c r="G50" s="3186"/>
      <c r="H50" s="122"/>
    </row>
    <row r="51" spans="1:8" ht="24" x14ac:dyDescent="0.2">
      <c r="A51" s="121"/>
      <c r="B51" s="309" t="s">
        <v>173</v>
      </c>
      <c r="C51" s="227" t="s">
        <v>174</v>
      </c>
      <c r="D51" s="209" t="s">
        <v>98</v>
      </c>
      <c r="E51" s="228">
        <v>1</v>
      </c>
      <c r="F51" s="269">
        <v>0</v>
      </c>
      <c r="G51" s="270">
        <f>E51*F51</f>
        <v>0</v>
      </c>
      <c r="H51" s="122"/>
    </row>
    <row r="52" spans="1:8" ht="24" x14ac:dyDescent="0.2">
      <c r="A52" s="121"/>
      <c r="B52" s="309" t="s">
        <v>175</v>
      </c>
      <c r="C52" s="227" t="s">
        <v>176</v>
      </c>
      <c r="D52" s="209" t="s">
        <v>98</v>
      </c>
      <c r="E52" s="228">
        <v>1</v>
      </c>
      <c r="F52" s="269">
        <v>0</v>
      </c>
      <c r="G52" s="270">
        <f>E52*F52</f>
        <v>0</v>
      </c>
      <c r="H52" s="122"/>
    </row>
    <row r="53" spans="1:8" ht="36" x14ac:dyDescent="0.2">
      <c r="A53" s="121"/>
      <c r="B53" s="309" t="s">
        <v>177</v>
      </c>
      <c r="C53" s="227" t="s">
        <v>178</v>
      </c>
      <c r="D53" s="209" t="s">
        <v>98</v>
      </c>
      <c r="E53" s="228">
        <v>1</v>
      </c>
      <c r="F53" s="269">
        <v>0</v>
      </c>
      <c r="G53" s="270">
        <f>E53*F53</f>
        <v>0</v>
      </c>
      <c r="H53" s="122"/>
    </row>
    <row r="54" spans="1:8" ht="24" x14ac:dyDescent="0.2">
      <c r="A54" s="121"/>
      <c r="B54" s="153">
        <v>3</v>
      </c>
      <c r="C54" s="229" t="s">
        <v>179</v>
      </c>
      <c r="D54" s="198"/>
      <c r="E54" s="199"/>
      <c r="F54" s="269"/>
      <c r="G54" s="201"/>
      <c r="H54" s="122"/>
    </row>
    <row r="55" spans="1:8" s="34" customFormat="1" x14ac:dyDescent="0.2">
      <c r="A55" s="136"/>
      <c r="B55" s="292" t="s">
        <v>897</v>
      </c>
      <c r="C55" s="46"/>
      <c r="D55" s="198"/>
      <c r="E55" s="348"/>
      <c r="F55" s="351"/>
      <c r="G55" s="352"/>
      <c r="H55" s="122"/>
    </row>
    <row r="56" spans="1:8" s="34" customFormat="1" x14ac:dyDescent="0.2">
      <c r="A56" s="136"/>
      <c r="B56" s="135"/>
      <c r="C56" s="217" t="s">
        <v>913</v>
      </c>
      <c r="D56" s="198" t="s">
        <v>149</v>
      </c>
      <c r="E56" s="348">
        <v>2</v>
      </c>
      <c r="F56" s="351">
        <v>0</v>
      </c>
      <c r="G56" s="352">
        <f t="shared" ref="G56:G61" si="1">E56*F56</f>
        <v>0</v>
      </c>
      <c r="H56" s="122"/>
    </row>
    <row r="57" spans="1:8" s="34" customFormat="1" x14ac:dyDescent="0.2">
      <c r="A57" s="136"/>
      <c r="B57" s="135"/>
      <c r="C57" s="217" t="s">
        <v>946</v>
      </c>
      <c r="D57" s="198" t="s">
        <v>149</v>
      </c>
      <c r="E57" s="348">
        <v>1</v>
      </c>
      <c r="F57" s="351">
        <v>0</v>
      </c>
      <c r="G57" s="352">
        <f t="shared" si="1"/>
        <v>0</v>
      </c>
      <c r="H57" s="122"/>
    </row>
    <row r="58" spans="1:8" s="34" customFormat="1" x14ac:dyDescent="0.2">
      <c r="A58" s="136"/>
      <c r="B58" s="135"/>
      <c r="C58" s="217" t="s">
        <v>902</v>
      </c>
      <c r="D58" s="198" t="s">
        <v>149</v>
      </c>
      <c r="E58" s="348">
        <v>2</v>
      </c>
      <c r="F58" s="351">
        <v>0</v>
      </c>
      <c r="G58" s="352">
        <f t="shared" si="1"/>
        <v>0</v>
      </c>
      <c r="H58" s="122"/>
    </row>
    <row r="59" spans="1:8" s="34" customFormat="1" x14ac:dyDescent="0.2">
      <c r="A59" s="136"/>
      <c r="B59" s="135"/>
      <c r="C59" s="217" t="s">
        <v>947</v>
      </c>
      <c r="D59" s="198" t="s">
        <v>149</v>
      </c>
      <c r="E59" s="348">
        <v>1</v>
      </c>
      <c r="F59" s="351">
        <v>0</v>
      </c>
      <c r="G59" s="352">
        <f t="shared" si="1"/>
        <v>0</v>
      </c>
      <c r="H59" s="122"/>
    </row>
    <row r="60" spans="1:8" s="34" customFormat="1" x14ac:dyDescent="0.2">
      <c r="A60" s="136"/>
      <c r="B60" s="135"/>
      <c r="C60" s="217" t="s">
        <v>948</v>
      </c>
      <c r="D60" s="198" t="s">
        <v>149</v>
      </c>
      <c r="E60" s="348">
        <v>1</v>
      </c>
      <c r="F60" s="351">
        <v>0</v>
      </c>
      <c r="G60" s="352">
        <f t="shared" si="1"/>
        <v>0</v>
      </c>
      <c r="H60" s="122"/>
    </row>
    <row r="61" spans="1:8" s="34" customFormat="1" x14ac:dyDescent="0.2">
      <c r="A61" s="136"/>
      <c r="B61" s="135"/>
      <c r="C61" s="217" t="s">
        <v>949</v>
      </c>
      <c r="D61" s="198" t="s">
        <v>149</v>
      </c>
      <c r="E61" s="348">
        <v>1</v>
      </c>
      <c r="F61" s="351">
        <v>0</v>
      </c>
      <c r="G61" s="352">
        <f t="shared" si="1"/>
        <v>0</v>
      </c>
      <c r="H61" s="122"/>
    </row>
    <row r="62" spans="1:8" s="34" customFormat="1" x14ac:dyDescent="0.2">
      <c r="A62" s="136"/>
      <c r="B62" s="292" t="s">
        <v>917</v>
      </c>
      <c r="C62" s="67" t="s">
        <v>918</v>
      </c>
      <c r="D62" s="63"/>
      <c r="E62" s="62"/>
      <c r="F62" s="61"/>
      <c r="G62" s="60"/>
      <c r="H62" s="122"/>
    </row>
    <row r="63" spans="1:8" s="34" customFormat="1" x14ac:dyDescent="0.2">
      <c r="B63" s="135"/>
      <c r="C63" s="69" t="s">
        <v>927</v>
      </c>
      <c r="D63" s="63" t="s">
        <v>928</v>
      </c>
      <c r="E63" s="62">
        <v>16</v>
      </c>
      <c r="F63" s="61"/>
      <c r="G63" s="60"/>
      <c r="H63" s="122"/>
    </row>
    <row r="64" spans="1:8" s="34" customFormat="1" x14ac:dyDescent="0.2">
      <c r="B64" s="135"/>
      <c r="C64" s="69" t="s">
        <v>929</v>
      </c>
      <c r="D64" s="63" t="s">
        <v>149</v>
      </c>
      <c r="E64" s="62">
        <v>2</v>
      </c>
      <c r="F64" s="61"/>
      <c r="G64" s="60"/>
      <c r="H64" s="122"/>
    </row>
    <row r="65" spans="2:8" s="34" customFormat="1" x14ac:dyDescent="0.2">
      <c r="B65" s="135"/>
      <c r="C65" s="69" t="s">
        <v>930</v>
      </c>
      <c r="D65" s="63" t="s">
        <v>149</v>
      </c>
      <c r="E65" s="62">
        <v>2</v>
      </c>
      <c r="F65" s="61"/>
      <c r="G65" s="60"/>
      <c r="H65" s="122"/>
    </row>
    <row r="66" spans="2:8" s="34" customFormat="1" x14ac:dyDescent="0.2">
      <c r="B66" s="135"/>
      <c r="C66" s="69" t="s">
        <v>931</v>
      </c>
      <c r="D66" s="63" t="s">
        <v>149</v>
      </c>
      <c r="E66" s="62">
        <v>10</v>
      </c>
      <c r="F66" s="61"/>
      <c r="G66" s="60"/>
      <c r="H66" s="122"/>
    </row>
    <row r="67" spans="2:8" s="34" customFormat="1" x14ac:dyDescent="0.2">
      <c r="B67" s="135"/>
      <c r="C67" s="69" t="s">
        <v>932</v>
      </c>
      <c r="D67" s="63" t="s">
        <v>149</v>
      </c>
      <c r="E67" s="62">
        <v>2</v>
      </c>
      <c r="F67" s="61"/>
      <c r="G67" s="60"/>
      <c r="H67" s="122"/>
    </row>
    <row r="68" spans="2:8" s="34" customFormat="1" x14ac:dyDescent="0.2">
      <c r="B68" s="135"/>
      <c r="C68" s="69" t="s">
        <v>933</v>
      </c>
      <c r="D68" s="63" t="s">
        <v>149</v>
      </c>
      <c r="E68" s="62">
        <v>2</v>
      </c>
      <c r="F68" s="61"/>
      <c r="G68" s="60"/>
      <c r="H68" s="122"/>
    </row>
    <row r="69" spans="2:8" s="34" customFormat="1" x14ac:dyDescent="0.2">
      <c r="B69" s="135"/>
      <c r="C69" s="69" t="s">
        <v>934</v>
      </c>
      <c r="D69" s="63" t="s">
        <v>149</v>
      </c>
      <c r="E69" s="62">
        <v>1</v>
      </c>
      <c r="F69" s="61"/>
      <c r="G69" s="60"/>
      <c r="H69" s="122"/>
    </row>
    <row r="70" spans="2:8" s="34" customFormat="1" x14ac:dyDescent="0.2">
      <c r="B70" s="135"/>
      <c r="C70" s="69" t="s">
        <v>935</v>
      </c>
      <c r="D70" s="63" t="s">
        <v>149</v>
      </c>
      <c r="E70" s="62">
        <v>1</v>
      </c>
      <c r="F70" s="61"/>
      <c r="G70" s="60"/>
      <c r="H70" s="122"/>
    </row>
    <row r="71" spans="2:8" s="34" customFormat="1" x14ac:dyDescent="0.2">
      <c r="B71" s="135"/>
      <c r="C71" s="69" t="s">
        <v>936</v>
      </c>
      <c r="D71" s="63" t="s">
        <v>149</v>
      </c>
      <c r="E71" s="62">
        <v>1</v>
      </c>
      <c r="F71" s="61"/>
      <c r="G71" s="60"/>
      <c r="H71" s="122"/>
    </row>
    <row r="72" spans="2:8" s="34" customFormat="1" x14ac:dyDescent="0.2">
      <c r="B72" s="135"/>
      <c r="C72" s="69" t="s">
        <v>937</v>
      </c>
      <c r="D72" s="63" t="s">
        <v>149</v>
      </c>
      <c r="E72" s="62">
        <v>10</v>
      </c>
      <c r="F72" s="61"/>
      <c r="G72" s="60"/>
      <c r="H72" s="122"/>
    </row>
    <row r="73" spans="2:8" s="34" customFormat="1" x14ac:dyDescent="0.2">
      <c r="B73" s="135"/>
      <c r="C73" s="69" t="s">
        <v>938</v>
      </c>
      <c r="D73" s="63" t="s">
        <v>149</v>
      </c>
      <c r="E73" s="62">
        <v>1</v>
      </c>
      <c r="F73" s="61"/>
      <c r="G73" s="60"/>
      <c r="H73" s="122"/>
    </row>
    <row r="74" spans="2:8" s="34" customFormat="1" x14ac:dyDescent="0.2">
      <c r="B74" s="135"/>
      <c r="C74" s="69" t="s">
        <v>939</v>
      </c>
      <c r="D74" s="63" t="s">
        <v>149</v>
      </c>
      <c r="E74" s="62">
        <v>2</v>
      </c>
      <c r="F74" s="61"/>
      <c r="G74" s="60"/>
      <c r="H74" s="122"/>
    </row>
    <row r="75" spans="2:8" s="34" customFormat="1" x14ac:dyDescent="0.2">
      <c r="B75" s="135"/>
      <c r="C75" s="69" t="s">
        <v>940</v>
      </c>
      <c r="D75" s="63" t="s">
        <v>149</v>
      </c>
      <c r="E75" s="62">
        <v>4</v>
      </c>
      <c r="F75" s="61"/>
      <c r="G75" s="60"/>
      <c r="H75" s="122"/>
    </row>
    <row r="76" spans="2:8" s="34" customFormat="1" ht="324" customHeight="1" x14ac:dyDescent="0.2">
      <c r="B76" s="135"/>
      <c r="C76" s="66" t="s">
        <v>919</v>
      </c>
      <c r="D76" s="63" t="s">
        <v>149</v>
      </c>
      <c r="E76" s="62">
        <v>2</v>
      </c>
      <c r="F76" s="61"/>
      <c r="G76" s="60"/>
      <c r="H76" s="122"/>
    </row>
    <row r="77" spans="2:8" s="34" customFormat="1" ht="216.75" x14ac:dyDescent="0.2">
      <c r="B77" s="135"/>
      <c r="C77" s="65" t="s">
        <v>920</v>
      </c>
      <c r="D77" s="63" t="s">
        <v>560</v>
      </c>
      <c r="E77" s="62">
        <v>2</v>
      </c>
      <c r="F77" s="61"/>
      <c r="G77" s="60"/>
      <c r="H77" s="122"/>
    </row>
    <row r="78" spans="2:8" s="34" customFormat="1" ht="89.25" x14ac:dyDescent="0.2">
      <c r="B78" s="135"/>
      <c r="C78" s="65" t="s">
        <v>921</v>
      </c>
      <c r="D78" s="63" t="s">
        <v>149</v>
      </c>
      <c r="E78" s="62">
        <v>2</v>
      </c>
      <c r="F78" s="61"/>
      <c r="G78" s="60"/>
      <c r="H78" s="122"/>
    </row>
    <row r="79" spans="2:8" s="34" customFormat="1" ht="63.75" x14ac:dyDescent="0.2">
      <c r="B79" s="135"/>
      <c r="C79" s="65" t="s">
        <v>922</v>
      </c>
      <c r="D79" s="63" t="s">
        <v>560</v>
      </c>
      <c r="E79" s="62">
        <v>1</v>
      </c>
      <c r="F79" s="61"/>
      <c r="G79" s="60"/>
      <c r="H79" s="122"/>
    </row>
    <row r="80" spans="2:8" s="34" customFormat="1" ht="280.5" x14ac:dyDescent="0.2">
      <c r="B80" s="135"/>
      <c r="C80" s="64" t="s">
        <v>923</v>
      </c>
      <c r="D80" s="63" t="s">
        <v>149</v>
      </c>
      <c r="E80" s="62">
        <v>2</v>
      </c>
      <c r="F80" s="61"/>
      <c r="G80" s="60"/>
      <c r="H80" s="122"/>
    </row>
    <row r="81" spans="2:8" s="34" customFormat="1" x14ac:dyDescent="0.2">
      <c r="B81" s="135"/>
      <c r="C81" s="64" t="s">
        <v>924</v>
      </c>
      <c r="D81" s="63" t="s">
        <v>560</v>
      </c>
      <c r="E81" s="62">
        <v>1</v>
      </c>
      <c r="F81" s="61"/>
      <c r="G81" s="60"/>
      <c r="H81" s="122"/>
    </row>
    <row r="82" spans="2:8" s="136" customFormat="1" x14ac:dyDescent="0.2">
      <c r="B82" s="135"/>
      <c r="C82" s="2755" t="s">
        <v>2522</v>
      </c>
      <c r="D82" s="2751" t="s">
        <v>560</v>
      </c>
      <c r="E82" s="2752">
        <v>1</v>
      </c>
      <c r="F82" s="61">
        <v>0</v>
      </c>
      <c r="G82" s="60">
        <f t="shared" ref="G82" si="2">E82*F82</f>
        <v>0</v>
      </c>
      <c r="H82" s="122"/>
    </row>
    <row r="83" spans="2:8" s="136" customFormat="1" ht="18" x14ac:dyDescent="0.2">
      <c r="B83" s="1948" t="s">
        <v>24</v>
      </c>
      <c r="C83" s="1949" t="s">
        <v>905</v>
      </c>
      <c r="D83" s="1950"/>
      <c r="E83" s="1951"/>
      <c r="F83" s="1952"/>
      <c r="G83" s="1953"/>
      <c r="H83" s="122"/>
    </row>
    <row r="84" spans="2:8" s="136" customFormat="1" ht="24" x14ac:dyDescent="0.2">
      <c r="B84" s="309" t="s">
        <v>906</v>
      </c>
      <c r="C84" s="227" t="s">
        <v>174</v>
      </c>
      <c r="D84" s="209" t="s">
        <v>98</v>
      </c>
      <c r="E84" s="228">
        <v>1</v>
      </c>
      <c r="F84" s="269">
        <v>0</v>
      </c>
      <c r="G84" s="270">
        <f>E84*F84</f>
        <v>0</v>
      </c>
      <c r="H84" s="122"/>
    </row>
    <row r="85" spans="2:8" s="136" customFormat="1" ht="24" x14ac:dyDescent="0.2">
      <c r="B85" s="309" t="s">
        <v>907</v>
      </c>
      <c r="C85" s="227" t="s">
        <v>176</v>
      </c>
      <c r="D85" s="209" t="s">
        <v>98</v>
      </c>
      <c r="E85" s="228">
        <v>1</v>
      </c>
      <c r="F85" s="269">
        <v>0</v>
      </c>
      <c r="G85" s="270">
        <f>E85*F85</f>
        <v>0</v>
      </c>
      <c r="H85" s="122"/>
    </row>
    <row r="86" spans="2:8" s="136" customFormat="1" ht="36" x14ac:dyDescent="0.2">
      <c r="B86" s="309" t="s">
        <v>908</v>
      </c>
      <c r="C86" s="227" t="s">
        <v>178</v>
      </c>
      <c r="D86" s="209" t="s">
        <v>98</v>
      </c>
      <c r="E86" s="228">
        <v>1</v>
      </c>
      <c r="F86" s="269">
        <v>0</v>
      </c>
      <c r="G86" s="270">
        <f>E86*F86</f>
        <v>0</v>
      </c>
      <c r="H86" s="122"/>
    </row>
    <row r="87" spans="2:8" s="136" customFormat="1" ht="24" x14ac:dyDescent="0.2">
      <c r="B87" s="153">
        <v>5</v>
      </c>
      <c r="C87" s="229" t="s">
        <v>179</v>
      </c>
      <c r="D87" s="198"/>
      <c r="E87" s="199"/>
      <c r="F87" s="200">
        <v>0</v>
      </c>
      <c r="G87" s="201"/>
      <c r="H87" s="122"/>
    </row>
    <row r="88" spans="2:8" s="136" customFormat="1" x14ac:dyDescent="0.2">
      <c r="B88" s="292" t="s">
        <v>926</v>
      </c>
      <c r="C88" s="57" t="s">
        <v>910</v>
      </c>
      <c r="D88" s="56"/>
      <c r="E88" s="55"/>
      <c r="F88" s="54"/>
      <c r="G88" s="53"/>
      <c r="H88" s="122"/>
    </row>
    <row r="89" spans="2:8" s="136" customFormat="1" ht="96" customHeight="1" x14ac:dyDescent="0.2">
      <c r="B89" s="2731"/>
      <c r="C89" s="2732"/>
      <c r="D89" s="2733"/>
      <c r="E89" s="2734"/>
      <c r="F89" s="2735"/>
      <c r="G89" s="2736"/>
      <c r="H89" s="122"/>
    </row>
    <row r="90" spans="2:8" s="136" customFormat="1" ht="96" customHeight="1" x14ac:dyDescent="0.2">
      <c r="B90" s="2737"/>
      <c r="C90" s="2738"/>
      <c r="D90" s="2733"/>
      <c r="E90" s="2734"/>
      <c r="F90" s="2735"/>
      <c r="G90" s="2736"/>
      <c r="H90" s="122"/>
    </row>
    <row r="91" spans="2:8" s="136" customFormat="1" ht="96" customHeight="1" x14ac:dyDescent="0.2">
      <c r="B91" s="2737"/>
      <c r="C91" s="2738"/>
      <c r="D91" s="2733"/>
      <c r="E91" s="2734"/>
      <c r="F91" s="2735"/>
      <c r="G91" s="2736"/>
      <c r="H91" s="122"/>
    </row>
    <row r="92" spans="2:8" s="136" customFormat="1" ht="96" customHeight="1" x14ac:dyDescent="0.2">
      <c r="B92" s="2737"/>
      <c r="C92" s="2738"/>
      <c r="D92" s="2733"/>
      <c r="E92" s="2734"/>
      <c r="F92" s="2735"/>
      <c r="G92" s="2736"/>
      <c r="H92" s="122"/>
    </row>
    <row r="93" spans="2:8" s="136" customFormat="1" ht="96" customHeight="1" x14ac:dyDescent="0.2">
      <c r="B93" s="2737"/>
      <c r="C93" s="2738"/>
      <c r="D93" s="2733"/>
      <c r="E93" s="2734"/>
      <c r="F93" s="2735"/>
      <c r="G93" s="2736"/>
      <c r="H93" s="122"/>
    </row>
    <row r="94" spans="2:8" s="136" customFormat="1" ht="96" customHeight="1" x14ac:dyDescent="0.2">
      <c r="B94" s="2737"/>
      <c r="C94" s="2738"/>
      <c r="D94" s="2733"/>
      <c r="E94" s="2734"/>
      <c r="F94" s="2735"/>
      <c r="G94" s="2736"/>
      <c r="H94" s="122"/>
    </row>
    <row r="95" spans="2:8" s="136" customFormat="1" ht="107.25" customHeight="1" x14ac:dyDescent="0.2">
      <c r="B95" s="2737"/>
      <c r="C95" s="2738"/>
      <c r="D95" s="2733"/>
      <c r="E95" s="2734"/>
      <c r="F95" s="2735"/>
      <c r="G95" s="2736"/>
      <c r="H95" s="122"/>
    </row>
    <row r="96" spans="2:8" s="136" customFormat="1" ht="14.25" customHeight="1" x14ac:dyDescent="0.2">
      <c r="B96" s="2737"/>
      <c r="C96" s="2732" t="s">
        <v>2464</v>
      </c>
      <c r="D96" s="2739" t="s">
        <v>98</v>
      </c>
      <c r="E96" s="2740">
        <v>1</v>
      </c>
      <c r="F96" s="2741">
        <v>0</v>
      </c>
      <c r="G96" s="2742">
        <f t="shared" ref="G96" si="3">E96*F96</f>
        <v>0</v>
      </c>
      <c r="H96" s="122"/>
    </row>
    <row r="97" spans="2:8" s="9" customFormat="1" x14ac:dyDescent="0.25">
      <c r="B97" s="293" t="s">
        <v>17</v>
      </c>
      <c r="C97" s="294" t="s">
        <v>302</v>
      </c>
      <c r="D97" s="218"/>
      <c r="E97" s="203"/>
      <c r="F97" s="204"/>
      <c r="G97" s="290">
        <f>SUM(G51:G96)</f>
        <v>0</v>
      </c>
      <c r="H97" s="150"/>
    </row>
    <row r="99" spans="2:8" ht="20.25" x14ac:dyDescent="0.2">
      <c r="B99" s="296" t="s">
        <v>18</v>
      </c>
      <c r="C99" s="297" t="s">
        <v>367</v>
      </c>
      <c r="D99" s="298"/>
      <c r="E99" s="299"/>
      <c r="F99" s="300"/>
      <c r="G99" s="301"/>
      <c r="H99" s="122"/>
    </row>
    <row r="100" spans="2:8" x14ac:dyDescent="0.2">
      <c r="B100" s="3205" t="s">
        <v>539</v>
      </c>
      <c r="C100" s="3206"/>
      <c r="D100" s="3206"/>
      <c r="E100" s="3206"/>
      <c r="F100" s="3206"/>
      <c r="G100" s="3207"/>
      <c r="H100" s="122"/>
    </row>
    <row r="101" spans="2:8" x14ac:dyDescent="0.2">
      <c r="B101" s="3205" t="s">
        <v>540</v>
      </c>
      <c r="C101" s="3206"/>
      <c r="D101" s="3206"/>
      <c r="E101" s="3206"/>
      <c r="F101" s="3206"/>
      <c r="G101" s="3207"/>
      <c r="H101" s="122"/>
    </row>
    <row r="102" spans="2:8" x14ac:dyDescent="0.2">
      <c r="B102" s="3205" t="s">
        <v>541</v>
      </c>
      <c r="C102" s="3206"/>
      <c r="D102" s="3206"/>
      <c r="E102" s="3206"/>
      <c r="F102" s="3206"/>
      <c r="G102" s="3207"/>
      <c r="H102" s="122"/>
    </row>
    <row r="103" spans="2:8" x14ac:dyDescent="0.2">
      <c r="B103" s="3205" t="s">
        <v>542</v>
      </c>
      <c r="C103" s="3206"/>
      <c r="D103" s="3206"/>
      <c r="E103" s="3206"/>
      <c r="F103" s="3206"/>
      <c r="G103" s="3207"/>
      <c r="H103" s="122"/>
    </row>
    <row r="104" spans="2:8" x14ac:dyDescent="0.2">
      <c r="B104" s="3205" t="s">
        <v>543</v>
      </c>
      <c r="C104" s="3206"/>
      <c r="D104" s="3206"/>
      <c r="E104" s="3206"/>
      <c r="F104" s="3206"/>
      <c r="G104" s="3207"/>
      <c r="H104" s="122"/>
    </row>
    <row r="105" spans="2:8" x14ac:dyDescent="0.2">
      <c r="B105" s="3205" t="s">
        <v>544</v>
      </c>
      <c r="C105" s="3206"/>
      <c r="D105" s="3206"/>
      <c r="E105" s="3206"/>
      <c r="F105" s="3206"/>
      <c r="G105" s="3207"/>
    </row>
    <row r="106" spans="2:8" x14ac:dyDescent="0.2">
      <c r="B106" s="3205" t="s">
        <v>545</v>
      </c>
      <c r="C106" s="3206"/>
      <c r="D106" s="3206"/>
      <c r="E106" s="3206"/>
      <c r="F106" s="3206"/>
      <c r="G106" s="3207"/>
    </row>
    <row r="107" spans="2:8" x14ac:dyDescent="0.2">
      <c r="B107" s="153">
        <v>1</v>
      </c>
      <c r="C107" s="357" t="s">
        <v>550</v>
      </c>
      <c r="D107" s="207"/>
      <c r="E107" s="199"/>
      <c r="F107" s="269"/>
      <c r="G107" s="270"/>
    </row>
    <row r="108" spans="2:8" ht="135.75" customHeight="1" x14ac:dyDescent="0.2">
      <c r="B108" s="70"/>
      <c r="C108" s="197" t="s">
        <v>815</v>
      </c>
      <c r="D108" s="207" t="s">
        <v>98</v>
      </c>
      <c r="E108" s="199">
        <v>1</v>
      </c>
      <c r="F108" s="200">
        <v>0</v>
      </c>
      <c r="G108" s="270">
        <f t="shared" ref="G108:G130" si="4">E108*F108</f>
        <v>0</v>
      </c>
    </row>
    <row r="109" spans="2:8" ht="36" x14ac:dyDescent="0.2">
      <c r="B109" s="70"/>
      <c r="C109" s="197" t="s">
        <v>942</v>
      </c>
      <c r="D109" s="207" t="s">
        <v>123</v>
      </c>
      <c r="E109" s="199">
        <v>3</v>
      </c>
      <c r="F109" s="200">
        <v>0</v>
      </c>
      <c r="G109" s="270">
        <f t="shared" si="4"/>
        <v>0</v>
      </c>
    </row>
    <row r="110" spans="2:8" ht="96" x14ac:dyDescent="0.2">
      <c r="B110" s="70"/>
      <c r="C110" s="197" t="s">
        <v>748</v>
      </c>
      <c r="D110" s="207" t="s">
        <v>98</v>
      </c>
      <c r="E110" s="199">
        <v>1</v>
      </c>
      <c r="F110" s="200">
        <v>0</v>
      </c>
      <c r="G110" s="270">
        <f t="shared" si="4"/>
        <v>0</v>
      </c>
    </row>
    <row r="111" spans="2:8" ht="60" x14ac:dyDescent="0.2">
      <c r="B111" s="70"/>
      <c r="C111" s="197" t="s">
        <v>751</v>
      </c>
      <c r="D111" s="207" t="s">
        <v>123</v>
      </c>
      <c r="E111" s="199">
        <v>1</v>
      </c>
      <c r="F111" s="200">
        <v>0</v>
      </c>
      <c r="G111" s="270">
        <f t="shared" si="4"/>
        <v>0</v>
      </c>
    </row>
    <row r="112" spans="2:8" ht="60" x14ac:dyDescent="0.2">
      <c r="B112" s="70"/>
      <c r="C112" s="197" t="s">
        <v>752</v>
      </c>
      <c r="D112" s="207" t="s">
        <v>123</v>
      </c>
      <c r="E112" s="199">
        <v>1</v>
      </c>
      <c r="F112" s="200">
        <v>0</v>
      </c>
      <c r="G112" s="270">
        <f t="shared" si="4"/>
        <v>0</v>
      </c>
    </row>
    <row r="113" spans="2:7" ht="60" x14ac:dyDescent="0.2">
      <c r="B113" s="70"/>
      <c r="C113" s="197" t="s">
        <v>753</v>
      </c>
      <c r="D113" s="207" t="s">
        <v>123</v>
      </c>
      <c r="E113" s="199">
        <v>2</v>
      </c>
      <c r="F113" s="200">
        <v>0</v>
      </c>
      <c r="G113" s="270">
        <f t="shared" si="4"/>
        <v>0</v>
      </c>
    </row>
    <row r="114" spans="2:7" ht="60" x14ac:dyDescent="0.2">
      <c r="B114" s="70"/>
      <c r="C114" s="197" t="s">
        <v>754</v>
      </c>
      <c r="D114" s="207" t="s">
        <v>123</v>
      </c>
      <c r="E114" s="199">
        <v>1</v>
      </c>
      <c r="F114" s="200">
        <v>0</v>
      </c>
      <c r="G114" s="270">
        <f t="shared" si="4"/>
        <v>0</v>
      </c>
    </row>
    <row r="115" spans="2:7" ht="48" x14ac:dyDescent="0.2">
      <c r="B115" s="70"/>
      <c r="C115" s="197" t="s">
        <v>755</v>
      </c>
      <c r="D115" s="207" t="s">
        <v>123</v>
      </c>
      <c r="E115" s="199">
        <v>1</v>
      </c>
      <c r="F115" s="200">
        <v>0</v>
      </c>
      <c r="G115" s="270">
        <f t="shared" si="4"/>
        <v>0</v>
      </c>
    </row>
    <row r="116" spans="2:7" ht="60" x14ac:dyDescent="0.2">
      <c r="B116" s="70"/>
      <c r="C116" s="311" t="s">
        <v>756</v>
      </c>
      <c r="D116" s="207" t="s">
        <v>98</v>
      </c>
      <c r="E116" s="199">
        <v>1</v>
      </c>
      <c r="F116" s="200">
        <v>0</v>
      </c>
      <c r="G116" s="270">
        <f t="shared" si="4"/>
        <v>0</v>
      </c>
    </row>
    <row r="117" spans="2:7" ht="48" x14ac:dyDescent="0.2">
      <c r="B117" s="70"/>
      <c r="C117" s="197" t="s">
        <v>757</v>
      </c>
      <c r="D117" s="207" t="s">
        <v>123</v>
      </c>
      <c r="E117" s="199">
        <v>1</v>
      </c>
      <c r="F117" s="200">
        <v>0</v>
      </c>
      <c r="G117" s="270">
        <f t="shared" si="4"/>
        <v>0</v>
      </c>
    </row>
    <row r="118" spans="2:7" ht="108" x14ac:dyDescent="0.2">
      <c r="B118" s="70"/>
      <c r="C118" s="197" t="s">
        <v>619</v>
      </c>
      <c r="D118" s="207" t="s">
        <v>123</v>
      </c>
      <c r="E118" s="199">
        <v>1</v>
      </c>
      <c r="F118" s="200">
        <v>0</v>
      </c>
      <c r="G118" s="270">
        <f t="shared" si="4"/>
        <v>0</v>
      </c>
    </row>
    <row r="119" spans="2:7" ht="36" x14ac:dyDescent="0.2">
      <c r="B119" s="70"/>
      <c r="C119" s="197" t="s">
        <v>758</v>
      </c>
      <c r="D119" s="207" t="s">
        <v>123</v>
      </c>
      <c r="E119" s="199">
        <v>40</v>
      </c>
      <c r="F119" s="200">
        <v>0</v>
      </c>
      <c r="G119" s="270">
        <f t="shared" si="4"/>
        <v>0</v>
      </c>
    </row>
    <row r="120" spans="2:7" ht="36" x14ac:dyDescent="0.2">
      <c r="B120" s="70"/>
      <c r="C120" s="197" t="s">
        <v>759</v>
      </c>
      <c r="D120" s="207" t="s">
        <v>123</v>
      </c>
      <c r="E120" s="199">
        <v>10</v>
      </c>
      <c r="F120" s="200">
        <v>0</v>
      </c>
      <c r="G120" s="270">
        <f t="shared" si="4"/>
        <v>0</v>
      </c>
    </row>
    <row r="121" spans="2:7" ht="36" x14ac:dyDescent="0.2">
      <c r="B121" s="70"/>
      <c r="C121" s="197" t="s">
        <v>760</v>
      </c>
      <c r="D121" s="207" t="s">
        <v>123</v>
      </c>
      <c r="E121" s="199">
        <v>2</v>
      </c>
      <c r="F121" s="200">
        <v>0</v>
      </c>
      <c r="G121" s="270">
        <f t="shared" si="4"/>
        <v>0</v>
      </c>
    </row>
    <row r="122" spans="2:7" ht="36" x14ac:dyDescent="0.2">
      <c r="B122" s="70"/>
      <c r="C122" s="197" t="s">
        <v>761</v>
      </c>
      <c r="D122" s="207" t="s">
        <v>123</v>
      </c>
      <c r="E122" s="199">
        <v>12</v>
      </c>
      <c r="F122" s="200">
        <v>0</v>
      </c>
      <c r="G122" s="270">
        <f t="shared" si="4"/>
        <v>0</v>
      </c>
    </row>
    <row r="123" spans="2:7" ht="36" x14ac:dyDescent="0.2">
      <c r="B123" s="70"/>
      <c r="C123" s="197" t="s">
        <v>762</v>
      </c>
      <c r="D123" s="207" t="s">
        <v>123</v>
      </c>
      <c r="E123" s="199">
        <v>1</v>
      </c>
      <c r="F123" s="200">
        <v>0</v>
      </c>
      <c r="G123" s="270">
        <f t="shared" si="4"/>
        <v>0</v>
      </c>
    </row>
    <row r="124" spans="2:7" ht="48" x14ac:dyDescent="0.2">
      <c r="B124" s="70"/>
      <c r="C124" s="197" t="s">
        <v>763</v>
      </c>
      <c r="D124" s="207" t="s">
        <v>123</v>
      </c>
      <c r="E124" s="199">
        <v>1</v>
      </c>
      <c r="F124" s="200">
        <v>0</v>
      </c>
      <c r="G124" s="270">
        <f t="shared" si="4"/>
        <v>0</v>
      </c>
    </row>
    <row r="125" spans="2:7" ht="48" x14ac:dyDescent="0.2">
      <c r="B125" s="70"/>
      <c r="C125" s="197" t="s">
        <v>764</v>
      </c>
      <c r="D125" s="207" t="s">
        <v>123</v>
      </c>
      <c r="E125" s="199">
        <v>3</v>
      </c>
      <c r="F125" s="200">
        <v>0</v>
      </c>
      <c r="G125" s="270">
        <f t="shared" si="4"/>
        <v>0</v>
      </c>
    </row>
    <row r="126" spans="2:7" ht="48" x14ac:dyDescent="0.2">
      <c r="B126" s="70"/>
      <c r="C126" s="197" t="s">
        <v>765</v>
      </c>
      <c r="D126" s="207" t="s">
        <v>123</v>
      </c>
      <c r="E126" s="199">
        <v>3</v>
      </c>
      <c r="F126" s="200">
        <v>0</v>
      </c>
      <c r="G126" s="270">
        <f t="shared" si="4"/>
        <v>0</v>
      </c>
    </row>
    <row r="127" spans="2:7" ht="48" x14ac:dyDescent="0.2">
      <c r="B127" s="70"/>
      <c r="C127" s="197" t="s">
        <v>766</v>
      </c>
      <c r="D127" s="207" t="s">
        <v>123</v>
      </c>
      <c r="E127" s="199">
        <v>3</v>
      </c>
      <c r="F127" s="200">
        <v>0</v>
      </c>
      <c r="G127" s="270">
        <f t="shared" si="4"/>
        <v>0</v>
      </c>
    </row>
    <row r="128" spans="2:7" ht="48" x14ac:dyDescent="0.2">
      <c r="B128" s="70"/>
      <c r="C128" s="197" t="s">
        <v>767</v>
      </c>
      <c r="D128" s="207" t="s">
        <v>98</v>
      </c>
      <c r="E128" s="199">
        <v>1</v>
      </c>
      <c r="F128" s="200">
        <v>0</v>
      </c>
      <c r="G128" s="270">
        <f t="shared" si="4"/>
        <v>0</v>
      </c>
    </row>
    <row r="129" spans="2:8" ht="60" x14ac:dyDescent="0.2">
      <c r="B129" s="70"/>
      <c r="C129" s="197" t="s">
        <v>768</v>
      </c>
      <c r="D129" s="207" t="s">
        <v>123</v>
      </c>
      <c r="E129" s="199">
        <v>1</v>
      </c>
      <c r="F129" s="200">
        <v>0</v>
      </c>
      <c r="G129" s="270">
        <f t="shared" si="4"/>
        <v>0</v>
      </c>
    </row>
    <row r="130" spans="2:8" ht="87.75" customHeight="1" x14ac:dyDescent="0.2">
      <c r="B130" s="70"/>
      <c r="C130" s="197" t="s">
        <v>620</v>
      </c>
      <c r="D130" s="207" t="s">
        <v>123</v>
      </c>
      <c r="E130" s="199">
        <v>1</v>
      </c>
      <c r="F130" s="200">
        <v>0</v>
      </c>
      <c r="G130" s="270">
        <f t="shared" si="4"/>
        <v>0</v>
      </c>
    </row>
    <row r="131" spans="2:8" x14ac:dyDescent="0.2">
      <c r="B131" s="153">
        <v>2</v>
      </c>
      <c r="C131" s="357" t="s">
        <v>769</v>
      </c>
      <c r="D131" s="207"/>
      <c r="E131" s="199"/>
      <c r="F131" s="269"/>
      <c r="G131" s="270"/>
    </row>
    <row r="132" spans="2:8" s="121" customFormat="1" ht="387.75" customHeight="1" x14ac:dyDescent="0.2">
      <c r="B132" s="2743"/>
      <c r="C132" s="2744"/>
      <c r="D132" s="2745"/>
      <c r="E132" s="2746"/>
      <c r="F132" s="2747"/>
      <c r="G132" s="2736"/>
      <c r="H132" s="122"/>
    </row>
    <row r="133" spans="2:8" s="121" customFormat="1" ht="24.75" customHeight="1" x14ac:dyDescent="0.2">
      <c r="B133" s="2743"/>
      <c r="C133" s="2744" t="s">
        <v>2465</v>
      </c>
      <c r="D133" s="2748" t="s">
        <v>98</v>
      </c>
      <c r="E133" s="2746">
        <v>1</v>
      </c>
      <c r="F133" s="2747">
        <v>0</v>
      </c>
      <c r="G133" s="2736">
        <f t="shared" ref="G133" si="5">E133*F133</f>
        <v>0</v>
      </c>
      <c r="H133" s="122"/>
    </row>
    <row r="134" spans="2:8" ht="48" x14ac:dyDescent="0.2">
      <c r="B134" s="70"/>
      <c r="C134" s="197" t="s">
        <v>771</v>
      </c>
      <c r="D134" s="207" t="s">
        <v>123</v>
      </c>
      <c r="E134" s="199">
        <v>1</v>
      </c>
      <c r="F134" s="269">
        <v>0</v>
      </c>
      <c r="G134" s="270">
        <f t="shared" ref="G134:G141" si="6">E134*F134</f>
        <v>0</v>
      </c>
    </row>
    <row r="135" spans="2:8" ht="48" x14ac:dyDescent="0.2">
      <c r="B135" s="70"/>
      <c r="C135" s="197" t="s">
        <v>625</v>
      </c>
      <c r="D135" s="207" t="s">
        <v>123</v>
      </c>
      <c r="E135" s="199">
        <v>1</v>
      </c>
      <c r="F135" s="269">
        <v>0</v>
      </c>
      <c r="G135" s="270">
        <f t="shared" si="6"/>
        <v>0</v>
      </c>
    </row>
    <row r="136" spans="2:8" ht="60" x14ac:dyDescent="0.2">
      <c r="B136" s="70"/>
      <c r="C136" s="197" t="s">
        <v>772</v>
      </c>
      <c r="D136" s="207" t="s">
        <v>123</v>
      </c>
      <c r="E136" s="199">
        <v>1</v>
      </c>
      <c r="F136" s="269">
        <v>0</v>
      </c>
      <c r="G136" s="270">
        <f t="shared" si="6"/>
        <v>0</v>
      </c>
    </row>
    <row r="137" spans="2:8" ht="48" x14ac:dyDescent="0.2">
      <c r="B137" s="70"/>
      <c r="C137" s="197" t="s">
        <v>943</v>
      </c>
      <c r="D137" s="207" t="s">
        <v>123</v>
      </c>
      <c r="E137" s="199">
        <v>1</v>
      </c>
      <c r="F137" s="269">
        <v>0</v>
      </c>
      <c r="G137" s="270">
        <f t="shared" si="6"/>
        <v>0</v>
      </c>
    </row>
    <row r="138" spans="2:8" ht="180" x14ac:dyDescent="0.2">
      <c r="B138" s="70"/>
      <c r="C138" s="197" t="s">
        <v>773</v>
      </c>
      <c r="D138" s="207" t="s">
        <v>123</v>
      </c>
      <c r="E138" s="199">
        <v>1</v>
      </c>
      <c r="F138" s="269">
        <v>0</v>
      </c>
      <c r="G138" s="270">
        <f t="shared" si="6"/>
        <v>0</v>
      </c>
    </row>
    <row r="139" spans="2:8" ht="60" x14ac:dyDescent="0.2">
      <c r="B139" s="70"/>
      <c r="C139" s="197" t="s">
        <v>944</v>
      </c>
      <c r="D139" s="207" t="s">
        <v>98</v>
      </c>
      <c r="E139" s="199">
        <v>1</v>
      </c>
      <c r="F139" s="269">
        <v>0</v>
      </c>
      <c r="G139" s="270">
        <f t="shared" si="6"/>
        <v>0</v>
      </c>
    </row>
    <row r="140" spans="2:8" ht="36" x14ac:dyDescent="0.2">
      <c r="B140" s="70"/>
      <c r="C140" s="197" t="s">
        <v>603</v>
      </c>
      <c r="D140" s="207" t="s">
        <v>123</v>
      </c>
      <c r="E140" s="199">
        <v>1</v>
      </c>
      <c r="F140" s="269">
        <v>0</v>
      </c>
      <c r="G140" s="270">
        <f t="shared" si="6"/>
        <v>0</v>
      </c>
    </row>
    <row r="141" spans="2:8" ht="288" x14ac:dyDescent="0.2">
      <c r="B141" s="70"/>
      <c r="C141" s="197" t="s">
        <v>630</v>
      </c>
      <c r="D141" s="207" t="s">
        <v>98</v>
      </c>
      <c r="E141" s="199">
        <v>2</v>
      </c>
      <c r="F141" s="269">
        <v>0</v>
      </c>
      <c r="G141" s="270">
        <f t="shared" si="6"/>
        <v>0</v>
      </c>
    </row>
    <row r="142" spans="2:8" x14ac:dyDescent="0.2">
      <c r="B142" s="153">
        <v>3</v>
      </c>
      <c r="C142" s="357" t="s">
        <v>775</v>
      </c>
      <c r="D142" s="207"/>
      <c r="E142" s="199"/>
      <c r="F142" s="269"/>
      <c r="G142" s="270"/>
    </row>
    <row r="143" spans="2:8" ht="276" x14ac:dyDescent="0.2">
      <c r="B143" s="70"/>
      <c r="C143" s="197" t="s">
        <v>776</v>
      </c>
      <c r="D143" s="207" t="s">
        <v>98</v>
      </c>
      <c r="E143" s="199">
        <v>1</v>
      </c>
      <c r="F143" s="200">
        <v>0</v>
      </c>
      <c r="G143" s="270">
        <f>E143*F143</f>
        <v>0</v>
      </c>
    </row>
    <row r="144" spans="2:8" ht="72" x14ac:dyDescent="0.2">
      <c r="B144" s="362"/>
      <c r="C144" s="311" t="s">
        <v>777</v>
      </c>
      <c r="D144" s="207" t="s">
        <v>98</v>
      </c>
      <c r="E144" s="199">
        <v>1</v>
      </c>
      <c r="F144" s="200">
        <v>0</v>
      </c>
      <c r="G144" s="270">
        <f>E144*F144</f>
        <v>0</v>
      </c>
    </row>
    <row r="145" spans="2:7" ht="84" x14ac:dyDescent="0.2">
      <c r="B145" s="70"/>
      <c r="C145" s="197" t="s">
        <v>778</v>
      </c>
      <c r="D145" s="207" t="s">
        <v>98</v>
      </c>
      <c r="E145" s="199">
        <v>1</v>
      </c>
      <c r="F145" s="200">
        <v>0</v>
      </c>
      <c r="G145" s="270">
        <f>E145*F145</f>
        <v>0</v>
      </c>
    </row>
    <row r="146" spans="2:7" x14ac:dyDescent="0.2">
      <c r="B146" s="153">
        <v>4</v>
      </c>
      <c r="C146" s="357" t="s">
        <v>779</v>
      </c>
      <c r="D146" s="207"/>
      <c r="E146" s="199"/>
      <c r="F146" s="269"/>
      <c r="G146" s="270"/>
    </row>
    <row r="147" spans="2:7" ht="60" x14ac:dyDescent="0.2">
      <c r="B147" s="70"/>
      <c r="C147" s="197" t="s">
        <v>780</v>
      </c>
      <c r="D147" s="207" t="s">
        <v>98</v>
      </c>
      <c r="E147" s="199">
        <v>2</v>
      </c>
      <c r="F147" s="200">
        <v>0</v>
      </c>
      <c r="G147" s="270">
        <f t="shared" ref="G147:G153" si="7">E147*F147</f>
        <v>0</v>
      </c>
    </row>
    <row r="148" spans="2:7" ht="60" x14ac:dyDescent="0.2">
      <c r="B148" s="70"/>
      <c r="C148" s="197" t="s">
        <v>781</v>
      </c>
      <c r="D148" s="207" t="s">
        <v>98</v>
      </c>
      <c r="E148" s="199">
        <v>2</v>
      </c>
      <c r="F148" s="200">
        <v>0</v>
      </c>
      <c r="G148" s="270">
        <f t="shared" si="7"/>
        <v>0</v>
      </c>
    </row>
    <row r="149" spans="2:7" ht="60" x14ac:dyDescent="0.2">
      <c r="B149" s="362"/>
      <c r="C149" s="311" t="s">
        <v>945</v>
      </c>
      <c r="D149" s="207" t="s">
        <v>98</v>
      </c>
      <c r="E149" s="199">
        <v>2</v>
      </c>
      <c r="F149" s="200">
        <v>0</v>
      </c>
      <c r="G149" s="270">
        <f t="shared" si="7"/>
        <v>0</v>
      </c>
    </row>
    <row r="150" spans="2:7" ht="72" x14ac:dyDescent="0.2">
      <c r="B150" s="70"/>
      <c r="C150" s="197" t="s">
        <v>533</v>
      </c>
      <c r="D150" s="207" t="s">
        <v>123</v>
      </c>
      <c r="E150" s="199">
        <v>2</v>
      </c>
      <c r="F150" s="200">
        <v>0</v>
      </c>
      <c r="G150" s="270">
        <f t="shared" si="7"/>
        <v>0</v>
      </c>
    </row>
    <row r="151" spans="2:7" ht="36" x14ac:dyDescent="0.2">
      <c r="B151" s="70"/>
      <c r="C151" s="197" t="s">
        <v>782</v>
      </c>
      <c r="D151" s="207" t="s">
        <v>123</v>
      </c>
      <c r="E151" s="199">
        <v>1</v>
      </c>
      <c r="F151" s="200">
        <v>0</v>
      </c>
      <c r="G151" s="270">
        <f t="shared" si="7"/>
        <v>0</v>
      </c>
    </row>
    <row r="152" spans="2:7" ht="132" x14ac:dyDescent="0.2">
      <c r="B152" s="70"/>
      <c r="C152" s="197" t="s">
        <v>508</v>
      </c>
      <c r="D152" s="207" t="s">
        <v>123</v>
      </c>
      <c r="E152" s="199">
        <v>1</v>
      </c>
      <c r="F152" s="200">
        <v>0</v>
      </c>
      <c r="G152" s="270">
        <f t="shared" si="7"/>
        <v>0</v>
      </c>
    </row>
    <row r="153" spans="2:7" ht="144" x14ac:dyDescent="0.2">
      <c r="B153" s="70"/>
      <c r="C153" s="197" t="s">
        <v>567</v>
      </c>
      <c r="D153" s="207" t="s">
        <v>123</v>
      </c>
      <c r="E153" s="199">
        <v>1</v>
      </c>
      <c r="F153" s="200">
        <v>0</v>
      </c>
      <c r="G153" s="270">
        <f t="shared" si="7"/>
        <v>0</v>
      </c>
    </row>
    <row r="154" spans="2:7" x14ac:dyDescent="0.2">
      <c r="B154" s="153">
        <v>5</v>
      </c>
      <c r="C154" s="357" t="s">
        <v>784</v>
      </c>
      <c r="D154" s="207"/>
      <c r="E154" s="199"/>
      <c r="F154" s="269"/>
      <c r="G154" s="270"/>
    </row>
    <row r="155" spans="2:7" x14ac:dyDescent="0.2">
      <c r="B155" s="153"/>
      <c r="C155" s="311" t="s">
        <v>643</v>
      </c>
      <c r="D155" s="207" t="s">
        <v>644</v>
      </c>
      <c r="E155" s="199">
        <v>20</v>
      </c>
      <c r="F155" s="269">
        <v>0</v>
      </c>
      <c r="G155" s="270">
        <f t="shared" ref="G155:G163" si="8">E155*F155</f>
        <v>0</v>
      </c>
    </row>
    <row r="156" spans="2:7" x14ac:dyDescent="0.2">
      <c r="B156" s="153"/>
      <c r="C156" s="311" t="s">
        <v>645</v>
      </c>
      <c r="D156" s="207" t="s">
        <v>644</v>
      </c>
      <c r="E156" s="199">
        <v>30</v>
      </c>
      <c r="F156" s="269">
        <v>0</v>
      </c>
      <c r="G156" s="270">
        <f t="shared" si="8"/>
        <v>0</v>
      </c>
    </row>
    <row r="157" spans="2:7" x14ac:dyDescent="0.2">
      <c r="B157" s="153"/>
      <c r="C157" s="311" t="s">
        <v>646</v>
      </c>
      <c r="D157" s="207" t="s">
        <v>644</v>
      </c>
      <c r="E157" s="199">
        <v>100</v>
      </c>
      <c r="F157" s="269">
        <v>0</v>
      </c>
      <c r="G157" s="270">
        <f t="shared" si="8"/>
        <v>0</v>
      </c>
    </row>
    <row r="158" spans="2:7" x14ac:dyDescent="0.2">
      <c r="B158" s="153"/>
      <c r="C158" s="311" t="s">
        <v>647</v>
      </c>
      <c r="D158" s="207" t="s">
        <v>644</v>
      </c>
      <c r="E158" s="199">
        <v>50</v>
      </c>
      <c r="F158" s="269">
        <v>0</v>
      </c>
      <c r="G158" s="270">
        <f t="shared" si="8"/>
        <v>0</v>
      </c>
    </row>
    <row r="159" spans="2:7" x14ac:dyDescent="0.2">
      <c r="B159" s="153"/>
      <c r="C159" s="311" t="s">
        <v>648</v>
      </c>
      <c r="D159" s="207" t="s">
        <v>644</v>
      </c>
      <c r="E159" s="199">
        <v>30</v>
      </c>
      <c r="F159" s="269">
        <v>0</v>
      </c>
      <c r="G159" s="270">
        <f t="shared" si="8"/>
        <v>0</v>
      </c>
    </row>
    <row r="160" spans="2:7" x14ac:dyDescent="0.2">
      <c r="B160" s="153"/>
      <c r="C160" s="311" t="s">
        <v>650</v>
      </c>
      <c r="D160" s="207" t="s">
        <v>123</v>
      </c>
      <c r="E160" s="199">
        <v>2</v>
      </c>
      <c r="F160" s="269">
        <v>0</v>
      </c>
      <c r="G160" s="270">
        <f t="shared" si="8"/>
        <v>0</v>
      </c>
    </row>
    <row r="161" spans="2:7" x14ac:dyDescent="0.2">
      <c r="B161" s="153"/>
      <c r="C161" s="311" t="s">
        <v>651</v>
      </c>
      <c r="D161" s="207" t="s">
        <v>644</v>
      </c>
      <c r="E161" s="199">
        <v>50</v>
      </c>
      <c r="F161" s="269">
        <v>0</v>
      </c>
      <c r="G161" s="270">
        <f t="shared" si="8"/>
        <v>0</v>
      </c>
    </row>
    <row r="162" spans="2:7" x14ac:dyDescent="0.2">
      <c r="B162" s="153"/>
      <c r="C162" s="311" t="s">
        <v>652</v>
      </c>
      <c r="D162" s="207" t="s">
        <v>644</v>
      </c>
      <c r="E162" s="199">
        <v>30</v>
      </c>
      <c r="F162" s="269">
        <v>0</v>
      </c>
      <c r="G162" s="270">
        <f t="shared" si="8"/>
        <v>0</v>
      </c>
    </row>
    <row r="163" spans="2:7" x14ac:dyDescent="0.2">
      <c r="B163" s="70"/>
      <c r="C163" s="311" t="s">
        <v>632</v>
      </c>
      <c r="D163" s="207" t="s">
        <v>98</v>
      </c>
      <c r="E163" s="199">
        <v>1</v>
      </c>
      <c r="F163" s="269">
        <v>0</v>
      </c>
      <c r="G163" s="270">
        <f t="shared" si="8"/>
        <v>0</v>
      </c>
    </row>
    <row r="164" spans="2:7" x14ac:dyDescent="0.2">
      <c r="B164" s="59">
        <v>6</v>
      </c>
      <c r="C164" s="357" t="s">
        <v>785</v>
      </c>
      <c r="D164" s="15"/>
      <c r="E164" s="419"/>
      <c r="F164" s="14"/>
      <c r="G164" s="13"/>
    </row>
    <row r="165" spans="2:7" ht="24" x14ac:dyDescent="0.2">
      <c r="B165" s="59"/>
      <c r="C165" s="311" t="s">
        <v>666</v>
      </c>
      <c r="D165" s="207" t="s">
        <v>644</v>
      </c>
      <c r="E165" s="199">
        <v>20</v>
      </c>
      <c r="F165" s="269">
        <v>0</v>
      </c>
      <c r="G165" s="270">
        <f t="shared" ref="G165:G172" si="9">E165*F165</f>
        <v>0</v>
      </c>
    </row>
    <row r="166" spans="2:7" x14ac:dyDescent="0.2">
      <c r="B166" s="59"/>
      <c r="C166" s="311" t="s">
        <v>667</v>
      </c>
      <c r="D166" s="207" t="s">
        <v>644</v>
      </c>
      <c r="E166" s="199">
        <v>50</v>
      </c>
      <c r="F166" s="269">
        <v>0</v>
      </c>
      <c r="G166" s="270">
        <f t="shared" si="9"/>
        <v>0</v>
      </c>
    </row>
    <row r="167" spans="2:7" x14ac:dyDescent="0.2">
      <c r="B167" s="59"/>
      <c r="C167" s="311" t="s">
        <v>668</v>
      </c>
      <c r="D167" s="207" t="s">
        <v>644</v>
      </c>
      <c r="E167" s="199">
        <v>20</v>
      </c>
      <c r="F167" s="269">
        <v>0</v>
      </c>
      <c r="G167" s="270">
        <f t="shared" si="9"/>
        <v>0</v>
      </c>
    </row>
    <row r="168" spans="2:7" ht="24" x14ac:dyDescent="0.2">
      <c r="B168" s="59"/>
      <c r="C168" s="311" t="s">
        <v>673</v>
      </c>
      <c r="D168" s="207" t="s">
        <v>123</v>
      </c>
      <c r="E168" s="199">
        <v>2</v>
      </c>
      <c r="F168" s="269">
        <v>0</v>
      </c>
      <c r="G168" s="270">
        <f t="shared" si="9"/>
        <v>0</v>
      </c>
    </row>
    <row r="169" spans="2:7" x14ac:dyDescent="0.2">
      <c r="B169" s="59"/>
      <c r="C169" s="311" t="s">
        <v>787</v>
      </c>
      <c r="D169" s="207" t="s">
        <v>123</v>
      </c>
      <c r="E169" s="199">
        <v>1</v>
      </c>
      <c r="F169" s="269">
        <v>0</v>
      </c>
      <c r="G169" s="270">
        <f t="shared" si="9"/>
        <v>0</v>
      </c>
    </row>
    <row r="170" spans="2:7" x14ac:dyDescent="0.2">
      <c r="B170" s="59"/>
      <c r="C170" s="311" t="s">
        <v>675</v>
      </c>
      <c r="D170" s="207" t="s">
        <v>123</v>
      </c>
      <c r="E170" s="199">
        <v>3</v>
      </c>
      <c r="F170" s="269">
        <v>0</v>
      </c>
      <c r="G170" s="270">
        <f t="shared" si="9"/>
        <v>0</v>
      </c>
    </row>
    <row r="171" spans="2:7" x14ac:dyDescent="0.2">
      <c r="B171" s="59"/>
      <c r="C171" s="311" t="s">
        <v>676</v>
      </c>
      <c r="D171" s="207" t="s">
        <v>123</v>
      </c>
      <c r="E171" s="199">
        <v>2</v>
      </c>
      <c r="F171" s="269">
        <v>0</v>
      </c>
      <c r="G171" s="270">
        <f t="shared" si="9"/>
        <v>0</v>
      </c>
    </row>
    <row r="172" spans="2:7" ht="24" x14ac:dyDescent="0.2">
      <c r="B172" s="59"/>
      <c r="C172" s="311" t="s">
        <v>677</v>
      </c>
      <c r="D172" s="207" t="s">
        <v>123</v>
      </c>
      <c r="E172" s="199">
        <v>1</v>
      </c>
      <c r="F172" s="269">
        <v>0</v>
      </c>
      <c r="G172" s="270">
        <f t="shared" si="9"/>
        <v>0</v>
      </c>
    </row>
    <row r="173" spans="2:7" x14ac:dyDescent="0.2">
      <c r="B173" s="153">
        <v>7</v>
      </c>
      <c r="C173" s="357" t="s">
        <v>788</v>
      </c>
      <c r="D173" s="207"/>
      <c r="E173" s="199"/>
      <c r="F173" s="269"/>
      <c r="G173" s="270"/>
    </row>
    <row r="174" spans="2:7" x14ac:dyDescent="0.2">
      <c r="B174" s="153"/>
      <c r="C174" s="197" t="s">
        <v>655</v>
      </c>
      <c r="D174" s="207" t="s">
        <v>644</v>
      </c>
      <c r="E174" s="199">
        <v>40</v>
      </c>
      <c r="F174" s="269">
        <v>0</v>
      </c>
      <c r="G174" s="270">
        <f>E174*F174</f>
        <v>0</v>
      </c>
    </row>
    <row r="175" spans="2:7" ht="36" x14ac:dyDescent="0.2">
      <c r="B175" s="153"/>
      <c r="C175" s="197" t="s">
        <v>656</v>
      </c>
      <c r="D175" s="207" t="s">
        <v>98</v>
      </c>
      <c r="E175" s="199">
        <v>2</v>
      </c>
      <c r="F175" s="269">
        <v>0</v>
      </c>
      <c r="G175" s="270">
        <f>E175*F175</f>
        <v>0</v>
      </c>
    </row>
    <row r="176" spans="2:7" ht="24" x14ac:dyDescent="0.2">
      <c r="B176" s="153"/>
      <c r="C176" s="197" t="s">
        <v>657</v>
      </c>
      <c r="D176" s="207" t="s">
        <v>98</v>
      </c>
      <c r="E176" s="199">
        <v>1</v>
      </c>
      <c r="F176" s="269">
        <v>0</v>
      </c>
      <c r="G176" s="270">
        <f>E176*F176</f>
        <v>0</v>
      </c>
    </row>
    <row r="177" spans="2:7" x14ac:dyDescent="0.2">
      <c r="B177" s="70"/>
      <c r="C177" s="197" t="s">
        <v>663</v>
      </c>
      <c r="D177" s="207" t="s">
        <v>98</v>
      </c>
      <c r="E177" s="199">
        <v>1</v>
      </c>
      <c r="F177" s="269">
        <v>0</v>
      </c>
      <c r="G177" s="270">
        <f>E177*F177</f>
        <v>0</v>
      </c>
    </row>
    <row r="178" spans="2:7" x14ac:dyDescent="0.2">
      <c r="B178" s="153">
        <v>8</v>
      </c>
      <c r="C178" s="357" t="s">
        <v>679</v>
      </c>
      <c r="D178" s="207"/>
      <c r="E178" s="199"/>
      <c r="F178" s="269"/>
      <c r="G178" s="270"/>
    </row>
    <row r="179" spans="2:7" ht="48" x14ac:dyDescent="0.2">
      <c r="B179" s="70"/>
      <c r="C179" s="197" t="s">
        <v>789</v>
      </c>
      <c r="D179" s="207" t="s">
        <v>98</v>
      </c>
      <c r="E179" s="199">
        <v>1</v>
      </c>
      <c r="F179" s="269">
        <v>0</v>
      </c>
      <c r="G179" s="270">
        <f>E179*F179</f>
        <v>0</v>
      </c>
    </row>
    <row r="180" spans="2:7" ht="36" x14ac:dyDescent="0.2">
      <c r="B180" s="362"/>
      <c r="C180" s="311" t="s">
        <v>790</v>
      </c>
      <c r="D180" s="207" t="s">
        <v>98</v>
      </c>
      <c r="E180" s="199">
        <v>1</v>
      </c>
      <c r="F180" s="269">
        <v>0</v>
      </c>
      <c r="G180" s="270">
        <f>E180*F180</f>
        <v>0</v>
      </c>
    </row>
    <row r="181" spans="2:7" ht="36" x14ac:dyDescent="0.2">
      <c r="B181" s="70"/>
      <c r="C181" s="197" t="s">
        <v>791</v>
      </c>
      <c r="D181" s="207" t="s">
        <v>98</v>
      </c>
      <c r="E181" s="199">
        <v>1</v>
      </c>
      <c r="F181" s="269">
        <v>0</v>
      </c>
      <c r="G181" s="270">
        <f>E181*F181</f>
        <v>0</v>
      </c>
    </row>
    <row r="182" spans="2:7" ht="36" x14ac:dyDescent="0.2">
      <c r="B182" s="362"/>
      <c r="C182" s="311" t="s">
        <v>792</v>
      </c>
      <c r="D182" s="207" t="s">
        <v>98</v>
      </c>
      <c r="E182" s="199">
        <v>1</v>
      </c>
      <c r="F182" s="269">
        <v>0</v>
      </c>
      <c r="G182" s="270">
        <f>E182*F182</f>
        <v>0</v>
      </c>
    </row>
    <row r="183" spans="2:7" x14ac:dyDescent="0.2">
      <c r="B183" s="293" t="s">
        <v>18</v>
      </c>
      <c r="C183" s="294" t="s">
        <v>794</v>
      </c>
      <c r="D183" s="218"/>
      <c r="E183" s="203"/>
      <c r="F183" s="204"/>
      <c r="G183" s="290">
        <f>SUM(G108:G182)</f>
        <v>0</v>
      </c>
    </row>
  </sheetData>
  <mergeCells count="9">
    <mergeCell ref="B103:G103"/>
    <mergeCell ref="B104:G104"/>
    <mergeCell ref="B105:G105"/>
    <mergeCell ref="B106:G106"/>
    <mergeCell ref="B32:G32"/>
    <mergeCell ref="B50:G50"/>
    <mergeCell ref="B100:G100"/>
    <mergeCell ref="B101:G101"/>
    <mergeCell ref="B102:G102"/>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28" max="16383" man="1"/>
    <brk id="42"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99FFB-03FC-476F-9127-013D25D7B083}">
  <sheetPr codeName="Sheet6">
    <tabColor rgb="FFFFFF00"/>
  </sheetPr>
  <dimension ref="A2:L133"/>
  <sheetViews>
    <sheetView showZeros="0" topLeftCell="A47" zoomScale="110" zoomScaleNormal="110" workbookViewId="0">
      <selection activeCell="B61" sqref="B61:G61"/>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869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950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G51</f>
        <v>0</v>
      </c>
      <c r="H15" s="18"/>
      <c r="I15" s="331"/>
      <c r="J15" s="331"/>
      <c r="K15" s="331"/>
      <c r="L15" s="331"/>
    </row>
    <row r="16" spans="1:12" s="17" customFormat="1" ht="18.75" customHeight="1" x14ac:dyDescent="0.25">
      <c r="A16" s="331"/>
      <c r="B16" s="332" t="s">
        <v>18</v>
      </c>
      <c r="C16" s="340" t="s">
        <v>367</v>
      </c>
      <c r="D16" s="341"/>
      <c r="E16" s="342"/>
      <c r="F16" s="58"/>
      <c r="G16" s="20">
        <f>G133</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20" spans="1:8" ht="24" x14ac:dyDescent="0.2">
      <c r="A20" s="121"/>
      <c r="B20" s="128" t="s">
        <v>83</v>
      </c>
      <c r="C20" s="192" t="s">
        <v>89</v>
      </c>
      <c r="D20" s="192" t="s">
        <v>90</v>
      </c>
      <c r="E20" s="194" t="s">
        <v>91</v>
      </c>
      <c r="F20" s="195" t="s">
        <v>92</v>
      </c>
      <c r="G20" s="196" t="s">
        <v>93</v>
      </c>
      <c r="H20" s="122"/>
    </row>
    <row r="21" spans="1:8" x14ac:dyDescent="0.2">
      <c r="A21" s="121"/>
      <c r="B21" s="129"/>
      <c r="C21" s="197"/>
      <c r="D21" s="207"/>
      <c r="E21" s="199"/>
      <c r="F21" s="200"/>
      <c r="G21" s="201"/>
      <c r="H21" s="122"/>
    </row>
    <row r="22" spans="1:8" s="16" customFormat="1" ht="20.25" x14ac:dyDescent="0.3">
      <c r="A22" s="295"/>
      <c r="B22" s="296" t="s">
        <v>17</v>
      </c>
      <c r="C22" s="297" t="s">
        <v>158</v>
      </c>
      <c r="D22" s="298"/>
      <c r="E22" s="299"/>
      <c r="F22" s="300"/>
      <c r="G22" s="301"/>
      <c r="H22" s="302"/>
    </row>
    <row r="23" spans="1:8" s="24" customFormat="1" ht="18" customHeight="1" x14ac:dyDescent="0.2">
      <c r="A23" s="140"/>
      <c r="B23" s="143" t="s">
        <v>1</v>
      </c>
      <c r="C23" s="168"/>
      <c r="D23" s="170"/>
      <c r="E23" s="170"/>
      <c r="F23" s="170"/>
      <c r="G23" s="169"/>
      <c r="H23" s="139"/>
    </row>
    <row r="24" spans="1:8" s="24" customFormat="1" ht="18" customHeight="1" x14ac:dyDescent="0.25">
      <c r="A24" s="141"/>
      <c r="B24" s="144" t="s">
        <v>2</v>
      </c>
      <c r="C24" s="171"/>
      <c r="D24" s="172"/>
      <c r="E24" s="173"/>
      <c r="F24" s="173"/>
      <c r="G24" s="172"/>
      <c r="H24" s="139"/>
    </row>
    <row r="25" spans="1:8" s="24" customFormat="1" ht="18" customHeight="1" x14ac:dyDescent="0.2">
      <c r="A25" s="140"/>
      <c r="B25" s="143" t="s">
        <v>3</v>
      </c>
      <c r="C25" s="168"/>
      <c r="D25" s="170"/>
      <c r="E25" s="170"/>
      <c r="F25" s="170"/>
      <c r="G25" s="169"/>
      <c r="H25" s="139"/>
    </row>
    <row r="26" spans="1:8" s="24" customFormat="1" ht="18" customHeight="1" x14ac:dyDescent="0.25">
      <c r="A26" s="141"/>
      <c r="B26" s="144" t="s">
        <v>4</v>
      </c>
      <c r="C26" s="171"/>
      <c r="D26" s="173"/>
      <c r="E26" s="173"/>
      <c r="F26" s="173"/>
      <c r="G26" s="172"/>
      <c r="H26" s="139"/>
    </row>
    <row r="27" spans="1:8" s="43" customFormat="1" ht="18.75" customHeight="1" x14ac:dyDescent="0.2">
      <c r="A27" s="130"/>
      <c r="B27" s="3184" t="s">
        <v>159</v>
      </c>
      <c r="C27" s="3185"/>
      <c r="D27" s="3185"/>
      <c r="E27" s="3185"/>
      <c r="F27" s="3185"/>
      <c r="G27" s="3186"/>
      <c r="H27" s="122"/>
    </row>
    <row r="28" spans="1:8" ht="41.25" customHeight="1" x14ac:dyDescent="0.2">
      <c r="A28" s="121"/>
      <c r="B28" s="309" t="s">
        <v>173</v>
      </c>
      <c r="C28" s="227" t="s">
        <v>174</v>
      </c>
      <c r="D28" s="209" t="s">
        <v>98</v>
      </c>
      <c r="E28" s="228">
        <v>1</v>
      </c>
      <c r="F28" s="269">
        <v>0</v>
      </c>
      <c r="G28" s="270">
        <f>E28*F28</f>
        <v>0</v>
      </c>
      <c r="H28" s="122"/>
    </row>
    <row r="29" spans="1:8" ht="27" customHeight="1" x14ac:dyDescent="0.2">
      <c r="A29" s="121"/>
      <c r="B29" s="309" t="s">
        <v>175</v>
      </c>
      <c r="C29" s="227" t="s">
        <v>176</v>
      </c>
      <c r="D29" s="209" t="s">
        <v>98</v>
      </c>
      <c r="E29" s="228">
        <v>1</v>
      </c>
      <c r="F29" s="269">
        <v>0</v>
      </c>
      <c r="G29" s="270">
        <f>E29*F29</f>
        <v>0</v>
      </c>
      <c r="H29" s="122"/>
    </row>
    <row r="30" spans="1:8" ht="39" customHeight="1" x14ac:dyDescent="0.2">
      <c r="A30" s="121"/>
      <c r="B30" s="309" t="s">
        <v>177</v>
      </c>
      <c r="C30" s="227" t="s">
        <v>178</v>
      </c>
      <c r="D30" s="209" t="s">
        <v>98</v>
      </c>
      <c r="E30" s="228">
        <v>1</v>
      </c>
      <c r="F30" s="269">
        <v>0</v>
      </c>
      <c r="G30" s="270">
        <f>E30*F30</f>
        <v>0</v>
      </c>
      <c r="H30" s="122"/>
    </row>
    <row r="31" spans="1:8" ht="27.75" customHeight="1" x14ac:dyDescent="0.2">
      <c r="A31" s="121"/>
      <c r="B31" s="153">
        <v>3</v>
      </c>
      <c r="C31" s="229" t="s">
        <v>179</v>
      </c>
      <c r="D31" s="198"/>
      <c r="E31" s="199"/>
      <c r="F31" s="269"/>
      <c r="G31" s="201"/>
      <c r="H31" s="122"/>
    </row>
    <row r="32" spans="1:8" s="34" customFormat="1" ht="14.25" customHeight="1" x14ac:dyDescent="0.2">
      <c r="A32" s="136"/>
      <c r="B32" s="292" t="s">
        <v>897</v>
      </c>
      <c r="C32" s="46"/>
      <c r="D32" s="198"/>
      <c r="E32" s="348"/>
      <c r="F32" s="351"/>
      <c r="G32" s="352"/>
      <c r="H32" s="122"/>
    </row>
    <row r="33" spans="2:8" s="34" customFormat="1" ht="14.25" customHeight="1" x14ac:dyDescent="0.2">
      <c r="B33" s="135"/>
      <c r="C33" s="217" t="s">
        <v>951</v>
      </c>
      <c r="D33" s="198" t="s">
        <v>149</v>
      </c>
      <c r="E33" s="348">
        <v>3</v>
      </c>
      <c r="F33" s="351">
        <v>0</v>
      </c>
      <c r="G33" s="352">
        <f t="shared" ref="G33:G41" si="0">E33*F33</f>
        <v>0</v>
      </c>
      <c r="H33" s="122"/>
    </row>
    <row r="34" spans="2:8" s="34" customFormat="1" ht="14.25" customHeight="1" x14ac:dyDescent="0.2">
      <c r="B34" s="135"/>
      <c r="C34" s="217" t="s">
        <v>952</v>
      </c>
      <c r="D34" s="198" t="s">
        <v>149</v>
      </c>
      <c r="E34" s="348">
        <v>2</v>
      </c>
      <c r="F34" s="351">
        <v>0</v>
      </c>
      <c r="G34" s="352">
        <f t="shared" si="0"/>
        <v>0</v>
      </c>
      <c r="H34" s="122"/>
    </row>
    <row r="35" spans="2:8" s="34" customFormat="1" ht="14.25" customHeight="1" x14ac:dyDescent="0.2">
      <c r="B35" s="135"/>
      <c r="C35" s="217" t="s">
        <v>953</v>
      </c>
      <c r="D35" s="198" t="s">
        <v>149</v>
      </c>
      <c r="E35" s="348">
        <v>2</v>
      </c>
      <c r="F35" s="351">
        <v>0</v>
      </c>
      <c r="G35" s="352">
        <f t="shared" si="0"/>
        <v>0</v>
      </c>
      <c r="H35" s="122"/>
    </row>
    <row r="36" spans="2:8" s="34" customFormat="1" ht="14.25" customHeight="1" x14ac:dyDescent="0.2">
      <c r="B36" s="135"/>
      <c r="C36" s="217" t="s">
        <v>954</v>
      </c>
      <c r="D36" s="198" t="s">
        <v>149</v>
      </c>
      <c r="E36" s="348">
        <v>2</v>
      </c>
      <c r="F36" s="351">
        <v>0</v>
      </c>
      <c r="G36" s="352">
        <f t="shared" si="0"/>
        <v>0</v>
      </c>
      <c r="H36" s="122"/>
    </row>
    <row r="37" spans="2:8" s="34" customFormat="1" ht="14.25" customHeight="1" x14ac:dyDescent="0.2">
      <c r="B37" s="135"/>
      <c r="C37" s="217" t="s">
        <v>901</v>
      </c>
      <c r="D37" s="198" t="s">
        <v>149</v>
      </c>
      <c r="E37" s="348">
        <v>120</v>
      </c>
      <c r="F37" s="351">
        <v>0</v>
      </c>
      <c r="G37" s="352">
        <f t="shared" si="0"/>
        <v>0</v>
      </c>
      <c r="H37" s="122"/>
    </row>
    <row r="38" spans="2:8" s="34" customFormat="1" ht="14.25" customHeight="1" x14ac:dyDescent="0.2">
      <c r="B38" s="135"/>
      <c r="C38" s="217" t="s">
        <v>916</v>
      </c>
      <c r="D38" s="198" t="s">
        <v>149</v>
      </c>
      <c r="E38" s="348">
        <v>15</v>
      </c>
      <c r="F38" s="351">
        <v>0</v>
      </c>
      <c r="G38" s="352">
        <f t="shared" si="0"/>
        <v>0</v>
      </c>
      <c r="H38" s="122"/>
    </row>
    <row r="39" spans="2:8" s="34" customFormat="1" ht="14.25" customHeight="1" x14ac:dyDescent="0.2">
      <c r="B39" s="135"/>
      <c r="C39" s="217" t="s">
        <v>955</v>
      </c>
      <c r="D39" s="198" t="s">
        <v>149</v>
      </c>
      <c r="E39" s="348">
        <v>2</v>
      </c>
      <c r="F39" s="351">
        <v>0</v>
      </c>
      <c r="G39" s="352">
        <f t="shared" si="0"/>
        <v>0</v>
      </c>
      <c r="H39" s="122"/>
    </row>
    <row r="40" spans="2:8" s="34" customFormat="1" ht="14.25" customHeight="1" x14ac:dyDescent="0.2">
      <c r="B40" s="135"/>
      <c r="C40" s="217" t="s">
        <v>956</v>
      </c>
      <c r="D40" s="198" t="s">
        <v>149</v>
      </c>
      <c r="E40" s="348">
        <v>2</v>
      </c>
      <c r="F40" s="351">
        <v>0</v>
      </c>
      <c r="G40" s="352">
        <f t="shared" si="0"/>
        <v>0</v>
      </c>
      <c r="H40" s="122"/>
    </row>
    <row r="41" spans="2:8" s="34" customFormat="1" ht="14.25" customHeight="1" x14ac:dyDescent="0.2">
      <c r="B41" s="135"/>
      <c r="C41" s="217" t="s">
        <v>957</v>
      </c>
      <c r="D41" s="198" t="s">
        <v>149</v>
      </c>
      <c r="E41" s="348">
        <v>1</v>
      </c>
      <c r="F41" s="351">
        <v>0</v>
      </c>
      <c r="G41" s="352">
        <f t="shared" si="0"/>
        <v>0</v>
      </c>
      <c r="H41" s="122"/>
    </row>
    <row r="42" spans="2:8" s="34" customFormat="1" ht="15.75" customHeight="1" x14ac:dyDescent="0.2">
      <c r="B42" s="292" t="s">
        <v>917</v>
      </c>
      <c r="C42" s="57" t="s">
        <v>910</v>
      </c>
      <c r="D42" s="56"/>
      <c r="E42" s="55"/>
      <c r="F42" s="54"/>
      <c r="G42" s="53"/>
      <c r="H42" s="122"/>
    </row>
    <row r="43" spans="2:8" s="136" customFormat="1" ht="96" customHeight="1" x14ac:dyDescent="0.2">
      <c r="B43" s="2731"/>
      <c r="C43" s="2732"/>
      <c r="D43" s="2733"/>
      <c r="E43" s="2734"/>
      <c r="F43" s="2735"/>
      <c r="G43" s="2736"/>
      <c r="H43" s="122"/>
    </row>
    <row r="44" spans="2:8" s="136" customFormat="1" ht="96" customHeight="1" x14ac:dyDescent="0.2">
      <c r="B44" s="2737"/>
      <c r="C44" s="2738"/>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103.5" customHeight="1" x14ac:dyDescent="0.2">
      <c r="B49" s="2737"/>
      <c r="C49" s="2738"/>
      <c r="D49" s="2733"/>
      <c r="E49" s="2734"/>
      <c r="F49" s="2735"/>
      <c r="G49" s="2736"/>
      <c r="H49" s="122"/>
    </row>
    <row r="50" spans="2:8" s="136" customFormat="1" ht="14.25" customHeight="1" x14ac:dyDescent="0.2">
      <c r="B50" s="2737"/>
      <c r="C50" s="2732" t="s">
        <v>2464</v>
      </c>
      <c r="D50" s="2739" t="s">
        <v>98</v>
      </c>
      <c r="E50" s="2740">
        <v>1</v>
      </c>
      <c r="F50" s="2741">
        <v>0</v>
      </c>
      <c r="G50" s="2742">
        <f t="shared" ref="G50" si="1">E50*F50</f>
        <v>0</v>
      </c>
      <c r="H50" s="122"/>
    </row>
    <row r="51" spans="2:8" s="9" customFormat="1" ht="25.5" customHeight="1" x14ac:dyDescent="0.25">
      <c r="B51" s="293" t="s">
        <v>17</v>
      </c>
      <c r="C51" s="294" t="s">
        <v>302</v>
      </c>
      <c r="D51" s="218"/>
      <c r="E51" s="203"/>
      <c r="F51" s="204"/>
      <c r="G51" s="290">
        <f>SUM(G28:G50)</f>
        <v>0</v>
      </c>
      <c r="H51" s="150"/>
    </row>
    <row r="52" spans="2:8" x14ac:dyDescent="0.2">
      <c r="B52" s="129"/>
      <c r="C52" s="197"/>
      <c r="D52" s="207"/>
      <c r="E52" s="199"/>
      <c r="F52" s="200"/>
      <c r="G52" s="201"/>
      <c r="H52" s="122"/>
    </row>
    <row r="53" spans="2:8" ht="24" x14ac:dyDescent="0.2">
      <c r="B53" s="128" t="s">
        <v>83</v>
      </c>
      <c r="C53" s="192" t="s">
        <v>89</v>
      </c>
      <c r="D53" s="192" t="s">
        <v>90</v>
      </c>
      <c r="E53" s="194" t="s">
        <v>91</v>
      </c>
      <c r="F53" s="195" t="s">
        <v>92</v>
      </c>
      <c r="G53" s="196" t="s">
        <v>93</v>
      </c>
      <c r="H53" s="122"/>
    </row>
    <row r="54" spans="2:8" x14ac:dyDescent="0.2">
      <c r="B54" s="129"/>
      <c r="C54" s="197"/>
      <c r="D54" s="207"/>
      <c r="E54" s="199"/>
      <c r="F54" s="200"/>
      <c r="G54" s="201"/>
      <c r="H54" s="122"/>
    </row>
    <row r="55" spans="2:8" ht="20.25" x14ac:dyDescent="0.2">
      <c r="B55" s="296" t="s">
        <v>18</v>
      </c>
      <c r="C55" s="297" t="s">
        <v>367</v>
      </c>
      <c r="D55" s="298"/>
      <c r="E55" s="299"/>
      <c r="F55" s="300"/>
      <c r="G55" s="301"/>
      <c r="H55" s="122"/>
    </row>
    <row r="56" spans="2:8" x14ac:dyDescent="0.2">
      <c r="B56" s="3205" t="s">
        <v>539</v>
      </c>
      <c r="C56" s="3206"/>
      <c r="D56" s="3206"/>
      <c r="E56" s="3206"/>
      <c r="F56" s="3206"/>
      <c r="G56" s="3207"/>
      <c r="H56" s="122"/>
    </row>
    <row r="57" spans="2:8" x14ac:dyDescent="0.2">
      <c r="B57" s="3205" t="s">
        <v>540</v>
      </c>
      <c r="C57" s="3206"/>
      <c r="D57" s="3206"/>
      <c r="E57" s="3206"/>
      <c r="F57" s="3206"/>
      <c r="G57" s="3207"/>
      <c r="H57" s="122"/>
    </row>
    <row r="58" spans="2:8" x14ac:dyDescent="0.2">
      <c r="B58" s="3205" t="s">
        <v>541</v>
      </c>
      <c r="C58" s="3206"/>
      <c r="D58" s="3206"/>
      <c r="E58" s="3206"/>
      <c r="F58" s="3206"/>
      <c r="G58" s="3207"/>
      <c r="H58" s="122"/>
    </row>
    <row r="59" spans="2:8" x14ac:dyDescent="0.2">
      <c r="B59" s="3205" t="s">
        <v>542</v>
      </c>
      <c r="C59" s="3206"/>
      <c r="D59" s="3206"/>
      <c r="E59" s="3206"/>
      <c r="F59" s="3206"/>
      <c r="G59" s="3207"/>
    </row>
    <row r="60" spans="2:8" x14ac:dyDescent="0.2">
      <c r="B60" s="3205" t="s">
        <v>543</v>
      </c>
      <c r="C60" s="3206"/>
      <c r="D60" s="3206"/>
      <c r="E60" s="3206"/>
      <c r="F60" s="3206"/>
      <c r="G60" s="3207"/>
    </row>
    <row r="61" spans="2:8" x14ac:dyDescent="0.2">
      <c r="B61" s="3205" t="s">
        <v>544</v>
      </c>
      <c r="C61" s="3206"/>
      <c r="D61" s="3206"/>
      <c r="E61" s="3206"/>
      <c r="F61" s="3206"/>
      <c r="G61" s="3207"/>
    </row>
    <row r="62" spans="2:8" x14ac:dyDescent="0.2">
      <c r="B62" s="3205" t="s">
        <v>545</v>
      </c>
      <c r="C62" s="3206"/>
      <c r="D62" s="3206"/>
      <c r="E62" s="3206"/>
      <c r="F62" s="3206"/>
      <c r="G62" s="3207"/>
    </row>
    <row r="63" spans="2:8" x14ac:dyDescent="0.2">
      <c r="B63" s="153">
        <v>1</v>
      </c>
      <c r="C63" s="357" t="s">
        <v>550</v>
      </c>
      <c r="D63" s="207"/>
      <c r="E63" s="199"/>
      <c r="F63" s="269"/>
      <c r="G63" s="270"/>
    </row>
    <row r="64" spans="2:8" ht="108" x14ac:dyDescent="0.2">
      <c r="B64" s="153"/>
      <c r="C64" s="311" t="s">
        <v>815</v>
      </c>
      <c r="D64" s="207" t="s">
        <v>98</v>
      </c>
      <c r="E64" s="199">
        <v>1</v>
      </c>
      <c r="F64" s="269">
        <v>0</v>
      </c>
      <c r="G64" s="270">
        <f t="shared" ref="G64:G86" si="2">E64*F64</f>
        <v>0</v>
      </c>
    </row>
    <row r="65" spans="2:7" ht="36" x14ac:dyDescent="0.2">
      <c r="B65" s="153"/>
      <c r="C65" s="311" t="s">
        <v>942</v>
      </c>
      <c r="D65" s="207" t="s">
        <v>123</v>
      </c>
      <c r="E65" s="199">
        <v>3</v>
      </c>
      <c r="F65" s="269">
        <v>0</v>
      </c>
      <c r="G65" s="270">
        <f t="shared" si="2"/>
        <v>0</v>
      </c>
    </row>
    <row r="66" spans="2:7" ht="96" x14ac:dyDescent="0.2">
      <c r="B66" s="153"/>
      <c r="C66" s="311" t="s">
        <v>748</v>
      </c>
      <c r="D66" s="207" t="s">
        <v>98</v>
      </c>
      <c r="E66" s="199">
        <v>1</v>
      </c>
      <c r="F66" s="269">
        <v>0</v>
      </c>
      <c r="G66" s="270">
        <f t="shared" si="2"/>
        <v>0</v>
      </c>
    </row>
    <row r="67" spans="2:7" ht="60" x14ac:dyDescent="0.2">
      <c r="B67" s="153"/>
      <c r="C67" s="311" t="s">
        <v>751</v>
      </c>
      <c r="D67" s="207" t="s">
        <v>123</v>
      </c>
      <c r="E67" s="199">
        <v>1</v>
      </c>
      <c r="F67" s="269">
        <v>0</v>
      </c>
      <c r="G67" s="270">
        <f t="shared" si="2"/>
        <v>0</v>
      </c>
    </row>
    <row r="68" spans="2:7" ht="60" x14ac:dyDescent="0.2">
      <c r="B68" s="153"/>
      <c r="C68" s="311" t="s">
        <v>752</v>
      </c>
      <c r="D68" s="207" t="s">
        <v>123</v>
      </c>
      <c r="E68" s="199">
        <v>1</v>
      </c>
      <c r="F68" s="269">
        <v>0</v>
      </c>
      <c r="G68" s="270">
        <f t="shared" si="2"/>
        <v>0</v>
      </c>
    </row>
    <row r="69" spans="2:7" ht="60" x14ac:dyDescent="0.2">
      <c r="B69" s="153"/>
      <c r="C69" s="311" t="s">
        <v>753</v>
      </c>
      <c r="D69" s="207" t="s">
        <v>123</v>
      </c>
      <c r="E69" s="199">
        <v>2</v>
      </c>
      <c r="F69" s="269">
        <v>0</v>
      </c>
      <c r="G69" s="270">
        <f t="shared" si="2"/>
        <v>0</v>
      </c>
    </row>
    <row r="70" spans="2:7" ht="60" x14ac:dyDescent="0.2">
      <c r="B70" s="153"/>
      <c r="C70" s="311" t="s">
        <v>754</v>
      </c>
      <c r="D70" s="207" t="s">
        <v>123</v>
      </c>
      <c r="E70" s="199">
        <v>1</v>
      </c>
      <c r="F70" s="269">
        <v>0</v>
      </c>
      <c r="G70" s="270">
        <f t="shared" si="2"/>
        <v>0</v>
      </c>
    </row>
    <row r="71" spans="2:7" ht="48" x14ac:dyDescent="0.2">
      <c r="B71" s="153"/>
      <c r="C71" s="311" t="s">
        <v>755</v>
      </c>
      <c r="D71" s="207" t="s">
        <v>123</v>
      </c>
      <c r="E71" s="199">
        <v>1</v>
      </c>
      <c r="F71" s="269">
        <v>0</v>
      </c>
      <c r="G71" s="270">
        <f t="shared" si="2"/>
        <v>0</v>
      </c>
    </row>
    <row r="72" spans="2:7" ht="60" x14ac:dyDescent="0.2">
      <c r="B72" s="153"/>
      <c r="C72" s="311" t="s">
        <v>756</v>
      </c>
      <c r="D72" s="207" t="s">
        <v>98</v>
      </c>
      <c r="E72" s="199">
        <v>1</v>
      </c>
      <c r="F72" s="269">
        <v>0</v>
      </c>
      <c r="G72" s="270">
        <f t="shared" si="2"/>
        <v>0</v>
      </c>
    </row>
    <row r="73" spans="2:7" ht="48" x14ac:dyDescent="0.2">
      <c r="B73" s="153"/>
      <c r="C73" s="311" t="s">
        <v>757</v>
      </c>
      <c r="D73" s="207" t="s">
        <v>123</v>
      </c>
      <c r="E73" s="199">
        <v>1</v>
      </c>
      <c r="F73" s="269">
        <v>0</v>
      </c>
      <c r="G73" s="270">
        <f t="shared" si="2"/>
        <v>0</v>
      </c>
    </row>
    <row r="74" spans="2:7" ht="108" x14ac:dyDescent="0.2">
      <c r="B74" s="153"/>
      <c r="C74" s="311" t="s">
        <v>619</v>
      </c>
      <c r="D74" s="207" t="s">
        <v>123</v>
      </c>
      <c r="E74" s="199">
        <v>1</v>
      </c>
      <c r="F74" s="269">
        <v>0</v>
      </c>
      <c r="G74" s="270">
        <f t="shared" si="2"/>
        <v>0</v>
      </c>
    </row>
    <row r="75" spans="2:7" ht="36" x14ac:dyDescent="0.2">
      <c r="B75" s="153"/>
      <c r="C75" s="311" t="s">
        <v>758</v>
      </c>
      <c r="D75" s="207" t="s">
        <v>123</v>
      </c>
      <c r="E75" s="199">
        <v>40</v>
      </c>
      <c r="F75" s="269">
        <v>0</v>
      </c>
      <c r="G75" s="270">
        <f t="shared" si="2"/>
        <v>0</v>
      </c>
    </row>
    <row r="76" spans="2:7" ht="36" x14ac:dyDescent="0.2">
      <c r="B76" s="153"/>
      <c r="C76" s="311" t="s">
        <v>759</v>
      </c>
      <c r="D76" s="207" t="s">
        <v>123</v>
      </c>
      <c r="E76" s="199">
        <v>10</v>
      </c>
      <c r="F76" s="269">
        <v>0</v>
      </c>
      <c r="G76" s="270">
        <f t="shared" si="2"/>
        <v>0</v>
      </c>
    </row>
    <row r="77" spans="2:7" ht="36" x14ac:dyDescent="0.2">
      <c r="B77" s="153"/>
      <c r="C77" s="311" t="s">
        <v>760</v>
      </c>
      <c r="D77" s="207" t="s">
        <v>123</v>
      </c>
      <c r="E77" s="199">
        <v>2</v>
      </c>
      <c r="F77" s="269">
        <v>0</v>
      </c>
      <c r="G77" s="270">
        <f t="shared" si="2"/>
        <v>0</v>
      </c>
    </row>
    <row r="78" spans="2:7" ht="36" x14ac:dyDescent="0.2">
      <c r="B78" s="153"/>
      <c r="C78" s="311" t="s">
        <v>761</v>
      </c>
      <c r="D78" s="207" t="s">
        <v>123</v>
      </c>
      <c r="E78" s="199">
        <v>12</v>
      </c>
      <c r="F78" s="269">
        <v>0</v>
      </c>
      <c r="G78" s="270">
        <f t="shared" si="2"/>
        <v>0</v>
      </c>
    </row>
    <row r="79" spans="2:7" ht="36" x14ac:dyDescent="0.2">
      <c r="B79" s="153"/>
      <c r="C79" s="311" t="s">
        <v>762</v>
      </c>
      <c r="D79" s="207" t="s">
        <v>123</v>
      </c>
      <c r="E79" s="199">
        <v>1</v>
      </c>
      <c r="F79" s="269">
        <v>0</v>
      </c>
      <c r="G79" s="270">
        <f t="shared" si="2"/>
        <v>0</v>
      </c>
    </row>
    <row r="80" spans="2:7" ht="48" x14ac:dyDescent="0.2">
      <c r="B80" s="153"/>
      <c r="C80" s="311" t="s">
        <v>763</v>
      </c>
      <c r="D80" s="207" t="s">
        <v>123</v>
      </c>
      <c r="E80" s="199">
        <v>1</v>
      </c>
      <c r="F80" s="269">
        <v>0</v>
      </c>
      <c r="G80" s="270">
        <f t="shared" si="2"/>
        <v>0</v>
      </c>
    </row>
    <row r="81" spans="2:8" ht="48" x14ac:dyDescent="0.2">
      <c r="B81" s="153"/>
      <c r="C81" s="311" t="s">
        <v>764</v>
      </c>
      <c r="D81" s="207" t="s">
        <v>123</v>
      </c>
      <c r="E81" s="199">
        <v>3</v>
      </c>
      <c r="F81" s="269">
        <v>0</v>
      </c>
      <c r="G81" s="270">
        <f t="shared" si="2"/>
        <v>0</v>
      </c>
    </row>
    <row r="82" spans="2:8" ht="48" x14ac:dyDescent="0.2">
      <c r="B82" s="153"/>
      <c r="C82" s="311" t="s">
        <v>765</v>
      </c>
      <c r="D82" s="207" t="s">
        <v>123</v>
      </c>
      <c r="E82" s="199">
        <v>3</v>
      </c>
      <c r="F82" s="269">
        <v>0</v>
      </c>
      <c r="G82" s="270">
        <f t="shared" si="2"/>
        <v>0</v>
      </c>
    </row>
    <row r="83" spans="2:8" ht="48" x14ac:dyDescent="0.2">
      <c r="B83" s="153"/>
      <c r="C83" s="311" t="s">
        <v>766</v>
      </c>
      <c r="D83" s="207" t="s">
        <v>123</v>
      </c>
      <c r="E83" s="199">
        <v>3</v>
      </c>
      <c r="F83" s="269">
        <v>0</v>
      </c>
      <c r="G83" s="270">
        <f t="shared" si="2"/>
        <v>0</v>
      </c>
    </row>
    <row r="84" spans="2:8" ht="48" x14ac:dyDescent="0.2">
      <c r="B84" s="153"/>
      <c r="C84" s="311" t="s">
        <v>767</v>
      </c>
      <c r="D84" s="207" t="s">
        <v>98</v>
      </c>
      <c r="E84" s="199">
        <v>1</v>
      </c>
      <c r="F84" s="269">
        <v>0</v>
      </c>
      <c r="G84" s="270">
        <f t="shared" si="2"/>
        <v>0</v>
      </c>
    </row>
    <row r="85" spans="2:8" ht="60" x14ac:dyDescent="0.2">
      <c r="B85" s="153"/>
      <c r="C85" s="311" t="s">
        <v>768</v>
      </c>
      <c r="D85" s="207" t="s">
        <v>123</v>
      </c>
      <c r="E85" s="199">
        <v>1</v>
      </c>
      <c r="F85" s="269">
        <v>0</v>
      </c>
      <c r="G85" s="270">
        <f t="shared" si="2"/>
        <v>0</v>
      </c>
    </row>
    <row r="86" spans="2:8" ht="84" x14ac:dyDescent="0.2">
      <c r="B86" s="153"/>
      <c r="C86" s="311" t="s">
        <v>620</v>
      </c>
      <c r="D86" s="207" t="s">
        <v>123</v>
      </c>
      <c r="E86" s="199">
        <v>1</v>
      </c>
      <c r="F86" s="269">
        <v>0</v>
      </c>
      <c r="G86" s="270">
        <f t="shared" si="2"/>
        <v>0</v>
      </c>
    </row>
    <row r="87" spans="2:8" x14ac:dyDescent="0.2">
      <c r="B87" s="153">
        <v>2</v>
      </c>
      <c r="C87" s="357" t="s">
        <v>769</v>
      </c>
      <c r="D87" s="207"/>
      <c r="E87" s="199"/>
      <c r="F87" s="269"/>
      <c r="G87" s="270"/>
    </row>
    <row r="88" spans="2:8" s="121" customFormat="1" ht="387.75" customHeight="1" x14ac:dyDescent="0.2">
      <c r="B88" s="2743"/>
      <c r="C88" s="2744"/>
      <c r="D88" s="2745"/>
      <c r="E88" s="2746"/>
      <c r="F88" s="2747"/>
      <c r="G88" s="2736"/>
      <c r="H88" s="122"/>
    </row>
    <row r="89" spans="2:8" s="121" customFormat="1" ht="24.75" customHeight="1" x14ac:dyDescent="0.2">
      <c r="B89" s="2743"/>
      <c r="C89" s="2744" t="s">
        <v>2465</v>
      </c>
      <c r="D89" s="2748" t="s">
        <v>98</v>
      </c>
      <c r="E89" s="2746">
        <v>1</v>
      </c>
      <c r="F89" s="2747">
        <v>0</v>
      </c>
      <c r="G89" s="2736">
        <f t="shared" ref="G89" si="3">E89*F89</f>
        <v>0</v>
      </c>
      <c r="H89" s="122"/>
    </row>
    <row r="90" spans="2:8" ht="48" x14ac:dyDescent="0.2">
      <c r="B90" s="153"/>
      <c r="C90" s="311" t="s">
        <v>771</v>
      </c>
      <c r="D90" s="10" t="s">
        <v>123</v>
      </c>
      <c r="E90" s="199">
        <v>1</v>
      </c>
      <c r="F90" s="269">
        <v>0</v>
      </c>
      <c r="G90" s="270">
        <f t="shared" ref="G90:G95" si="4">E90*F90</f>
        <v>0</v>
      </c>
    </row>
    <row r="91" spans="2:8" ht="60" x14ac:dyDescent="0.2">
      <c r="B91" s="153"/>
      <c r="C91" s="311" t="s">
        <v>772</v>
      </c>
      <c r="D91" s="10" t="s">
        <v>123</v>
      </c>
      <c r="E91" s="199">
        <v>1</v>
      </c>
      <c r="F91" s="269">
        <v>0</v>
      </c>
      <c r="G91" s="270">
        <f t="shared" si="4"/>
        <v>0</v>
      </c>
    </row>
    <row r="92" spans="2:8" ht="180" x14ac:dyDescent="0.2">
      <c r="B92" s="153"/>
      <c r="C92" s="311" t="s">
        <v>773</v>
      </c>
      <c r="D92" s="10" t="s">
        <v>123</v>
      </c>
      <c r="E92" s="199">
        <v>1</v>
      </c>
      <c r="F92" s="269">
        <v>0</v>
      </c>
      <c r="G92" s="270">
        <f t="shared" si="4"/>
        <v>0</v>
      </c>
    </row>
    <row r="93" spans="2:8" ht="60" x14ac:dyDescent="0.2">
      <c r="B93" s="153"/>
      <c r="C93" s="311" t="s">
        <v>774</v>
      </c>
      <c r="D93" s="10" t="s">
        <v>98</v>
      </c>
      <c r="E93" s="199">
        <v>1</v>
      </c>
      <c r="F93" s="269">
        <v>0</v>
      </c>
      <c r="G93" s="270">
        <f t="shared" si="4"/>
        <v>0</v>
      </c>
    </row>
    <row r="94" spans="2:8" ht="36" x14ac:dyDescent="0.2">
      <c r="B94" s="153"/>
      <c r="C94" s="311" t="s">
        <v>603</v>
      </c>
      <c r="D94" s="10" t="s">
        <v>123</v>
      </c>
      <c r="E94" s="199">
        <v>1</v>
      </c>
      <c r="F94" s="269">
        <v>0</v>
      </c>
      <c r="G94" s="270">
        <f t="shared" si="4"/>
        <v>0</v>
      </c>
    </row>
    <row r="95" spans="2:8" ht="288" x14ac:dyDescent="0.2">
      <c r="B95" s="153"/>
      <c r="C95" s="311" t="s">
        <v>630</v>
      </c>
      <c r="D95" s="10" t="s">
        <v>98</v>
      </c>
      <c r="E95" s="199">
        <v>2</v>
      </c>
      <c r="F95" s="269">
        <v>0</v>
      </c>
      <c r="G95" s="270">
        <f t="shared" si="4"/>
        <v>0</v>
      </c>
    </row>
    <row r="96" spans="2:8" x14ac:dyDescent="0.2">
      <c r="B96" s="153">
        <v>3</v>
      </c>
      <c r="C96" s="357" t="s">
        <v>775</v>
      </c>
      <c r="D96" s="207"/>
      <c r="E96" s="199"/>
      <c r="F96" s="269"/>
      <c r="G96" s="270"/>
    </row>
    <row r="97" spans="2:7" ht="276" x14ac:dyDescent="0.2">
      <c r="B97" s="153"/>
      <c r="C97" s="311" t="s">
        <v>816</v>
      </c>
      <c r="D97" s="10" t="s">
        <v>98</v>
      </c>
      <c r="E97" s="199">
        <v>1</v>
      </c>
      <c r="F97" s="269">
        <v>0</v>
      </c>
      <c r="G97" s="270">
        <f>E97*F97</f>
        <v>0</v>
      </c>
    </row>
    <row r="98" spans="2:7" ht="72" x14ac:dyDescent="0.2">
      <c r="B98" s="153"/>
      <c r="C98" s="311" t="s">
        <v>777</v>
      </c>
      <c r="D98" s="10" t="s">
        <v>98</v>
      </c>
      <c r="E98" s="199">
        <v>1</v>
      </c>
      <c r="F98" s="269">
        <v>0</v>
      </c>
      <c r="G98" s="270">
        <f>E98*F98</f>
        <v>0</v>
      </c>
    </row>
    <row r="99" spans="2:7" ht="84" x14ac:dyDescent="0.2">
      <c r="B99" s="153"/>
      <c r="C99" s="311" t="s">
        <v>778</v>
      </c>
      <c r="D99" s="10" t="s">
        <v>98</v>
      </c>
      <c r="E99" s="199">
        <v>1</v>
      </c>
      <c r="F99" s="269">
        <v>0</v>
      </c>
      <c r="G99" s="270">
        <f>E99*F99</f>
        <v>0</v>
      </c>
    </row>
    <row r="100" spans="2:7" x14ac:dyDescent="0.2">
      <c r="B100" s="153">
        <v>4</v>
      </c>
      <c r="C100" s="357" t="s">
        <v>779</v>
      </c>
      <c r="D100" s="207"/>
      <c r="E100" s="199"/>
      <c r="F100" s="269"/>
      <c r="G100" s="270"/>
    </row>
    <row r="101" spans="2:7" ht="60" x14ac:dyDescent="0.2">
      <c r="B101" s="153"/>
      <c r="C101" s="311" t="s">
        <v>780</v>
      </c>
      <c r="D101" s="10" t="s">
        <v>98</v>
      </c>
      <c r="E101" s="199">
        <v>2</v>
      </c>
      <c r="F101" s="269">
        <v>0</v>
      </c>
      <c r="G101" s="270">
        <f>E101*F101</f>
        <v>0</v>
      </c>
    </row>
    <row r="102" spans="2:7" ht="60" x14ac:dyDescent="0.2">
      <c r="B102" s="153"/>
      <c r="C102" s="311" t="s">
        <v>781</v>
      </c>
      <c r="D102" s="10" t="s">
        <v>98</v>
      </c>
      <c r="E102" s="199">
        <v>2</v>
      </c>
      <c r="F102" s="269">
        <v>0</v>
      </c>
      <c r="G102" s="270">
        <f>E102*F102</f>
        <v>0</v>
      </c>
    </row>
    <row r="103" spans="2:7" ht="36" x14ac:dyDescent="0.2">
      <c r="B103" s="153"/>
      <c r="C103" s="311" t="s">
        <v>782</v>
      </c>
      <c r="D103" s="10" t="s">
        <v>123</v>
      </c>
      <c r="E103" s="199">
        <v>1</v>
      </c>
      <c r="F103" s="269">
        <v>0</v>
      </c>
      <c r="G103" s="270">
        <f>E103*F103</f>
        <v>0</v>
      </c>
    </row>
    <row r="104" spans="2:7" ht="132" x14ac:dyDescent="0.2">
      <c r="B104" s="153"/>
      <c r="C104" s="311" t="s">
        <v>508</v>
      </c>
      <c r="D104" s="10" t="s">
        <v>123</v>
      </c>
      <c r="E104" s="199">
        <v>1</v>
      </c>
      <c r="F104" s="269">
        <v>0</v>
      </c>
      <c r="G104" s="270">
        <f>E104*F104</f>
        <v>0</v>
      </c>
    </row>
    <row r="105" spans="2:7" ht="96" x14ac:dyDescent="0.2">
      <c r="B105" s="153"/>
      <c r="C105" s="311" t="s">
        <v>783</v>
      </c>
      <c r="D105" s="10" t="s">
        <v>123</v>
      </c>
      <c r="E105" s="199">
        <v>1</v>
      </c>
      <c r="F105" s="269">
        <v>0</v>
      </c>
      <c r="G105" s="270">
        <f>E105*F105</f>
        <v>0</v>
      </c>
    </row>
    <row r="106" spans="2:7" x14ac:dyDescent="0.2">
      <c r="B106" s="153">
        <v>5</v>
      </c>
      <c r="C106" s="357" t="s">
        <v>784</v>
      </c>
      <c r="D106" s="207"/>
      <c r="E106" s="199"/>
      <c r="F106" s="269"/>
      <c r="G106" s="270"/>
    </row>
    <row r="107" spans="2:7" x14ac:dyDescent="0.2">
      <c r="B107" s="153"/>
      <c r="C107" s="311" t="s">
        <v>645</v>
      </c>
      <c r="D107" s="207" t="s">
        <v>644</v>
      </c>
      <c r="E107" s="199">
        <v>15</v>
      </c>
      <c r="F107" s="269">
        <v>0</v>
      </c>
      <c r="G107" s="270">
        <f t="shared" ref="G107:G114" si="5">E107*F107</f>
        <v>0</v>
      </c>
    </row>
    <row r="108" spans="2:7" x14ac:dyDescent="0.2">
      <c r="B108" s="153"/>
      <c r="C108" s="311" t="s">
        <v>646</v>
      </c>
      <c r="D108" s="207" t="s">
        <v>644</v>
      </c>
      <c r="E108" s="199">
        <v>50</v>
      </c>
      <c r="F108" s="269">
        <v>0</v>
      </c>
      <c r="G108" s="270">
        <f t="shared" si="5"/>
        <v>0</v>
      </c>
    </row>
    <row r="109" spans="2:7" x14ac:dyDescent="0.2">
      <c r="B109" s="153"/>
      <c r="C109" s="311" t="s">
        <v>647</v>
      </c>
      <c r="D109" s="207" t="s">
        <v>644</v>
      </c>
      <c r="E109" s="199">
        <v>25</v>
      </c>
      <c r="F109" s="269">
        <v>0</v>
      </c>
      <c r="G109" s="270">
        <f t="shared" si="5"/>
        <v>0</v>
      </c>
    </row>
    <row r="110" spans="2:7" x14ac:dyDescent="0.2">
      <c r="B110" s="153"/>
      <c r="C110" s="311" t="s">
        <v>648</v>
      </c>
      <c r="D110" s="207" t="s">
        <v>644</v>
      </c>
      <c r="E110" s="199">
        <v>15</v>
      </c>
      <c r="F110" s="269">
        <v>0</v>
      </c>
      <c r="G110" s="270">
        <f t="shared" si="5"/>
        <v>0</v>
      </c>
    </row>
    <row r="111" spans="2:7" x14ac:dyDescent="0.2">
      <c r="B111" s="153"/>
      <c r="C111" s="311" t="s">
        <v>650</v>
      </c>
      <c r="D111" s="207" t="s">
        <v>123</v>
      </c>
      <c r="E111" s="199">
        <v>2</v>
      </c>
      <c r="F111" s="269">
        <v>0</v>
      </c>
      <c r="G111" s="270">
        <f t="shared" si="5"/>
        <v>0</v>
      </c>
    </row>
    <row r="112" spans="2:7" x14ac:dyDescent="0.2">
      <c r="B112" s="153"/>
      <c r="C112" s="311" t="s">
        <v>651</v>
      </c>
      <c r="D112" s="207" t="s">
        <v>644</v>
      </c>
      <c r="E112" s="199">
        <v>20</v>
      </c>
      <c r="F112" s="269">
        <v>0</v>
      </c>
      <c r="G112" s="270">
        <f t="shared" si="5"/>
        <v>0</v>
      </c>
    </row>
    <row r="113" spans="2:7" x14ac:dyDescent="0.2">
      <c r="B113" s="153"/>
      <c r="C113" s="311" t="s">
        <v>652</v>
      </c>
      <c r="D113" s="207" t="s">
        <v>644</v>
      </c>
      <c r="E113" s="199">
        <v>15</v>
      </c>
      <c r="F113" s="269">
        <v>0</v>
      </c>
      <c r="G113" s="270">
        <f t="shared" si="5"/>
        <v>0</v>
      </c>
    </row>
    <row r="114" spans="2:7" x14ac:dyDescent="0.2">
      <c r="B114" s="153"/>
      <c r="C114" s="311" t="s">
        <v>632</v>
      </c>
      <c r="D114" s="207" t="s">
        <v>98</v>
      </c>
      <c r="E114" s="199">
        <v>1</v>
      </c>
      <c r="F114" s="269">
        <v>0</v>
      </c>
      <c r="G114" s="270">
        <f t="shared" si="5"/>
        <v>0</v>
      </c>
    </row>
    <row r="115" spans="2:7" x14ac:dyDescent="0.2">
      <c r="B115" s="153">
        <v>6</v>
      </c>
      <c r="C115" s="357" t="s">
        <v>785</v>
      </c>
      <c r="D115" s="207"/>
      <c r="E115" s="199"/>
      <c r="F115" s="269"/>
      <c r="G115" s="270"/>
    </row>
    <row r="116" spans="2:7" ht="24" x14ac:dyDescent="0.2">
      <c r="B116" s="153"/>
      <c r="C116" s="311" t="s">
        <v>666</v>
      </c>
      <c r="D116" s="207" t="s">
        <v>644</v>
      </c>
      <c r="E116" s="199">
        <v>8</v>
      </c>
      <c r="F116" s="269">
        <v>0</v>
      </c>
      <c r="G116" s="270">
        <f t="shared" ref="G116:G122" si="6">E116*F116</f>
        <v>0</v>
      </c>
    </row>
    <row r="117" spans="2:7" x14ac:dyDescent="0.2">
      <c r="B117" s="153"/>
      <c r="C117" s="311" t="s">
        <v>667</v>
      </c>
      <c r="D117" s="207" t="s">
        <v>644</v>
      </c>
      <c r="E117" s="199">
        <v>50</v>
      </c>
      <c r="F117" s="269">
        <v>0</v>
      </c>
      <c r="G117" s="270">
        <f t="shared" si="6"/>
        <v>0</v>
      </c>
    </row>
    <row r="118" spans="2:7" x14ac:dyDescent="0.2">
      <c r="B118" s="153"/>
      <c r="C118" s="311" t="s">
        <v>668</v>
      </c>
      <c r="D118" s="207" t="s">
        <v>644</v>
      </c>
      <c r="E118" s="199">
        <v>20</v>
      </c>
      <c r="F118" s="269">
        <v>0</v>
      </c>
      <c r="G118" s="270">
        <f t="shared" si="6"/>
        <v>0</v>
      </c>
    </row>
    <row r="119" spans="2:7" x14ac:dyDescent="0.2">
      <c r="B119" s="153"/>
      <c r="C119" s="311" t="s">
        <v>673</v>
      </c>
      <c r="D119" s="207" t="s">
        <v>123</v>
      </c>
      <c r="E119" s="199">
        <v>1</v>
      </c>
      <c r="F119" s="269">
        <v>0</v>
      </c>
      <c r="G119" s="270">
        <f t="shared" si="6"/>
        <v>0</v>
      </c>
    </row>
    <row r="120" spans="2:7" x14ac:dyDescent="0.2">
      <c r="B120" s="153"/>
      <c r="C120" s="311" t="s">
        <v>675</v>
      </c>
      <c r="D120" s="207" t="s">
        <v>123</v>
      </c>
      <c r="E120" s="199">
        <v>3</v>
      </c>
      <c r="F120" s="269">
        <v>0</v>
      </c>
      <c r="G120" s="270">
        <f t="shared" si="6"/>
        <v>0</v>
      </c>
    </row>
    <row r="121" spans="2:7" x14ac:dyDescent="0.2">
      <c r="B121" s="153"/>
      <c r="C121" s="311" t="s">
        <v>676</v>
      </c>
      <c r="D121" s="207" t="s">
        <v>123</v>
      </c>
      <c r="E121" s="199">
        <v>2</v>
      </c>
      <c r="F121" s="269">
        <v>0</v>
      </c>
      <c r="G121" s="270">
        <f t="shared" si="6"/>
        <v>0</v>
      </c>
    </row>
    <row r="122" spans="2:7" ht="24" x14ac:dyDescent="0.2">
      <c r="B122" s="153"/>
      <c r="C122" s="311" t="s">
        <v>677</v>
      </c>
      <c r="D122" s="207" t="s">
        <v>123</v>
      </c>
      <c r="E122" s="199">
        <v>1</v>
      </c>
      <c r="F122" s="269">
        <v>0</v>
      </c>
      <c r="G122" s="270">
        <f t="shared" si="6"/>
        <v>0</v>
      </c>
    </row>
    <row r="123" spans="2:7" x14ac:dyDescent="0.2">
      <c r="B123" s="153">
        <v>7</v>
      </c>
      <c r="C123" s="357" t="s">
        <v>788</v>
      </c>
      <c r="D123" s="207"/>
      <c r="E123" s="199"/>
      <c r="F123" s="269"/>
      <c r="G123" s="270"/>
    </row>
    <row r="124" spans="2:7" x14ac:dyDescent="0.2">
      <c r="B124" s="153"/>
      <c r="C124" s="197" t="s">
        <v>655</v>
      </c>
      <c r="D124" s="207" t="s">
        <v>644</v>
      </c>
      <c r="E124" s="199">
        <v>10</v>
      </c>
      <c r="F124" s="200">
        <v>0</v>
      </c>
      <c r="G124" s="270">
        <f>E124*F124</f>
        <v>0</v>
      </c>
    </row>
    <row r="125" spans="2:7" ht="36" x14ac:dyDescent="0.2">
      <c r="B125" s="153"/>
      <c r="C125" s="197" t="s">
        <v>656</v>
      </c>
      <c r="D125" s="207" t="s">
        <v>98</v>
      </c>
      <c r="E125" s="199">
        <v>1</v>
      </c>
      <c r="F125" s="200">
        <v>0</v>
      </c>
      <c r="G125" s="270">
        <f>E125*F125</f>
        <v>0</v>
      </c>
    </row>
    <row r="126" spans="2:7" ht="24" x14ac:dyDescent="0.2">
      <c r="B126" s="153"/>
      <c r="C126" s="197" t="s">
        <v>657</v>
      </c>
      <c r="D126" s="207" t="s">
        <v>98</v>
      </c>
      <c r="E126" s="199">
        <v>1</v>
      </c>
      <c r="F126" s="200">
        <v>0</v>
      </c>
      <c r="G126" s="270">
        <f>E126*F126</f>
        <v>0</v>
      </c>
    </row>
    <row r="127" spans="2:7" x14ac:dyDescent="0.2">
      <c r="B127" s="153"/>
      <c r="C127" s="197" t="s">
        <v>663</v>
      </c>
      <c r="D127" s="207" t="s">
        <v>98</v>
      </c>
      <c r="E127" s="199">
        <v>1</v>
      </c>
      <c r="F127" s="200">
        <v>0</v>
      </c>
      <c r="G127" s="270">
        <f>E127*F127</f>
        <v>0</v>
      </c>
    </row>
    <row r="128" spans="2:7" x14ac:dyDescent="0.2">
      <c r="B128" s="153">
        <v>8</v>
      </c>
      <c r="C128" s="357" t="s">
        <v>679</v>
      </c>
      <c r="D128" s="207"/>
      <c r="E128" s="199"/>
      <c r="F128" s="269"/>
      <c r="G128" s="270"/>
    </row>
    <row r="129" spans="2:7" ht="48" x14ac:dyDescent="0.2">
      <c r="B129" s="153"/>
      <c r="C129" s="311" t="s">
        <v>817</v>
      </c>
      <c r="D129" s="10" t="s">
        <v>98</v>
      </c>
      <c r="E129" s="199">
        <v>1</v>
      </c>
      <c r="F129" s="269">
        <v>0</v>
      </c>
      <c r="G129" s="270">
        <f>E129*F129</f>
        <v>0</v>
      </c>
    </row>
    <row r="130" spans="2:7" ht="36" x14ac:dyDescent="0.2">
      <c r="B130" s="153"/>
      <c r="C130" s="311" t="s">
        <v>790</v>
      </c>
      <c r="D130" s="10" t="s">
        <v>98</v>
      </c>
      <c r="E130" s="199">
        <v>1</v>
      </c>
      <c r="F130" s="269">
        <v>0</v>
      </c>
      <c r="G130" s="270">
        <f>E130*F130</f>
        <v>0</v>
      </c>
    </row>
    <row r="131" spans="2:7" ht="36" x14ac:dyDescent="0.2">
      <c r="B131" s="153"/>
      <c r="C131" s="311" t="s">
        <v>791</v>
      </c>
      <c r="D131" s="10" t="s">
        <v>98</v>
      </c>
      <c r="E131" s="199">
        <v>1</v>
      </c>
      <c r="F131" s="269">
        <v>0</v>
      </c>
      <c r="G131" s="270">
        <f>E131*F131</f>
        <v>0</v>
      </c>
    </row>
    <row r="132" spans="2:7" ht="36" x14ac:dyDescent="0.2">
      <c r="B132" s="153"/>
      <c r="C132" s="311" t="s">
        <v>792</v>
      </c>
      <c r="D132" s="10" t="s">
        <v>98</v>
      </c>
      <c r="E132" s="199">
        <v>1</v>
      </c>
      <c r="F132" s="269">
        <v>0</v>
      </c>
      <c r="G132" s="270">
        <f>E132*F132</f>
        <v>0</v>
      </c>
    </row>
    <row r="133" spans="2:7" x14ac:dyDescent="0.2">
      <c r="B133" s="293" t="s">
        <v>18</v>
      </c>
      <c r="C133" s="294" t="s">
        <v>794</v>
      </c>
      <c r="D133" s="218"/>
      <c r="E133" s="203"/>
      <c r="F133" s="204"/>
      <c r="G133" s="290">
        <f>SUM(G64:G132)</f>
        <v>0</v>
      </c>
    </row>
  </sheetData>
  <mergeCells count="8">
    <mergeCell ref="B60:G60"/>
    <mergeCell ref="B61:G61"/>
    <mergeCell ref="B62:G62"/>
    <mergeCell ref="B27:G27"/>
    <mergeCell ref="B56:G56"/>
    <mergeCell ref="B57:G57"/>
    <mergeCell ref="B58:G58"/>
    <mergeCell ref="B59:G59"/>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2DC0-5CDD-4360-B34B-A89B07C145F8}">
  <sheetPr codeName="Sheet7">
    <tabColor rgb="FFFFFF00"/>
  </sheetPr>
  <dimension ref="A2:L133"/>
  <sheetViews>
    <sheetView showZeros="0" topLeftCell="A48" zoomScale="110" zoomScaleNormal="110" workbookViewId="0">
      <selection activeCell="B61" sqref="B61:G61"/>
    </sheetView>
  </sheetViews>
  <sheetFormatPr defaultColWidth="10.42578125" defaultRowHeight="12.75" x14ac:dyDescent="0.2"/>
  <cols>
    <col min="1" max="1" width="4.42578125" style="1" customWidth="1"/>
    <col min="2" max="2" width="7.42578125" style="8" customWidth="1"/>
    <col min="3" max="3" width="53.140625" style="7" customWidth="1"/>
    <col min="4" max="4" width="10.42578125" style="6" customWidth="1"/>
    <col min="5" max="5" width="9.28515625" style="5" customWidth="1"/>
    <col min="6" max="6" width="12.140625" style="4" customWidth="1"/>
    <col min="7" max="7" width="14.425781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5.75" x14ac:dyDescent="0.2">
      <c r="A2" s="121"/>
      <c r="B2" s="137"/>
      <c r="C2" s="354" t="s">
        <v>59</v>
      </c>
      <c r="D2" s="155"/>
      <c r="E2" s="156"/>
      <c r="F2" s="157"/>
      <c r="G2" s="355" t="s">
        <v>60</v>
      </c>
      <c r="H2" s="122"/>
      <c r="I2" s="121"/>
      <c r="J2" s="121"/>
      <c r="K2" s="121"/>
      <c r="L2" s="121"/>
    </row>
    <row r="4" spans="1:12" s="25" customFormat="1" ht="15" x14ac:dyDescent="0.25">
      <c r="A4" s="119"/>
      <c r="B4" s="146" t="s">
        <v>7</v>
      </c>
      <c r="C4" s="330" t="s">
        <v>869</v>
      </c>
      <c r="D4" s="158"/>
      <c r="E4" s="159"/>
      <c r="F4" s="160"/>
      <c r="G4" s="161"/>
      <c r="H4" s="26"/>
      <c r="I4" s="119"/>
      <c r="J4" s="119"/>
      <c r="K4" s="119"/>
      <c r="L4" s="119"/>
    </row>
    <row r="5" spans="1:12" s="25" customFormat="1" ht="15" x14ac:dyDescent="0.25">
      <c r="A5" s="119"/>
      <c r="B5" s="145"/>
      <c r="C5" s="162"/>
      <c r="D5" s="163"/>
      <c r="E5" s="164"/>
      <c r="F5" s="165"/>
      <c r="G5" s="166"/>
      <c r="H5" s="26"/>
      <c r="I5" s="119"/>
      <c r="J5" s="119"/>
      <c r="K5" s="119"/>
      <c r="L5" s="119"/>
    </row>
    <row r="6" spans="1:12" s="23" customFormat="1" ht="15" x14ac:dyDescent="0.2">
      <c r="A6" s="125"/>
      <c r="B6" s="328" t="s">
        <v>80</v>
      </c>
      <c r="C6" s="329" t="s">
        <v>958</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5" x14ac:dyDescent="0.2">
      <c r="A8" s="140"/>
      <c r="B8" s="143" t="s">
        <v>1</v>
      </c>
      <c r="C8" s="168"/>
      <c r="D8" s="170"/>
      <c r="E8" s="170"/>
      <c r="F8" s="170"/>
      <c r="G8" s="169"/>
      <c r="H8" s="139"/>
      <c r="I8" s="139"/>
      <c r="J8" s="139"/>
      <c r="K8" s="139"/>
      <c r="L8" s="139"/>
    </row>
    <row r="9" spans="1:12" s="24" customFormat="1" ht="15.75" x14ac:dyDescent="0.25">
      <c r="A9" s="141"/>
      <c r="B9" s="144" t="s">
        <v>2</v>
      </c>
      <c r="C9" s="171"/>
      <c r="D9" s="172"/>
      <c r="E9" s="173"/>
      <c r="F9" s="173"/>
      <c r="G9" s="172"/>
      <c r="H9" s="139"/>
      <c r="I9" s="139"/>
      <c r="J9" s="139"/>
      <c r="K9" s="139"/>
      <c r="L9" s="139"/>
    </row>
    <row r="10" spans="1:12" s="24" customFormat="1" ht="15" x14ac:dyDescent="0.2">
      <c r="A10" s="140"/>
      <c r="B10" s="143" t="s">
        <v>3</v>
      </c>
      <c r="C10" s="168"/>
      <c r="D10" s="170"/>
      <c r="E10" s="170"/>
      <c r="F10" s="170"/>
      <c r="G10" s="169"/>
      <c r="H10" s="139"/>
      <c r="I10" s="139"/>
      <c r="J10" s="139"/>
      <c r="K10" s="139"/>
      <c r="L10" s="139"/>
    </row>
    <row r="11" spans="1:12" s="24" customFormat="1" ht="15.75"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5" x14ac:dyDescent="0.2">
      <c r="A13" s="125"/>
      <c r="B13" s="138"/>
      <c r="C13" s="334" t="s">
        <v>82</v>
      </c>
      <c r="D13" s="179"/>
      <c r="E13" s="180"/>
      <c r="F13" s="181"/>
      <c r="G13" s="182"/>
      <c r="H13" s="123"/>
      <c r="I13" s="124"/>
      <c r="J13" s="124"/>
      <c r="K13" s="124"/>
      <c r="L13" s="124"/>
    </row>
    <row r="14" spans="1:12" s="21" customFormat="1" x14ac:dyDescent="0.2">
      <c r="A14" s="126"/>
      <c r="B14" s="315" t="s">
        <v>83</v>
      </c>
      <c r="C14" s="335" t="s">
        <v>84</v>
      </c>
      <c r="D14" s="336"/>
      <c r="E14" s="337"/>
      <c r="F14" s="338"/>
      <c r="G14" s="339" t="s">
        <v>64</v>
      </c>
      <c r="H14" s="22"/>
      <c r="I14" s="126"/>
      <c r="J14" s="126"/>
      <c r="K14" s="126"/>
      <c r="L14" s="126"/>
    </row>
    <row r="15" spans="1:12" s="17" customFormat="1" x14ac:dyDescent="0.25">
      <c r="A15" s="331"/>
      <c r="B15" s="332" t="s">
        <v>17</v>
      </c>
      <c r="C15" s="340" t="s">
        <v>87</v>
      </c>
      <c r="D15" s="341"/>
      <c r="E15" s="342"/>
      <c r="F15" s="343"/>
      <c r="G15" s="20">
        <f>G51</f>
        <v>0</v>
      </c>
      <c r="H15" s="18"/>
      <c r="I15" s="331"/>
      <c r="J15" s="331"/>
      <c r="K15" s="331"/>
      <c r="L15" s="331"/>
    </row>
    <row r="16" spans="1:12" s="17" customFormat="1" x14ac:dyDescent="0.25">
      <c r="A16" s="331"/>
      <c r="B16" s="332" t="s">
        <v>18</v>
      </c>
      <c r="C16" s="340" t="s">
        <v>367</v>
      </c>
      <c r="D16" s="341"/>
      <c r="E16" s="342"/>
      <c r="F16" s="58"/>
      <c r="G16" s="20">
        <f>G133</f>
        <v>0</v>
      </c>
      <c r="H16" s="18"/>
      <c r="I16" s="331"/>
      <c r="J16" s="331"/>
      <c r="K16" s="331"/>
      <c r="L16" s="331"/>
    </row>
    <row r="17" spans="1:8" s="17" customForma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20" spans="1:8" ht="24" x14ac:dyDescent="0.2">
      <c r="A20" s="121"/>
      <c r="B20" s="128" t="s">
        <v>83</v>
      </c>
      <c r="C20" s="192" t="s">
        <v>89</v>
      </c>
      <c r="D20" s="192" t="s">
        <v>90</v>
      </c>
      <c r="E20" s="194" t="s">
        <v>91</v>
      </c>
      <c r="F20" s="195" t="s">
        <v>92</v>
      </c>
      <c r="G20" s="196" t="s">
        <v>93</v>
      </c>
      <c r="H20" s="122"/>
    </row>
    <row r="21" spans="1:8" x14ac:dyDescent="0.2">
      <c r="A21" s="121"/>
      <c r="B21" s="129"/>
      <c r="C21" s="197"/>
      <c r="D21" s="207"/>
      <c r="E21" s="199"/>
      <c r="F21" s="200"/>
      <c r="G21" s="201"/>
      <c r="H21" s="122"/>
    </row>
    <row r="22" spans="1:8" s="16" customFormat="1" ht="20.25" x14ac:dyDescent="0.3">
      <c r="A22" s="295"/>
      <c r="B22" s="296" t="s">
        <v>17</v>
      </c>
      <c r="C22" s="297" t="s">
        <v>158</v>
      </c>
      <c r="D22" s="298"/>
      <c r="E22" s="299"/>
      <c r="F22" s="300"/>
      <c r="G22" s="301"/>
      <c r="H22" s="302"/>
    </row>
    <row r="23" spans="1:8" s="24" customFormat="1" ht="15" x14ac:dyDescent="0.2">
      <c r="A23" s="140"/>
      <c r="B23" s="143" t="s">
        <v>1</v>
      </c>
      <c r="C23" s="168"/>
      <c r="D23" s="170"/>
      <c r="E23" s="170"/>
      <c r="F23" s="170"/>
      <c r="G23" s="169"/>
      <c r="H23" s="139"/>
    </row>
    <row r="24" spans="1:8" s="24" customFormat="1" ht="15.75" x14ac:dyDescent="0.25">
      <c r="A24" s="141"/>
      <c r="B24" s="144" t="s">
        <v>2</v>
      </c>
      <c r="C24" s="171"/>
      <c r="D24" s="172"/>
      <c r="E24" s="173"/>
      <c r="F24" s="173"/>
      <c r="G24" s="172"/>
      <c r="H24" s="139"/>
    </row>
    <row r="25" spans="1:8" s="24" customFormat="1" ht="15" x14ac:dyDescent="0.2">
      <c r="A25" s="140"/>
      <c r="B25" s="143" t="s">
        <v>3</v>
      </c>
      <c r="C25" s="168"/>
      <c r="D25" s="170"/>
      <c r="E25" s="170"/>
      <c r="F25" s="170"/>
      <c r="G25" s="169"/>
      <c r="H25" s="139"/>
    </row>
    <row r="26" spans="1:8" s="24" customFormat="1" ht="15.75" x14ac:dyDescent="0.25">
      <c r="A26" s="141"/>
      <c r="B26" s="144" t="s">
        <v>4</v>
      </c>
      <c r="C26" s="171"/>
      <c r="D26" s="173"/>
      <c r="E26" s="173"/>
      <c r="F26" s="173"/>
      <c r="G26" s="172"/>
      <c r="H26" s="139"/>
    </row>
    <row r="27" spans="1:8" s="43" customFormat="1" x14ac:dyDescent="0.2">
      <c r="A27" s="130"/>
      <c r="B27" s="3184" t="s">
        <v>159</v>
      </c>
      <c r="C27" s="3185"/>
      <c r="D27" s="3185"/>
      <c r="E27" s="3185"/>
      <c r="F27" s="3185"/>
      <c r="G27" s="3186"/>
      <c r="H27" s="122"/>
    </row>
    <row r="28" spans="1:8" ht="24" x14ac:dyDescent="0.2">
      <c r="A28" s="121"/>
      <c r="B28" s="309" t="s">
        <v>173</v>
      </c>
      <c r="C28" s="227" t="s">
        <v>174</v>
      </c>
      <c r="D28" s="209" t="s">
        <v>98</v>
      </c>
      <c r="E28" s="228">
        <v>1</v>
      </c>
      <c r="F28" s="269">
        <v>0</v>
      </c>
      <c r="G28" s="270">
        <f>E28*F28</f>
        <v>0</v>
      </c>
      <c r="H28" s="122"/>
    </row>
    <row r="29" spans="1:8" ht="24" x14ac:dyDescent="0.2">
      <c r="A29" s="121"/>
      <c r="B29" s="309" t="s">
        <v>175</v>
      </c>
      <c r="C29" s="227" t="s">
        <v>176</v>
      </c>
      <c r="D29" s="209" t="s">
        <v>98</v>
      </c>
      <c r="E29" s="228">
        <v>1</v>
      </c>
      <c r="F29" s="269">
        <v>0</v>
      </c>
      <c r="G29" s="270">
        <f>E29*F29</f>
        <v>0</v>
      </c>
      <c r="H29" s="122"/>
    </row>
    <row r="30" spans="1:8" ht="36" x14ac:dyDescent="0.2">
      <c r="A30" s="121"/>
      <c r="B30" s="309" t="s">
        <v>177</v>
      </c>
      <c r="C30" s="227" t="s">
        <v>178</v>
      </c>
      <c r="D30" s="209" t="s">
        <v>98</v>
      </c>
      <c r="E30" s="228">
        <v>1</v>
      </c>
      <c r="F30" s="269">
        <v>0</v>
      </c>
      <c r="G30" s="270">
        <f>E30*F30</f>
        <v>0</v>
      </c>
      <c r="H30" s="122"/>
    </row>
    <row r="31" spans="1:8" ht="24" x14ac:dyDescent="0.2">
      <c r="A31" s="121"/>
      <c r="B31" s="153">
        <v>3</v>
      </c>
      <c r="C31" s="229" t="s">
        <v>179</v>
      </c>
      <c r="D31" s="198"/>
      <c r="E31" s="199"/>
      <c r="F31" s="269">
        <v>0</v>
      </c>
      <c r="G31" s="201"/>
      <c r="H31" s="122"/>
    </row>
    <row r="32" spans="1:8" s="34" customFormat="1" x14ac:dyDescent="0.2">
      <c r="A32" s="136"/>
      <c r="B32" s="292" t="s">
        <v>897</v>
      </c>
      <c r="C32" s="46"/>
      <c r="D32" s="198"/>
      <c r="E32" s="348"/>
      <c r="F32" s="351"/>
      <c r="G32" s="352"/>
      <c r="H32" s="122"/>
    </row>
    <row r="33" spans="2:8" s="34" customFormat="1" x14ac:dyDescent="0.2">
      <c r="B33" s="135"/>
      <c r="C33" s="217" t="s">
        <v>951</v>
      </c>
      <c r="D33" s="198" t="s">
        <v>149</v>
      </c>
      <c r="E33" s="348">
        <v>3</v>
      </c>
      <c r="F33" s="351">
        <v>0</v>
      </c>
      <c r="G33" s="352">
        <f t="shared" ref="G33:G41" si="0">E33*F33</f>
        <v>0</v>
      </c>
      <c r="H33" s="122"/>
    </row>
    <row r="34" spans="2:8" s="34" customFormat="1" x14ac:dyDescent="0.2">
      <c r="B34" s="135"/>
      <c r="C34" s="217" t="s">
        <v>952</v>
      </c>
      <c r="D34" s="198" t="s">
        <v>149</v>
      </c>
      <c r="E34" s="348">
        <v>2</v>
      </c>
      <c r="F34" s="351">
        <v>0</v>
      </c>
      <c r="G34" s="352">
        <f t="shared" si="0"/>
        <v>0</v>
      </c>
      <c r="H34" s="122"/>
    </row>
    <row r="35" spans="2:8" s="34" customFormat="1" x14ac:dyDescent="0.2">
      <c r="B35" s="135"/>
      <c r="C35" s="217" t="s">
        <v>953</v>
      </c>
      <c r="D35" s="198" t="s">
        <v>149</v>
      </c>
      <c r="E35" s="348">
        <v>2</v>
      </c>
      <c r="F35" s="351">
        <v>0</v>
      </c>
      <c r="G35" s="352">
        <f t="shared" si="0"/>
        <v>0</v>
      </c>
      <c r="H35" s="122"/>
    </row>
    <row r="36" spans="2:8" s="34" customFormat="1" x14ac:dyDescent="0.2">
      <c r="B36" s="135"/>
      <c r="C36" s="217" t="s">
        <v>954</v>
      </c>
      <c r="D36" s="198" t="s">
        <v>149</v>
      </c>
      <c r="E36" s="348">
        <v>2</v>
      </c>
      <c r="F36" s="351">
        <v>0</v>
      </c>
      <c r="G36" s="352">
        <f t="shared" si="0"/>
        <v>0</v>
      </c>
      <c r="H36" s="122"/>
    </row>
    <row r="37" spans="2:8" s="34" customFormat="1" x14ac:dyDescent="0.2">
      <c r="B37" s="135"/>
      <c r="C37" s="217" t="s">
        <v>901</v>
      </c>
      <c r="D37" s="198" t="s">
        <v>149</v>
      </c>
      <c r="E37" s="348">
        <v>120</v>
      </c>
      <c r="F37" s="351">
        <v>0</v>
      </c>
      <c r="G37" s="352">
        <f t="shared" si="0"/>
        <v>0</v>
      </c>
      <c r="H37" s="122"/>
    </row>
    <row r="38" spans="2:8" s="34" customFormat="1" x14ac:dyDescent="0.2">
      <c r="B38" s="135"/>
      <c r="C38" s="217" t="s">
        <v>916</v>
      </c>
      <c r="D38" s="198" t="s">
        <v>149</v>
      </c>
      <c r="E38" s="348">
        <v>15</v>
      </c>
      <c r="F38" s="351">
        <v>0</v>
      </c>
      <c r="G38" s="352">
        <f t="shared" si="0"/>
        <v>0</v>
      </c>
      <c r="H38" s="122"/>
    </row>
    <row r="39" spans="2:8" s="34" customFormat="1" x14ac:dyDescent="0.2">
      <c r="B39" s="135"/>
      <c r="C39" s="217" t="s">
        <v>955</v>
      </c>
      <c r="D39" s="198" t="s">
        <v>149</v>
      </c>
      <c r="E39" s="348">
        <v>2</v>
      </c>
      <c r="F39" s="351">
        <v>0</v>
      </c>
      <c r="G39" s="352">
        <f t="shared" si="0"/>
        <v>0</v>
      </c>
      <c r="H39" s="122"/>
    </row>
    <row r="40" spans="2:8" s="34" customFormat="1" x14ac:dyDescent="0.2">
      <c r="B40" s="135"/>
      <c r="C40" s="217" t="s">
        <v>956</v>
      </c>
      <c r="D40" s="198" t="s">
        <v>149</v>
      </c>
      <c r="E40" s="348">
        <v>2</v>
      </c>
      <c r="F40" s="351">
        <v>0</v>
      </c>
      <c r="G40" s="352">
        <f t="shared" si="0"/>
        <v>0</v>
      </c>
      <c r="H40" s="122"/>
    </row>
    <row r="41" spans="2:8" s="34" customFormat="1" x14ac:dyDescent="0.2">
      <c r="B41" s="135"/>
      <c r="C41" s="217" t="s">
        <v>957</v>
      </c>
      <c r="D41" s="198" t="s">
        <v>149</v>
      </c>
      <c r="E41" s="348">
        <v>1</v>
      </c>
      <c r="F41" s="351">
        <v>0</v>
      </c>
      <c r="G41" s="352">
        <f t="shared" si="0"/>
        <v>0</v>
      </c>
      <c r="H41" s="122"/>
    </row>
    <row r="42" spans="2:8" s="34" customFormat="1" x14ac:dyDescent="0.2">
      <c r="B42" s="292" t="s">
        <v>917</v>
      </c>
      <c r="C42" s="57" t="s">
        <v>910</v>
      </c>
      <c r="D42" s="56"/>
      <c r="E42" s="55"/>
      <c r="F42" s="54"/>
      <c r="G42" s="53"/>
      <c r="H42" s="122"/>
    </row>
    <row r="43" spans="2:8" s="136" customFormat="1" ht="96" customHeight="1" x14ac:dyDescent="0.2">
      <c r="B43" s="2731"/>
      <c r="C43" s="2732"/>
      <c r="D43" s="2733"/>
      <c r="E43" s="2734"/>
      <c r="F43" s="2735"/>
      <c r="G43" s="2736"/>
      <c r="H43" s="122"/>
    </row>
    <row r="44" spans="2:8" s="136" customFormat="1" ht="96" customHeight="1" x14ac:dyDescent="0.2">
      <c r="B44" s="2737"/>
      <c r="C44" s="2738"/>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125.25" customHeight="1" x14ac:dyDescent="0.2">
      <c r="B49" s="2737"/>
      <c r="C49" s="2738"/>
      <c r="D49" s="2733"/>
      <c r="E49" s="2734"/>
      <c r="F49" s="2735"/>
      <c r="G49" s="2736"/>
      <c r="H49" s="122"/>
    </row>
    <row r="50" spans="2:8" s="136" customFormat="1" ht="14.25" customHeight="1" x14ac:dyDescent="0.2">
      <c r="B50" s="2737"/>
      <c r="C50" s="2732" t="s">
        <v>2464</v>
      </c>
      <c r="D50" s="2739" t="s">
        <v>98</v>
      </c>
      <c r="E50" s="2740">
        <v>1</v>
      </c>
      <c r="F50" s="2741">
        <v>0</v>
      </c>
      <c r="G50" s="2742">
        <f t="shared" ref="G50" si="1">E50*F50</f>
        <v>0</v>
      </c>
      <c r="H50" s="122"/>
    </row>
    <row r="51" spans="2:8" s="9" customFormat="1" x14ac:dyDescent="0.25">
      <c r="B51" s="293" t="s">
        <v>17</v>
      </c>
      <c r="C51" s="294" t="s">
        <v>302</v>
      </c>
      <c r="D51" s="218"/>
      <c r="E51" s="203"/>
      <c r="F51" s="204"/>
      <c r="G51" s="290">
        <f>SUM(G28:G50)</f>
        <v>0</v>
      </c>
      <c r="H51" s="150"/>
    </row>
    <row r="52" spans="2:8" x14ac:dyDescent="0.2">
      <c r="B52" s="129"/>
      <c r="C52" s="197"/>
      <c r="D52" s="207"/>
      <c r="E52" s="199"/>
      <c r="F52" s="200"/>
      <c r="G52" s="201"/>
      <c r="H52" s="122"/>
    </row>
    <row r="53" spans="2:8" ht="24" x14ac:dyDescent="0.2">
      <c r="B53" s="128" t="s">
        <v>83</v>
      </c>
      <c r="C53" s="192" t="s">
        <v>89</v>
      </c>
      <c r="D53" s="192" t="s">
        <v>90</v>
      </c>
      <c r="E53" s="194" t="s">
        <v>91</v>
      </c>
      <c r="F53" s="195" t="s">
        <v>92</v>
      </c>
      <c r="G53" s="196" t="s">
        <v>93</v>
      </c>
      <c r="H53" s="122"/>
    </row>
    <row r="54" spans="2:8" x14ac:dyDescent="0.2">
      <c r="B54" s="51"/>
      <c r="C54" s="50"/>
      <c r="D54" s="50"/>
      <c r="E54" s="359"/>
      <c r="F54" s="360"/>
      <c r="G54" s="361"/>
      <c r="H54" s="122"/>
    </row>
    <row r="55" spans="2:8" ht="20.25" x14ac:dyDescent="0.2">
      <c r="B55" s="296" t="s">
        <v>18</v>
      </c>
      <c r="C55" s="297" t="s">
        <v>367</v>
      </c>
      <c r="D55" s="298"/>
      <c r="E55" s="299"/>
      <c r="F55" s="300"/>
      <c r="G55" s="301"/>
      <c r="H55" s="122"/>
    </row>
    <row r="56" spans="2:8" x14ac:dyDescent="0.2">
      <c r="B56" s="3205" t="s">
        <v>539</v>
      </c>
      <c r="C56" s="3206"/>
      <c r="D56" s="3206"/>
      <c r="E56" s="3206"/>
      <c r="F56" s="3206"/>
      <c r="G56" s="3207"/>
      <c r="H56" s="122"/>
    </row>
    <row r="57" spans="2:8" ht="25.5" customHeight="1" x14ac:dyDescent="0.2">
      <c r="B57" s="3205" t="s">
        <v>540</v>
      </c>
      <c r="C57" s="3206"/>
      <c r="D57" s="3206"/>
      <c r="E57" s="3206"/>
      <c r="F57" s="3206"/>
      <c r="G57" s="3207"/>
      <c r="H57" s="122"/>
    </row>
    <row r="58" spans="2:8" x14ac:dyDescent="0.2">
      <c r="B58" s="3205" t="s">
        <v>541</v>
      </c>
      <c r="C58" s="3206"/>
      <c r="D58" s="3206"/>
      <c r="E58" s="3206"/>
      <c r="F58" s="3206"/>
      <c r="G58" s="3207"/>
      <c r="H58" s="122"/>
    </row>
    <row r="59" spans="2:8" ht="25.5" customHeight="1" x14ac:dyDescent="0.2">
      <c r="B59" s="3205" t="s">
        <v>542</v>
      </c>
      <c r="C59" s="3206"/>
      <c r="D59" s="3206"/>
      <c r="E59" s="3206"/>
      <c r="F59" s="3206"/>
      <c r="G59" s="3207"/>
    </row>
    <row r="60" spans="2:8" ht="25.5" customHeight="1" x14ac:dyDescent="0.2">
      <c r="B60" s="3205" t="s">
        <v>543</v>
      </c>
      <c r="C60" s="3206"/>
      <c r="D60" s="3206"/>
      <c r="E60" s="3206"/>
      <c r="F60" s="3206"/>
      <c r="G60" s="3207"/>
    </row>
    <row r="61" spans="2:8" ht="25.5" customHeight="1" x14ac:dyDescent="0.2">
      <c r="B61" s="3205" t="s">
        <v>544</v>
      </c>
      <c r="C61" s="3206"/>
      <c r="D61" s="3206"/>
      <c r="E61" s="3206"/>
      <c r="F61" s="3206"/>
      <c r="G61" s="3207"/>
    </row>
    <row r="62" spans="2:8" x14ac:dyDescent="0.2">
      <c r="B62" s="3205" t="s">
        <v>545</v>
      </c>
      <c r="C62" s="3206"/>
      <c r="D62" s="3206"/>
      <c r="E62" s="3206"/>
      <c r="F62" s="3206"/>
      <c r="G62" s="3207"/>
    </row>
    <row r="63" spans="2:8" x14ac:dyDescent="0.2">
      <c r="B63" s="153">
        <v>1</v>
      </c>
      <c r="C63" s="357" t="s">
        <v>550</v>
      </c>
      <c r="D63" s="207"/>
      <c r="E63" s="199"/>
      <c r="F63" s="269"/>
      <c r="G63" s="270"/>
    </row>
    <row r="64" spans="2:8" ht="108" x14ac:dyDescent="0.2">
      <c r="B64" s="129"/>
      <c r="C64" s="197" t="s">
        <v>815</v>
      </c>
      <c r="D64" s="207" t="s">
        <v>98</v>
      </c>
      <c r="E64" s="199">
        <v>1</v>
      </c>
      <c r="F64" s="200">
        <v>0</v>
      </c>
      <c r="G64" s="270">
        <f t="shared" ref="G64:G86" si="2">E64*F64</f>
        <v>0</v>
      </c>
    </row>
    <row r="65" spans="2:7" ht="36" x14ac:dyDescent="0.2">
      <c r="B65" s="129"/>
      <c r="C65" s="197" t="s">
        <v>942</v>
      </c>
      <c r="D65" s="207" t="s">
        <v>123</v>
      </c>
      <c r="E65" s="199">
        <v>3</v>
      </c>
      <c r="F65" s="200">
        <v>0</v>
      </c>
      <c r="G65" s="270">
        <f t="shared" si="2"/>
        <v>0</v>
      </c>
    </row>
    <row r="66" spans="2:7" ht="96" x14ac:dyDescent="0.2">
      <c r="B66" s="129"/>
      <c r="C66" s="197" t="s">
        <v>748</v>
      </c>
      <c r="D66" s="207" t="s">
        <v>98</v>
      </c>
      <c r="E66" s="199">
        <v>1</v>
      </c>
      <c r="F66" s="200">
        <v>0</v>
      </c>
      <c r="G66" s="270">
        <f t="shared" si="2"/>
        <v>0</v>
      </c>
    </row>
    <row r="67" spans="2:7" ht="60" x14ac:dyDescent="0.2">
      <c r="B67" s="129"/>
      <c r="C67" s="197" t="s">
        <v>751</v>
      </c>
      <c r="D67" s="207" t="s">
        <v>123</v>
      </c>
      <c r="E67" s="199">
        <v>1</v>
      </c>
      <c r="F67" s="200">
        <v>0</v>
      </c>
      <c r="G67" s="270">
        <f t="shared" si="2"/>
        <v>0</v>
      </c>
    </row>
    <row r="68" spans="2:7" ht="60" x14ac:dyDescent="0.2">
      <c r="B68" s="129"/>
      <c r="C68" s="197" t="s">
        <v>752</v>
      </c>
      <c r="D68" s="207" t="s">
        <v>123</v>
      </c>
      <c r="E68" s="199">
        <v>1</v>
      </c>
      <c r="F68" s="200">
        <v>0</v>
      </c>
      <c r="G68" s="270">
        <f t="shared" si="2"/>
        <v>0</v>
      </c>
    </row>
    <row r="69" spans="2:7" ht="60" x14ac:dyDescent="0.2">
      <c r="B69" s="129"/>
      <c r="C69" s="197" t="s">
        <v>753</v>
      </c>
      <c r="D69" s="207" t="s">
        <v>123</v>
      </c>
      <c r="E69" s="199">
        <v>2</v>
      </c>
      <c r="F69" s="200">
        <v>0</v>
      </c>
      <c r="G69" s="270">
        <f t="shared" si="2"/>
        <v>0</v>
      </c>
    </row>
    <row r="70" spans="2:7" ht="60" x14ac:dyDescent="0.2">
      <c r="B70" s="129"/>
      <c r="C70" s="197" t="s">
        <v>754</v>
      </c>
      <c r="D70" s="207" t="s">
        <v>123</v>
      </c>
      <c r="E70" s="199">
        <v>1</v>
      </c>
      <c r="F70" s="200">
        <v>0</v>
      </c>
      <c r="G70" s="270">
        <f t="shared" si="2"/>
        <v>0</v>
      </c>
    </row>
    <row r="71" spans="2:7" ht="48" x14ac:dyDescent="0.2">
      <c r="B71" s="129"/>
      <c r="C71" s="197" t="s">
        <v>755</v>
      </c>
      <c r="D71" s="207" t="s">
        <v>123</v>
      </c>
      <c r="E71" s="199">
        <v>1</v>
      </c>
      <c r="F71" s="200">
        <v>0</v>
      </c>
      <c r="G71" s="270">
        <f t="shared" si="2"/>
        <v>0</v>
      </c>
    </row>
    <row r="72" spans="2:7" ht="60" x14ac:dyDescent="0.2">
      <c r="B72" s="129"/>
      <c r="C72" s="311" t="s">
        <v>756</v>
      </c>
      <c r="D72" s="207" t="s">
        <v>98</v>
      </c>
      <c r="E72" s="199">
        <v>1</v>
      </c>
      <c r="F72" s="200">
        <v>0</v>
      </c>
      <c r="G72" s="270">
        <f t="shared" si="2"/>
        <v>0</v>
      </c>
    </row>
    <row r="73" spans="2:7" ht="48" x14ac:dyDescent="0.2">
      <c r="B73" s="129"/>
      <c r="C73" s="197" t="s">
        <v>757</v>
      </c>
      <c r="D73" s="207" t="s">
        <v>123</v>
      </c>
      <c r="E73" s="199">
        <v>1</v>
      </c>
      <c r="F73" s="200">
        <v>0</v>
      </c>
      <c r="G73" s="270">
        <f t="shared" si="2"/>
        <v>0</v>
      </c>
    </row>
    <row r="74" spans="2:7" ht="108" x14ac:dyDescent="0.2">
      <c r="B74" s="129"/>
      <c r="C74" s="197" t="s">
        <v>619</v>
      </c>
      <c r="D74" s="207" t="s">
        <v>123</v>
      </c>
      <c r="E74" s="199">
        <v>1</v>
      </c>
      <c r="F74" s="200">
        <v>0</v>
      </c>
      <c r="G74" s="270">
        <f t="shared" si="2"/>
        <v>0</v>
      </c>
    </row>
    <row r="75" spans="2:7" ht="36" x14ac:dyDescent="0.2">
      <c r="B75" s="129"/>
      <c r="C75" s="197" t="s">
        <v>758</v>
      </c>
      <c r="D75" s="207" t="s">
        <v>123</v>
      </c>
      <c r="E75" s="199">
        <v>40</v>
      </c>
      <c r="F75" s="200">
        <v>0</v>
      </c>
      <c r="G75" s="270">
        <f t="shared" si="2"/>
        <v>0</v>
      </c>
    </row>
    <row r="76" spans="2:7" ht="36" x14ac:dyDescent="0.2">
      <c r="B76" s="129"/>
      <c r="C76" s="197" t="s">
        <v>759</v>
      </c>
      <c r="D76" s="207" t="s">
        <v>123</v>
      </c>
      <c r="E76" s="199">
        <v>10</v>
      </c>
      <c r="F76" s="200">
        <v>0</v>
      </c>
      <c r="G76" s="270">
        <f t="shared" si="2"/>
        <v>0</v>
      </c>
    </row>
    <row r="77" spans="2:7" ht="36" x14ac:dyDescent="0.2">
      <c r="B77" s="129"/>
      <c r="C77" s="197" t="s">
        <v>760</v>
      </c>
      <c r="D77" s="207" t="s">
        <v>123</v>
      </c>
      <c r="E77" s="199">
        <v>2</v>
      </c>
      <c r="F77" s="200">
        <v>0</v>
      </c>
      <c r="G77" s="270">
        <f t="shared" si="2"/>
        <v>0</v>
      </c>
    </row>
    <row r="78" spans="2:7" ht="36" x14ac:dyDescent="0.2">
      <c r="B78" s="129"/>
      <c r="C78" s="197" t="s">
        <v>761</v>
      </c>
      <c r="D78" s="207" t="s">
        <v>123</v>
      </c>
      <c r="E78" s="199">
        <v>12</v>
      </c>
      <c r="F78" s="200">
        <v>0</v>
      </c>
      <c r="G78" s="270">
        <f t="shared" si="2"/>
        <v>0</v>
      </c>
    </row>
    <row r="79" spans="2:7" ht="36" x14ac:dyDescent="0.2">
      <c r="B79" s="129"/>
      <c r="C79" s="197" t="s">
        <v>762</v>
      </c>
      <c r="D79" s="207" t="s">
        <v>123</v>
      </c>
      <c r="E79" s="199">
        <v>1</v>
      </c>
      <c r="F79" s="200">
        <v>0</v>
      </c>
      <c r="G79" s="270">
        <f t="shared" si="2"/>
        <v>0</v>
      </c>
    </row>
    <row r="80" spans="2:7" ht="48" x14ac:dyDescent="0.2">
      <c r="B80" s="129"/>
      <c r="C80" s="197" t="s">
        <v>763</v>
      </c>
      <c r="D80" s="207" t="s">
        <v>123</v>
      </c>
      <c r="E80" s="199">
        <v>1</v>
      </c>
      <c r="F80" s="200">
        <v>0</v>
      </c>
      <c r="G80" s="270">
        <f t="shared" si="2"/>
        <v>0</v>
      </c>
    </row>
    <row r="81" spans="2:8" ht="48" x14ac:dyDescent="0.2">
      <c r="B81" s="129"/>
      <c r="C81" s="197" t="s">
        <v>764</v>
      </c>
      <c r="D81" s="207" t="s">
        <v>123</v>
      </c>
      <c r="E81" s="199">
        <v>3</v>
      </c>
      <c r="F81" s="200">
        <v>0</v>
      </c>
      <c r="G81" s="270">
        <f t="shared" si="2"/>
        <v>0</v>
      </c>
    </row>
    <row r="82" spans="2:8" ht="48" x14ac:dyDescent="0.2">
      <c r="B82" s="129"/>
      <c r="C82" s="197" t="s">
        <v>765</v>
      </c>
      <c r="D82" s="207" t="s">
        <v>123</v>
      </c>
      <c r="E82" s="199">
        <v>3</v>
      </c>
      <c r="F82" s="200">
        <v>0</v>
      </c>
      <c r="G82" s="270">
        <f t="shared" si="2"/>
        <v>0</v>
      </c>
    </row>
    <row r="83" spans="2:8" ht="48" x14ac:dyDescent="0.2">
      <c r="B83" s="129"/>
      <c r="C83" s="197" t="s">
        <v>766</v>
      </c>
      <c r="D83" s="207" t="s">
        <v>123</v>
      </c>
      <c r="E83" s="199">
        <v>3</v>
      </c>
      <c r="F83" s="200">
        <v>0</v>
      </c>
      <c r="G83" s="270">
        <f t="shared" si="2"/>
        <v>0</v>
      </c>
    </row>
    <row r="84" spans="2:8" ht="48" x14ac:dyDescent="0.2">
      <c r="B84" s="129"/>
      <c r="C84" s="197" t="s">
        <v>767</v>
      </c>
      <c r="D84" s="207" t="s">
        <v>98</v>
      </c>
      <c r="E84" s="199">
        <v>1</v>
      </c>
      <c r="F84" s="200">
        <v>0</v>
      </c>
      <c r="G84" s="270">
        <f t="shared" si="2"/>
        <v>0</v>
      </c>
    </row>
    <row r="85" spans="2:8" ht="60" x14ac:dyDescent="0.2">
      <c r="B85" s="129"/>
      <c r="C85" s="197" t="s">
        <v>768</v>
      </c>
      <c r="D85" s="207" t="s">
        <v>123</v>
      </c>
      <c r="E85" s="199">
        <v>1</v>
      </c>
      <c r="F85" s="200">
        <v>0</v>
      </c>
      <c r="G85" s="270">
        <f t="shared" si="2"/>
        <v>0</v>
      </c>
    </row>
    <row r="86" spans="2:8" ht="84" x14ac:dyDescent="0.2">
      <c r="B86" s="129"/>
      <c r="C86" s="197" t="s">
        <v>620</v>
      </c>
      <c r="D86" s="207" t="s">
        <v>123</v>
      </c>
      <c r="E86" s="199">
        <v>1</v>
      </c>
      <c r="F86" s="200">
        <v>0</v>
      </c>
      <c r="G86" s="270">
        <f t="shared" si="2"/>
        <v>0</v>
      </c>
    </row>
    <row r="87" spans="2:8" x14ac:dyDescent="0.2">
      <c r="B87" s="153">
        <v>2</v>
      </c>
      <c r="C87" s="357" t="s">
        <v>769</v>
      </c>
      <c r="D87" s="207"/>
      <c r="E87" s="199"/>
      <c r="F87" s="269"/>
      <c r="G87" s="270"/>
    </row>
    <row r="88" spans="2:8" s="121" customFormat="1" ht="387.75" customHeight="1" x14ac:dyDescent="0.2">
      <c r="B88" s="2743"/>
      <c r="C88" s="2744"/>
      <c r="D88" s="2745"/>
      <c r="E88" s="2746"/>
      <c r="F88" s="2747"/>
      <c r="G88" s="2736"/>
      <c r="H88" s="122"/>
    </row>
    <row r="89" spans="2:8" s="121" customFormat="1" ht="24.75" customHeight="1" x14ac:dyDescent="0.2">
      <c r="B89" s="2743"/>
      <c r="C89" s="2744" t="s">
        <v>2465</v>
      </c>
      <c r="D89" s="2748" t="s">
        <v>98</v>
      </c>
      <c r="E89" s="2746">
        <v>1</v>
      </c>
      <c r="F89" s="2747">
        <v>0</v>
      </c>
      <c r="G89" s="2736">
        <f t="shared" ref="G89" si="3">E89*F89</f>
        <v>0</v>
      </c>
      <c r="H89" s="122"/>
    </row>
    <row r="90" spans="2:8" ht="48" x14ac:dyDescent="0.2">
      <c r="B90" s="129"/>
      <c r="C90" s="197" t="s">
        <v>771</v>
      </c>
      <c r="D90" s="207" t="s">
        <v>123</v>
      </c>
      <c r="E90" s="199">
        <v>1</v>
      </c>
      <c r="F90" s="200">
        <v>0</v>
      </c>
      <c r="G90" s="270">
        <f t="shared" ref="G90:G95" si="4">E90*F90</f>
        <v>0</v>
      </c>
    </row>
    <row r="91" spans="2:8" ht="60" x14ac:dyDescent="0.2">
      <c r="B91" s="129"/>
      <c r="C91" s="197" t="s">
        <v>772</v>
      </c>
      <c r="D91" s="207" t="s">
        <v>123</v>
      </c>
      <c r="E91" s="199">
        <v>1</v>
      </c>
      <c r="F91" s="200">
        <v>0</v>
      </c>
      <c r="G91" s="270">
        <f t="shared" si="4"/>
        <v>0</v>
      </c>
    </row>
    <row r="92" spans="2:8" ht="180" x14ac:dyDescent="0.2">
      <c r="B92" s="129"/>
      <c r="C92" s="197" t="s">
        <v>773</v>
      </c>
      <c r="D92" s="207" t="s">
        <v>123</v>
      </c>
      <c r="E92" s="199">
        <v>1</v>
      </c>
      <c r="F92" s="200">
        <v>0</v>
      </c>
      <c r="G92" s="270">
        <f t="shared" si="4"/>
        <v>0</v>
      </c>
    </row>
    <row r="93" spans="2:8" ht="60" x14ac:dyDescent="0.2">
      <c r="B93" s="129"/>
      <c r="C93" s="197" t="s">
        <v>774</v>
      </c>
      <c r="D93" s="207" t="s">
        <v>98</v>
      </c>
      <c r="E93" s="199">
        <v>1</v>
      </c>
      <c r="F93" s="200">
        <v>0</v>
      </c>
      <c r="G93" s="270">
        <f t="shared" si="4"/>
        <v>0</v>
      </c>
    </row>
    <row r="94" spans="2:8" ht="36" x14ac:dyDescent="0.2">
      <c r="B94" s="129"/>
      <c r="C94" s="197" t="s">
        <v>603</v>
      </c>
      <c r="D94" s="207" t="s">
        <v>123</v>
      </c>
      <c r="E94" s="199">
        <v>1</v>
      </c>
      <c r="F94" s="200">
        <v>0</v>
      </c>
      <c r="G94" s="270">
        <f t="shared" si="4"/>
        <v>0</v>
      </c>
    </row>
    <row r="95" spans="2:8" ht="288" x14ac:dyDescent="0.2">
      <c r="B95" s="129"/>
      <c r="C95" s="197" t="s">
        <v>630</v>
      </c>
      <c r="D95" s="207" t="s">
        <v>98</v>
      </c>
      <c r="E95" s="199">
        <v>2</v>
      </c>
      <c r="F95" s="200">
        <v>0</v>
      </c>
      <c r="G95" s="270">
        <f t="shared" si="4"/>
        <v>0</v>
      </c>
    </row>
    <row r="96" spans="2:8" x14ac:dyDescent="0.2">
      <c r="B96" s="153">
        <v>3</v>
      </c>
      <c r="C96" s="357" t="s">
        <v>775</v>
      </c>
      <c r="D96" s="207"/>
      <c r="E96" s="199"/>
      <c r="F96" s="269"/>
      <c r="G96" s="270"/>
    </row>
    <row r="97" spans="2:8" ht="276" x14ac:dyDescent="0.2">
      <c r="B97" s="129"/>
      <c r="C97" s="197" t="s">
        <v>776</v>
      </c>
      <c r="D97" s="207" t="s">
        <v>98</v>
      </c>
      <c r="E97" s="199">
        <v>1</v>
      </c>
      <c r="F97" s="200">
        <v>0</v>
      </c>
      <c r="G97" s="270">
        <f>E97*F97</f>
        <v>0</v>
      </c>
    </row>
    <row r="98" spans="2:8" ht="72" x14ac:dyDescent="0.2">
      <c r="B98" s="129"/>
      <c r="C98" s="197" t="s">
        <v>777</v>
      </c>
      <c r="D98" s="207" t="s">
        <v>98</v>
      </c>
      <c r="E98" s="199">
        <v>1</v>
      </c>
      <c r="F98" s="200">
        <v>0</v>
      </c>
      <c r="G98" s="270">
        <f>E98*F98</f>
        <v>0</v>
      </c>
    </row>
    <row r="99" spans="2:8" ht="84" x14ac:dyDescent="0.2">
      <c r="B99" s="129"/>
      <c r="C99" s="197" t="s">
        <v>778</v>
      </c>
      <c r="D99" s="207" t="s">
        <v>98</v>
      </c>
      <c r="E99" s="199">
        <v>1</v>
      </c>
      <c r="F99" s="200">
        <v>0</v>
      </c>
      <c r="G99" s="270">
        <f>E99*F99</f>
        <v>0</v>
      </c>
    </row>
    <row r="100" spans="2:8" x14ac:dyDescent="0.2">
      <c r="B100" s="153">
        <v>4</v>
      </c>
      <c r="C100" s="357" t="s">
        <v>779</v>
      </c>
      <c r="D100" s="207"/>
      <c r="E100" s="199"/>
      <c r="F100" s="269"/>
      <c r="G100" s="270"/>
    </row>
    <row r="101" spans="2:8" ht="60" x14ac:dyDescent="0.2">
      <c r="B101" s="129"/>
      <c r="C101" s="197" t="s">
        <v>780</v>
      </c>
      <c r="D101" s="207" t="s">
        <v>98</v>
      </c>
      <c r="E101" s="199">
        <v>2</v>
      </c>
      <c r="F101" s="200">
        <v>0</v>
      </c>
      <c r="G101" s="270">
        <f>E101*F101</f>
        <v>0</v>
      </c>
    </row>
    <row r="102" spans="2:8" ht="60" x14ac:dyDescent="0.2">
      <c r="B102" s="129"/>
      <c r="C102" s="197" t="s">
        <v>781</v>
      </c>
      <c r="D102" s="207" t="s">
        <v>98</v>
      </c>
      <c r="E102" s="199">
        <v>2</v>
      </c>
      <c r="F102" s="200">
        <v>0</v>
      </c>
      <c r="G102" s="270">
        <f>E102*F102</f>
        <v>0</v>
      </c>
    </row>
    <row r="103" spans="2:8" ht="36" x14ac:dyDescent="0.2">
      <c r="B103" s="129"/>
      <c r="C103" s="197" t="s">
        <v>782</v>
      </c>
      <c r="D103" s="207" t="s">
        <v>123</v>
      </c>
      <c r="E103" s="199">
        <v>1</v>
      </c>
      <c r="F103" s="200">
        <v>0</v>
      </c>
      <c r="G103" s="270">
        <f>E103*F103</f>
        <v>0</v>
      </c>
    </row>
    <row r="104" spans="2:8" ht="132" x14ac:dyDescent="0.2">
      <c r="B104" s="129"/>
      <c r="C104" s="197" t="s">
        <v>508</v>
      </c>
      <c r="D104" s="207" t="s">
        <v>123</v>
      </c>
      <c r="E104" s="199">
        <v>1</v>
      </c>
      <c r="F104" s="200">
        <v>0</v>
      </c>
      <c r="G104" s="270">
        <f>E104*F104</f>
        <v>0</v>
      </c>
    </row>
    <row r="105" spans="2:8" ht="96" x14ac:dyDescent="0.2">
      <c r="B105" s="129"/>
      <c r="C105" s="197" t="s">
        <v>783</v>
      </c>
      <c r="D105" s="207" t="s">
        <v>123</v>
      </c>
      <c r="E105" s="199">
        <v>1</v>
      </c>
      <c r="F105" s="200">
        <v>0</v>
      </c>
      <c r="G105" s="270">
        <f>E105*F105</f>
        <v>0</v>
      </c>
    </row>
    <row r="106" spans="2:8" x14ac:dyDescent="0.2">
      <c r="B106" s="153">
        <v>5</v>
      </c>
      <c r="C106" s="357" t="s">
        <v>784</v>
      </c>
      <c r="D106" s="207"/>
      <c r="E106" s="199"/>
      <c r="F106" s="269"/>
      <c r="G106" s="270"/>
    </row>
    <row r="107" spans="2:8" x14ac:dyDescent="0.2">
      <c r="B107" s="153"/>
      <c r="C107" s="311" t="s">
        <v>645</v>
      </c>
      <c r="D107" s="207" t="s">
        <v>644</v>
      </c>
      <c r="E107" s="199">
        <v>15</v>
      </c>
      <c r="F107" s="269">
        <v>0</v>
      </c>
      <c r="G107" s="270">
        <f t="shared" ref="G107:G114" si="5">E107*F107</f>
        <v>0</v>
      </c>
    </row>
    <row r="108" spans="2:8" x14ac:dyDescent="0.2">
      <c r="B108" s="153"/>
      <c r="C108" s="311" t="s">
        <v>646</v>
      </c>
      <c r="D108" s="207" t="s">
        <v>644</v>
      </c>
      <c r="E108" s="199">
        <v>50</v>
      </c>
      <c r="F108" s="269">
        <v>0</v>
      </c>
      <c r="G108" s="270">
        <f t="shared" si="5"/>
        <v>0</v>
      </c>
      <c r="H108" s="122"/>
    </row>
    <row r="109" spans="2:8" x14ac:dyDescent="0.2">
      <c r="B109" s="153"/>
      <c r="C109" s="311" t="s">
        <v>647</v>
      </c>
      <c r="D109" s="207" t="s">
        <v>644</v>
      </c>
      <c r="E109" s="199">
        <v>25</v>
      </c>
      <c r="F109" s="269">
        <v>0</v>
      </c>
      <c r="G109" s="270">
        <f t="shared" si="5"/>
        <v>0</v>
      </c>
      <c r="H109" s="122"/>
    </row>
    <row r="110" spans="2:8" x14ac:dyDescent="0.2">
      <c r="B110" s="153"/>
      <c r="C110" s="311" t="s">
        <v>648</v>
      </c>
      <c r="D110" s="207" t="s">
        <v>644</v>
      </c>
      <c r="E110" s="199">
        <v>15</v>
      </c>
      <c r="F110" s="269">
        <v>0</v>
      </c>
      <c r="G110" s="270">
        <f t="shared" si="5"/>
        <v>0</v>
      </c>
      <c r="H110" s="122"/>
    </row>
    <row r="111" spans="2:8" x14ac:dyDescent="0.2">
      <c r="B111" s="153"/>
      <c r="C111" s="311" t="s">
        <v>650</v>
      </c>
      <c r="D111" s="207" t="s">
        <v>123</v>
      </c>
      <c r="E111" s="199">
        <v>2</v>
      </c>
      <c r="F111" s="269">
        <v>0</v>
      </c>
      <c r="G111" s="270">
        <f t="shared" si="5"/>
        <v>0</v>
      </c>
      <c r="H111" s="122"/>
    </row>
    <row r="112" spans="2:8" x14ac:dyDescent="0.2">
      <c r="B112" s="153"/>
      <c r="C112" s="311" t="s">
        <v>651</v>
      </c>
      <c r="D112" s="207" t="s">
        <v>644</v>
      </c>
      <c r="E112" s="199">
        <v>20</v>
      </c>
      <c r="F112" s="269">
        <v>0</v>
      </c>
      <c r="G112" s="270">
        <f t="shared" si="5"/>
        <v>0</v>
      </c>
      <c r="H112" s="122"/>
    </row>
    <row r="113" spans="2:8" x14ac:dyDescent="0.2">
      <c r="B113" s="153"/>
      <c r="C113" s="311" t="s">
        <v>652</v>
      </c>
      <c r="D113" s="207" t="s">
        <v>644</v>
      </c>
      <c r="E113" s="199">
        <v>15</v>
      </c>
      <c r="F113" s="269">
        <v>0</v>
      </c>
      <c r="G113" s="270">
        <f t="shared" si="5"/>
        <v>0</v>
      </c>
      <c r="H113" s="122"/>
    </row>
    <row r="114" spans="2:8" x14ac:dyDescent="0.2">
      <c r="B114" s="129"/>
      <c r="C114" s="311" t="s">
        <v>632</v>
      </c>
      <c r="D114" s="207" t="s">
        <v>98</v>
      </c>
      <c r="E114" s="199">
        <v>1</v>
      </c>
      <c r="F114" s="269">
        <v>0</v>
      </c>
      <c r="G114" s="270">
        <f t="shared" si="5"/>
        <v>0</v>
      </c>
      <c r="H114" s="122"/>
    </row>
    <row r="115" spans="2:8" s="11" customFormat="1" x14ac:dyDescent="0.2">
      <c r="B115" s="59">
        <v>6</v>
      </c>
      <c r="C115" s="357" t="s">
        <v>785</v>
      </c>
      <c r="D115" s="15"/>
      <c r="E115" s="419"/>
      <c r="F115" s="14"/>
      <c r="G115" s="13"/>
      <c r="H115" s="12"/>
    </row>
    <row r="116" spans="2:8" s="11" customFormat="1" ht="24" x14ac:dyDescent="0.2">
      <c r="B116" s="59"/>
      <c r="C116" s="311" t="s">
        <v>666</v>
      </c>
      <c r="D116" s="207" t="s">
        <v>644</v>
      </c>
      <c r="E116" s="199">
        <v>8</v>
      </c>
      <c r="F116" s="269">
        <v>0</v>
      </c>
      <c r="G116" s="270">
        <f t="shared" ref="G116:G122" si="6">E116*F116</f>
        <v>0</v>
      </c>
      <c r="H116" s="12"/>
    </row>
    <row r="117" spans="2:8" s="11" customFormat="1" x14ac:dyDescent="0.2">
      <c r="B117" s="59"/>
      <c r="C117" s="311" t="s">
        <v>667</v>
      </c>
      <c r="D117" s="207" t="s">
        <v>644</v>
      </c>
      <c r="E117" s="199">
        <v>50</v>
      </c>
      <c r="F117" s="269">
        <v>0</v>
      </c>
      <c r="G117" s="270">
        <f t="shared" si="6"/>
        <v>0</v>
      </c>
      <c r="H117" s="12"/>
    </row>
    <row r="118" spans="2:8" s="11" customFormat="1" x14ac:dyDescent="0.2">
      <c r="B118" s="59"/>
      <c r="C118" s="311" t="s">
        <v>668</v>
      </c>
      <c r="D118" s="207" t="s">
        <v>644</v>
      </c>
      <c r="E118" s="199">
        <v>20</v>
      </c>
      <c r="F118" s="269">
        <v>0</v>
      </c>
      <c r="G118" s="270">
        <f t="shared" si="6"/>
        <v>0</v>
      </c>
      <c r="H118" s="12"/>
    </row>
    <row r="119" spans="2:8" s="11" customFormat="1" x14ac:dyDescent="0.2">
      <c r="B119" s="59"/>
      <c r="C119" s="311" t="s">
        <v>673</v>
      </c>
      <c r="D119" s="207" t="s">
        <v>123</v>
      </c>
      <c r="E119" s="199">
        <v>1</v>
      </c>
      <c r="F119" s="269">
        <v>0</v>
      </c>
      <c r="G119" s="270">
        <f t="shared" si="6"/>
        <v>0</v>
      </c>
      <c r="H119" s="12"/>
    </row>
    <row r="120" spans="2:8" s="11" customFormat="1" x14ac:dyDescent="0.2">
      <c r="B120" s="59"/>
      <c r="C120" s="311" t="s">
        <v>675</v>
      </c>
      <c r="D120" s="207" t="s">
        <v>123</v>
      </c>
      <c r="E120" s="199">
        <v>3</v>
      </c>
      <c r="F120" s="269">
        <v>0</v>
      </c>
      <c r="G120" s="270">
        <f t="shared" si="6"/>
        <v>0</v>
      </c>
      <c r="H120" s="12"/>
    </row>
    <row r="121" spans="2:8" s="11" customFormat="1" x14ac:dyDescent="0.2">
      <c r="B121" s="59"/>
      <c r="C121" s="311" t="s">
        <v>676</v>
      </c>
      <c r="D121" s="207" t="s">
        <v>123</v>
      </c>
      <c r="E121" s="199">
        <v>2</v>
      </c>
      <c r="F121" s="269">
        <v>0</v>
      </c>
      <c r="G121" s="270">
        <f t="shared" si="6"/>
        <v>0</v>
      </c>
      <c r="H121" s="12"/>
    </row>
    <row r="122" spans="2:8" s="11" customFormat="1" ht="24" x14ac:dyDescent="0.2">
      <c r="B122" s="59"/>
      <c r="C122" s="311" t="s">
        <v>677</v>
      </c>
      <c r="D122" s="207" t="s">
        <v>123</v>
      </c>
      <c r="E122" s="199">
        <v>1</v>
      </c>
      <c r="F122" s="269">
        <v>0</v>
      </c>
      <c r="G122" s="270">
        <f t="shared" si="6"/>
        <v>0</v>
      </c>
      <c r="H122" s="12"/>
    </row>
    <row r="123" spans="2:8" x14ac:dyDescent="0.2">
      <c r="B123" s="153">
        <v>6</v>
      </c>
      <c r="C123" s="357" t="s">
        <v>788</v>
      </c>
      <c r="D123" s="207"/>
      <c r="E123" s="199"/>
      <c r="F123" s="269"/>
      <c r="G123" s="270"/>
      <c r="H123" s="122"/>
    </row>
    <row r="124" spans="2:8" x14ac:dyDescent="0.2">
      <c r="B124" s="153"/>
      <c r="C124" s="197" t="s">
        <v>655</v>
      </c>
      <c r="D124" s="207" t="s">
        <v>644</v>
      </c>
      <c r="E124" s="199">
        <v>10</v>
      </c>
      <c r="F124" s="200">
        <v>0</v>
      </c>
      <c r="G124" s="270">
        <f>E124*F124</f>
        <v>0</v>
      </c>
    </row>
    <row r="125" spans="2:8" ht="36" x14ac:dyDescent="0.2">
      <c r="B125" s="153"/>
      <c r="C125" s="197" t="s">
        <v>656</v>
      </c>
      <c r="D125" s="207" t="s">
        <v>98</v>
      </c>
      <c r="E125" s="199">
        <v>1</v>
      </c>
      <c r="F125" s="200">
        <v>0</v>
      </c>
      <c r="G125" s="270">
        <f>E125*F125</f>
        <v>0</v>
      </c>
    </row>
    <row r="126" spans="2:8" ht="24" x14ac:dyDescent="0.2">
      <c r="B126" s="153"/>
      <c r="C126" s="197" t="s">
        <v>657</v>
      </c>
      <c r="D126" s="207" t="s">
        <v>98</v>
      </c>
      <c r="E126" s="199">
        <v>1</v>
      </c>
      <c r="F126" s="200">
        <v>0</v>
      </c>
      <c r="G126" s="270">
        <f>E126*F126</f>
        <v>0</v>
      </c>
    </row>
    <row r="127" spans="2:8" x14ac:dyDescent="0.2">
      <c r="B127" s="129"/>
      <c r="C127" s="197" t="s">
        <v>663</v>
      </c>
      <c r="D127" s="207" t="s">
        <v>98</v>
      </c>
      <c r="E127" s="199">
        <v>1</v>
      </c>
      <c r="F127" s="200">
        <v>0</v>
      </c>
      <c r="G127" s="270">
        <f>E127*F127</f>
        <v>0</v>
      </c>
    </row>
    <row r="128" spans="2:8" x14ac:dyDescent="0.2">
      <c r="B128" s="153">
        <v>7</v>
      </c>
      <c r="C128" s="357" t="s">
        <v>679</v>
      </c>
      <c r="D128" s="207"/>
      <c r="E128" s="199"/>
      <c r="F128" s="269"/>
      <c r="G128" s="270"/>
    </row>
    <row r="129" spans="2:7" ht="48" x14ac:dyDescent="0.2">
      <c r="B129" s="129"/>
      <c r="C129" s="197" t="s">
        <v>789</v>
      </c>
      <c r="D129" s="207" t="s">
        <v>98</v>
      </c>
      <c r="E129" s="199">
        <v>1</v>
      </c>
      <c r="F129" s="200">
        <v>0</v>
      </c>
      <c r="G129" s="270">
        <f>E129*F129</f>
        <v>0</v>
      </c>
    </row>
    <row r="130" spans="2:7" ht="36" x14ac:dyDescent="0.2">
      <c r="B130" s="129"/>
      <c r="C130" s="197" t="s">
        <v>790</v>
      </c>
      <c r="D130" s="207" t="s">
        <v>98</v>
      </c>
      <c r="E130" s="199">
        <v>1</v>
      </c>
      <c r="F130" s="200">
        <v>0</v>
      </c>
      <c r="G130" s="270">
        <f>E130*F130</f>
        <v>0</v>
      </c>
    </row>
    <row r="131" spans="2:7" ht="36" x14ac:dyDescent="0.2">
      <c r="B131" s="129"/>
      <c r="C131" s="197" t="s">
        <v>791</v>
      </c>
      <c r="D131" s="207" t="s">
        <v>98</v>
      </c>
      <c r="E131" s="199">
        <v>1</v>
      </c>
      <c r="F131" s="200">
        <v>0</v>
      </c>
      <c r="G131" s="270">
        <f>E131*F131</f>
        <v>0</v>
      </c>
    </row>
    <row r="132" spans="2:7" ht="36" x14ac:dyDescent="0.2">
      <c r="B132" s="129"/>
      <c r="C132" s="197" t="s">
        <v>792</v>
      </c>
      <c r="D132" s="207" t="s">
        <v>98</v>
      </c>
      <c r="E132" s="199">
        <v>1</v>
      </c>
      <c r="F132" s="200">
        <v>0</v>
      </c>
      <c r="G132" s="270">
        <f>E132*F132</f>
        <v>0</v>
      </c>
    </row>
    <row r="133" spans="2:7" x14ac:dyDescent="0.2">
      <c r="B133" s="293" t="s">
        <v>18</v>
      </c>
      <c r="C133" s="294" t="s">
        <v>794</v>
      </c>
      <c r="D133" s="218"/>
      <c r="E133" s="203"/>
      <c r="F133" s="204"/>
      <c r="G133" s="290">
        <f>SUM(G64:G132)</f>
        <v>0</v>
      </c>
    </row>
  </sheetData>
  <mergeCells count="8">
    <mergeCell ref="B27:G27"/>
    <mergeCell ref="B60:G60"/>
    <mergeCell ref="B61:G61"/>
    <mergeCell ref="B62:G62"/>
    <mergeCell ref="B56:G56"/>
    <mergeCell ref="B57:G57"/>
    <mergeCell ref="B58:G58"/>
    <mergeCell ref="B59:G59"/>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82E-A35F-42BD-86F6-7740DF55AF98}">
  <sheetPr codeName="Sheet48">
    <tabColor rgb="FFFFC000"/>
  </sheetPr>
  <dimension ref="B2:I28"/>
  <sheetViews>
    <sheetView showZeros="0" topLeftCell="A7" zoomScale="110" zoomScaleNormal="110" workbookViewId="0">
      <selection activeCell="G19" sqref="G19"/>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20"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9" ht="15.75" x14ac:dyDescent="0.2">
      <c r="B2" s="137"/>
      <c r="C2" s="354" t="s">
        <v>59</v>
      </c>
      <c r="D2" s="155"/>
      <c r="E2" s="156"/>
      <c r="F2" s="157"/>
      <c r="G2" s="355"/>
    </row>
    <row r="4" spans="2:9" x14ac:dyDescent="0.2">
      <c r="B4" s="143" t="s">
        <v>1</v>
      </c>
      <c r="C4" s="168"/>
      <c r="D4" s="170"/>
      <c r="E4" s="170"/>
      <c r="F4" s="170"/>
      <c r="G4" s="169"/>
    </row>
    <row r="5" spans="2:9" x14ac:dyDescent="0.2">
      <c r="B5" s="144" t="s">
        <v>2</v>
      </c>
      <c r="C5" s="171"/>
      <c r="D5" s="172"/>
      <c r="E5" s="173"/>
      <c r="F5" s="173"/>
      <c r="G5" s="172"/>
    </row>
    <row r="6" spans="2:9" x14ac:dyDescent="0.2">
      <c r="B6" s="143" t="s">
        <v>3</v>
      </c>
      <c r="C6" s="168"/>
      <c r="D6" s="170"/>
      <c r="E6" s="170"/>
      <c r="F6" s="170"/>
      <c r="G6" s="169"/>
    </row>
    <row r="7" spans="2:9" x14ac:dyDescent="0.2">
      <c r="B7" s="144" t="s">
        <v>4</v>
      </c>
      <c r="C7" s="171"/>
      <c r="D7" s="173"/>
      <c r="E7" s="173"/>
      <c r="F7" s="173"/>
      <c r="G7" s="172"/>
    </row>
    <row r="8" spans="2:9" x14ac:dyDescent="0.2">
      <c r="B8" s="142"/>
      <c r="C8" s="174"/>
      <c r="D8" s="175"/>
      <c r="E8" s="176"/>
      <c r="F8" s="177"/>
      <c r="G8" s="178"/>
    </row>
    <row r="9" spans="2:9" ht="22.5" customHeight="1" x14ac:dyDescent="0.2">
      <c r="B9" s="33"/>
      <c r="C9" s="32" t="s">
        <v>61</v>
      </c>
      <c r="D9" s="323"/>
      <c r="E9" s="324"/>
      <c r="F9" s="325"/>
      <c r="G9" s="2794" t="s">
        <v>64</v>
      </c>
    </row>
    <row r="10" spans="2:9" ht="22.5" customHeight="1" x14ac:dyDescent="0.2">
      <c r="B10" s="574" t="s">
        <v>6</v>
      </c>
      <c r="C10" s="575" t="s">
        <v>62</v>
      </c>
      <c r="D10" s="3179" t="s">
        <v>63</v>
      </c>
      <c r="E10" s="3179"/>
      <c r="F10" s="3180"/>
      <c r="G10" s="576" t="s">
        <v>2523</v>
      </c>
    </row>
    <row r="11" spans="2:9" ht="22.5" customHeight="1" x14ac:dyDescent="0.2">
      <c r="B11" s="1720"/>
      <c r="C11" s="2716" t="s">
        <v>65</v>
      </c>
      <c r="D11" s="2719"/>
      <c r="E11" s="2719"/>
      <c r="F11" s="2720"/>
      <c r="G11" s="1721"/>
    </row>
    <row r="12" spans="2:9" ht="22.5" customHeight="1" x14ac:dyDescent="0.2">
      <c r="B12" s="321" t="s">
        <v>8</v>
      </c>
      <c r="C12" s="322" t="s">
        <v>66</v>
      </c>
      <c r="D12" s="318"/>
      <c r="E12" s="319"/>
      <c r="F12" s="317"/>
      <c r="G12" s="1960">
        <f>'Cankova_VGG-transport'!G18</f>
        <v>0</v>
      </c>
      <c r="I12" s="1957"/>
    </row>
    <row r="13" spans="2:9" ht="22.5" customHeight="1" x14ac:dyDescent="0.2">
      <c r="B13" s="321" t="s">
        <v>15</v>
      </c>
      <c r="C13" s="322" t="s">
        <v>67</v>
      </c>
      <c r="D13" s="318"/>
      <c r="E13" s="319"/>
      <c r="F13" s="317"/>
      <c r="G13" s="1960">
        <f>Cankova_VKS!G18</f>
        <v>0</v>
      </c>
    </row>
    <row r="14" spans="2:9" ht="22.5" customHeight="1" x14ac:dyDescent="0.2">
      <c r="B14" s="321" t="s">
        <v>20</v>
      </c>
      <c r="C14" s="322" t="s">
        <v>2512</v>
      </c>
      <c r="D14" s="318"/>
      <c r="E14" s="319"/>
      <c r="F14" s="317"/>
      <c r="G14" s="1960">
        <f>+'Cankova_ČRP Gerlinci'!G18</f>
        <v>0</v>
      </c>
    </row>
    <row r="15" spans="2:9" ht="22.5" customHeight="1" x14ac:dyDescent="0.2">
      <c r="B15" s="321" t="s">
        <v>24</v>
      </c>
      <c r="C15" s="322" t="s">
        <v>68</v>
      </c>
      <c r="D15" s="318"/>
      <c r="E15" s="319"/>
      <c r="F15" s="317"/>
      <c r="G15" s="1960">
        <f>+'Cankova_RT-6'!G19</f>
        <v>0</v>
      </c>
    </row>
    <row r="16" spans="2:9" ht="22.5" customHeight="1" x14ac:dyDescent="0.2">
      <c r="B16" s="321" t="s">
        <v>29</v>
      </c>
      <c r="C16" s="322" t="s">
        <v>69</v>
      </c>
      <c r="D16" s="318"/>
      <c r="E16" s="319"/>
      <c r="F16" s="317"/>
      <c r="G16" s="1960">
        <f>+'Cankova_VH Krašči'!G18</f>
        <v>0</v>
      </c>
    </row>
    <row r="17" spans="2:9" ht="22.5" customHeight="1" x14ac:dyDescent="0.2">
      <c r="B17" s="2716"/>
      <c r="C17" s="3176" t="s">
        <v>70</v>
      </c>
      <c r="D17" s="3177"/>
      <c r="E17" s="3177"/>
      <c r="F17" s="3178"/>
      <c r="G17" s="2792">
        <f>SUM(G12:G16)</f>
        <v>0</v>
      </c>
    </row>
    <row r="18" spans="2:9" ht="22.5" customHeight="1" x14ac:dyDescent="0.2">
      <c r="B18" s="2716"/>
      <c r="C18" s="3175" t="s">
        <v>71</v>
      </c>
      <c r="D18" s="3170"/>
      <c r="E18" s="3170"/>
      <c r="F18" s="3171"/>
      <c r="G18" s="2848"/>
    </row>
    <row r="19" spans="2:9" ht="22.5" customHeight="1" x14ac:dyDescent="0.2">
      <c r="B19" s="321" t="s">
        <v>8</v>
      </c>
      <c r="C19" s="322" t="s">
        <v>72</v>
      </c>
      <c r="D19" s="318"/>
      <c r="E19" s="319"/>
      <c r="F19" s="317"/>
      <c r="G19" s="2849">
        <f>+'Cankova_ČRP Domajinci'!G16</f>
        <v>0</v>
      </c>
    </row>
    <row r="20" spans="2:9" ht="22.5" customHeight="1" x14ac:dyDescent="0.2">
      <c r="B20" s="321" t="s">
        <v>15</v>
      </c>
      <c r="C20" s="322" t="s">
        <v>2513</v>
      </c>
      <c r="D20" s="318"/>
      <c r="E20" s="319"/>
      <c r="F20" s="317"/>
      <c r="G20" s="2849">
        <f>+'Cankova_ČRP G.Črnci (Romi)'!G16</f>
        <v>0</v>
      </c>
    </row>
    <row r="21" spans="2:9" ht="22.5" customHeight="1" x14ac:dyDescent="0.2">
      <c r="B21" s="2716"/>
      <c r="C21" s="3176" t="s">
        <v>73</v>
      </c>
      <c r="D21" s="3177"/>
      <c r="E21" s="3177"/>
      <c r="F21" s="3178"/>
      <c r="G21" s="2850">
        <f>SUM(G19:G20)</f>
        <v>0</v>
      </c>
    </row>
    <row r="22" spans="2:9" ht="22.5" customHeight="1" x14ac:dyDescent="0.2">
      <c r="B22" s="2716"/>
      <c r="C22" s="3175" t="s">
        <v>74</v>
      </c>
      <c r="D22" s="3170"/>
      <c r="E22" s="3170"/>
      <c r="F22" s="3171"/>
      <c r="G22" s="2851"/>
    </row>
    <row r="23" spans="2:9" ht="22.5" customHeight="1" x14ac:dyDescent="0.2">
      <c r="B23" s="321" t="s">
        <v>8</v>
      </c>
      <c r="C23" s="322" t="s">
        <v>75</v>
      </c>
      <c r="D23" s="318"/>
      <c r="E23" s="319"/>
      <c r="F23" s="317"/>
      <c r="G23" s="1960">
        <f>+'Cankova_VGG-sekundar'!G18</f>
        <v>0</v>
      </c>
    </row>
    <row r="24" spans="2:9" ht="22.5" customHeight="1" x14ac:dyDescent="0.2">
      <c r="B24" s="321" t="s">
        <v>15</v>
      </c>
      <c r="C24" s="322" t="s">
        <v>76</v>
      </c>
      <c r="D24" s="318"/>
      <c r="E24" s="319"/>
      <c r="F24" s="317"/>
      <c r="G24" s="1960">
        <f>+'Cankova_SC-1'!G18</f>
        <v>0</v>
      </c>
    </row>
    <row r="25" spans="2:9" ht="22.5" customHeight="1" x14ac:dyDescent="0.2">
      <c r="B25" s="321" t="s">
        <v>20</v>
      </c>
      <c r="C25" s="322" t="s">
        <v>77</v>
      </c>
      <c r="D25" s="318"/>
      <c r="E25" s="319"/>
      <c r="F25" s="317"/>
      <c r="G25" s="1960">
        <f>+'Cankova_VKS-1'!G18</f>
        <v>0</v>
      </c>
    </row>
    <row r="26" spans="2:9" ht="22.5" customHeight="1" x14ac:dyDescent="0.2">
      <c r="B26" s="2716"/>
      <c r="C26" s="3176" t="s">
        <v>78</v>
      </c>
      <c r="D26" s="3177"/>
      <c r="E26" s="3177"/>
      <c r="F26" s="3178"/>
      <c r="G26" s="2792">
        <f>SUM(G23:G25)</f>
        <v>0</v>
      </c>
    </row>
    <row r="27" spans="2:9" ht="22.5" customHeight="1" x14ac:dyDescent="0.2">
      <c r="B27" s="1730"/>
      <c r="C27" s="326" t="s">
        <v>79</v>
      </c>
      <c r="D27" s="323"/>
      <c r="E27" s="324"/>
      <c r="F27" s="325"/>
      <c r="G27" s="1725">
        <f>G17+G21+G26</f>
        <v>0</v>
      </c>
      <c r="I27" s="577"/>
    </row>
    <row r="28" spans="2:9" x14ac:dyDescent="0.2">
      <c r="G28" s="1723"/>
    </row>
  </sheetData>
  <mergeCells count="6">
    <mergeCell ref="C26:F26"/>
    <mergeCell ref="D10:F10"/>
    <mergeCell ref="C17:F17"/>
    <mergeCell ref="C21:F21"/>
    <mergeCell ref="C18:F18"/>
    <mergeCell ref="C22:F22"/>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AD6A4-90DB-4B7F-B2CF-B3FA74C2B60F}">
  <sheetPr codeName="Sheet8">
    <tabColor rgb="FFFFFF00"/>
  </sheetPr>
  <dimension ref="A2:L134"/>
  <sheetViews>
    <sheetView showZeros="0" topLeftCell="A49" zoomScale="110" zoomScaleNormal="110" workbookViewId="0">
      <selection activeCell="B62" sqref="B62:G62"/>
    </sheetView>
  </sheetViews>
  <sheetFormatPr defaultColWidth="10.42578125" defaultRowHeight="12.75" x14ac:dyDescent="0.2"/>
  <cols>
    <col min="1" max="1" width="4.42578125" style="1" customWidth="1"/>
    <col min="2" max="2" width="7.42578125" style="8" customWidth="1"/>
    <col min="3" max="3" width="53.140625" style="7" customWidth="1"/>
    <col min="4" max="4" width="10.42578125" style="6" customWidth="1"/>
    <col min="5" max="5" width="9.28515625" style="5" customWidth="1"/>
    <col min="6" max="6" width="12.140625" style="4" customWidth="1"/>
    <col min="7" max="7" width="14.285156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869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959</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G52</f>
        <v>0</v>
      </c>
      <c r="H15" s="18"/>
      <c r="I15" s="331"/>
      <c r="J15" s="331"/>
      <c r="K15" s="331"/>
      <c r="L15" s="331"/>
    </row>
    <row r="16" spans="1:12" s="17" customFormat="1" ht="18.75" customHeight="1" x14ac:dyDescent="0.25">
      <c r="A16" s="331"/>
      <c r="B16" s="332" t="s">
        <v>18</v>
      </c>
      <c r="C16" s="340" t="s">
        <v>367</v>
      </c>
      <c r="D16" s="341"/>
      <c r="E16" s="342"/>
      <c r="F16" s="58"/>
      <c r="G16" s="20">
        <f>G134</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20" spans="1:8" ht="24" x14ac:dyDescent="0.2">
      <c r="A20" s="121"/>
      <c r="B20" s="128" t="s">
        <v>83</v>
      </c>
      <c r="C20" s="192" t="s">
        <v>89</v>
      </c>
      <c r="D20" s="192" t="s">
        <v>90</v>
      </c>
      <c r="E20" s="194" t="s">
        <v>91</v>
      </c>
      <c r="F20" s="195" t="s">
        <v>92</v>
      </c>
      <c r="G20" s="196" t="s">
        <v>93</v>
      </c>
      <c r="H20" s="122"/>
    </row>
    <row r="21" spans="1:8" x14ac:dyDescent="0.2">
      <c r="A21" s="121"/>
      <c r="B21" s="129"/>
      <c r="C21" s="197"/>
      <c r="D21" s="207"/>
      <c r="E21" s="199"/>
      <c r="F21" s="200"/>
      <c r="G21" s="201"/>
      <c r="H21" s="122"/>
    </row>
    <row r="22" spans="1:8" s="16" customFormat="1" ht="20.25" x14ac:dyDescent="0.3">
      <c r="A22" s="295"/>
      <c r="B22" s="296" t="s">
        <v>17</v>
      </c>
      <c r="C22" s="297" t="s">
        <v>158</v>
      </c>
      <c r="D22" s="298"/>
      <c r="E22" s="299"/>
      <c r="F22" s="300"/>
      <c r="G22" s="301"/>
      <c r="H22" s="302"/>
    </row>
    <row r="23" spans="1:8" s="24" customFormat="1" ht="18" customHeight="1" x14ac:dyDescent="0.2">
      <c r="A23" s="140"/>
      <c r="B23" s="143" t="s">
        <v>1</v>
      </c>
      <c r="C23" s="168"/>
      <c r="D23" s="170"/>
      <c r="E23" s="170"/>
      <c r="F23" s="170"/>
      <c r="G23" s="169"/>
      <c r="H23" s="139"/>
    </row>
    <row r="24" spans="1:8" s="24" customFormat="1" ht="18" customHeight="1" x14ac:dyDescent="0.25">
      <c r="A24" s="141"/>
      <c r="B24" s="144" t="s">
        <v>2</v>
      </c>
      <c r="C24" s="171"/>
      <c r="D24" s="172"/>
      <c r="E24" s="173"/>
      <c r="F24" s="173"/>
      <c r="G24" s="172"/>
      <c r="H24" s="139"/>
    </row>
    <row r="25" spans="1:8" s="24" customFormat="1" ht="18" customHeight="1" x14ac:dyDescent="0.2">
      <c r="A25" s="140"/>
      <c r="B25" s="143" t="s">
        <v>3</v>
      </c>
      <c r="C25" s="168"/>
      <c r="D25" s="170"/>
      <c r="E25" s="170"/>
      <c r="F25" s="170"/>
      <c r="G25" s="169"/>
      <c r="H25" s="139"/>
    </row>
    <row r="26" spans="1:8" s="24" customFormat="1" ht="18" customHeight="1" x14ac:dyDescent="0.25">
      <c r="A26" s="141"/>
      <c r="B26" s="144" t="s">
        <v>4</v>
      </c>
      <c r="C26" s="171"/>
      <c r="D26" s="173"/>
      <c r="E26" s="173"/>
      <c r="F26" s="173"/>
      <c r="G26" s="172"/>
      <c r="H26" s="139"/>
    </row>
    <row r="27" spans="1:8" s="43" customFormat="1" ht="18.75" customHeight="1" x14ac:dyDescent="0.2">
      <c r="A27" s="130"/>
      <c r="B27" s="3184" t="s">
        <v>159</v>
      </c>
      <c r="C27" s="3185"/>
      <c r="D27" s="3185"/>
      <c r="E27" s="3185"/>
      <c r="F27" s="3185"/>
      <c r="G27" s="3186"/>
      <c r="H27" s="122"/>
    </row>
    <row r="28" spans="1:8" ht="41.25" customHeight="1" x14ac:dyDescent="0.2">
      <c r="A28" s="121"/>
      <c r="B28" s="309" t="s">
        <v>173</v>
      </c>
      <c r="C28" s="227" t="s">
        <v>174</v>
      </c>
      <c r="D28" s="209" t="s">
        <v>98</v>
      </c>
      <c r="E28" s="228">
        <v>1</v>
      </c>
      <c r="F28" s="269">
        <v>0</v>
      </c>
      <c r="G28" s="270">
        <f>E28*F28</f>
        <v>0</v>
      </c>
      <c r="H28" s="122"/>
    </row>
    <row r="29" spans="1:8" ht="27" customHeight="1" x14ac:dyDescent="0.2">
      <c r="A29" s="121"/>
      <c r="B29" s="309" t="s">
        <v>175</v>
      </c>
      <c r="C29" s="227" t="s">
        <v>176</v>
      </c>
      <c r="D29" s="209" t="s">
        <v>98</v>
      </c>
      <c r="E29" s="228">
        <v>1</v>
      </c>
      <c r="F29" s="269">
        <v>0</v>
      </c>
      <c r="G29" s="270">
        <f>E29*F29</f>
        <v>0</v>
      </c>
      <c r="H29" s="122"/>
    </row>
    <row r="30" spans="1:8" ht="39" customHeight="1" x14ac:dyDescent="0.2">
      <c r="A30" s="121"/>
      <c r="B30" s="309" t="s">
        <v>177</v>
      </c>
      <c r="C30" s="227" t="s">
        <v>178</v>
      </c>
      <c r="D30" s="209" t="s">
        <v>98</v>
      </c>
      <c r="E30" s="228">
        <v>1</v>
      </c>
      <c r="F30" s="269">
        <v>0</v>
      </c>
      <c r="G30" s="270">
        <f>E30*F30</f>
        <v>0</v>
      </c>
      <c r="H30" s="122"/>
    </row>
    <row r="31" spans="1:8" ht="27.75" customHeight="1" x14ac:dyDescent="0.2">
      <c r="A31" s="121"/>
      <c r="B31" s="153">
        <v>3</v>
      </c>
      <c r="C31" s="229" t="s">
        <v>179</v>
      </c>
      <c r="D31" s="198"/>
      <c r="E31" s="199"/>
      <c r="F31" s="269"/>
      <c r="G31" s="201"/>
      <c r="H31" s="122"/>
    </row>
    <row r="32" spans="1:8" s="34" customFormat="1" ht="14.25" customHeight="1" x14ac:dyDescent="0.2">
      <c r="A32" s="136"/>
      <c r="B32" s="292" t="s">
        <v>897</v>
      </c>
      <c r="C32" s="46"/>
      <c r="D32" s="198"/>
      <c r="E32" s="348"/>
      <c r="F32" s="351"/>
      <c r="G32" s="352"/>
      <c r="H32" s="122"/>
    </row>
    <row r="33" spans="2:8" s="34" customFormat="1" ht="14.25" customHeight="1" x14ac:dyDescent="0.2">
      <c r="B33" s="135"/>
      <c r="C33" s="217" t="s">
        <v>951</v>
      </c>
      <c r="D33" s="198" t="s">
        <v>149</v>
      </c>
      <c r="E33" s="348">
        <v>3</v>
      </c>
      <c r="F33" s="351">
        <v>0</v>
      </c>
      <c r="G33" s="352">
        <f t="shared" ref="G33:G40" si="0">E33*F33</f>
        <v>0</v>
      </c>
      <c r="H33" s="122"/>
    </row>
    <row r="34" spans="2:8" s="34" customFormat="1" ht="14.25" customHeight="1" x14ac:dyDescent="0.2">
      <c r="B34" s="135"/>
      <c r="C34" s="217" t="s">
        <v>952</v>
      </c>
      <c r="D34" s="198" t="s">
        <v>149</v>
      </c>
      <c r="E34" s="348">
        <v>2</v>
      </c>
      <c r="F34" s="351">
        <v>0</v>
      </c>
      <c r="G34" s="352">
        <f t="shared" si="0"/>
        <v>0</v>
      </c>
      <c r="H34" s="122"/>
    </row>
    <row r="35" spans="2:8" s="34" customFormat="1" ht="14.25" customHeight="1" x14ac:dyDescent="0.2">
      <c r="B35" s="135"/>
      <c r="C35" s="217" t="s">
        <v>953</v>
      </c>
      <c r="D35" s="198" t="s">
        <v>149</v>
      </c>
      <c r="E35" s="348">
        <v>2</v>
      </c>
      <c r="F35" s="351">
        <v>0</v>
      </c>
      <c r="G35" s="352">
        <f t="shared" si="0"/>
        <v>0</v>
      </c>
      <c r="H35" s="122"/>
    </row>
    <row r="36" spans="2:8" s="34" customFormat="1" ht="14.25" customHeight="1" x14ac:dyDescent="0.2">
      <c r="B36" s="135"/>
      <c r="C36" s="217" t="s">
        <v>954</v>
      </c>
      <c r="D36" s="198" t="s">
        <v>149</v>
      </c>
      <c r="E36" s="348">
        <v>2</v>
      </c>
      <c r="F36" s="351">
        <v>0</v>
      </c>
      <c r="G36" s="352">
        <f t="shared" si="0"/>
        <v>0</v>
      </c>
      <c r="H36" s="122"/>
    </row>
    <row r="37" spans="2:8" s="34" customFormat="1" ht="14.25" customHeight="1" x14ac:dyDescent="0.2">
      <c r="B37" s="135"/>
      <c r="C37" s="217" t="s">
        <v>901</v>
      </c>
      <c r="D37" s="198" t="s">
        <v>149</v>
      </c>
      <c r="E37" s="348">
        <v>120</v>
      </c>
      <c r="F37" s="351">
        <v>0</v>
      </c>
      <c r="G37" s="352">
        <f t="shared" si="0"/>
        <v>0</v>
      </c>
      <c r="H37" s="122"/>
    </row>
    <row r="38" spans="2:8" s="34" customFormat="1" ht="14.25" customHeight="1" x14ac:dyDescent="0.2">
      <c r="B38" s="135"/>
      <c r="C38" s="217" t="s">
        <v>916</v>
      </c>
      <c r="D38" s="198" t="s">
        <v>149</v>
      </c>
      <c r="E38" s="348">
        <v>15</v>
      </c>
      <c r="F38" s="351">
        <v>0</v>
      </c>
      <c r="G38" s="352">
        <f t="shared" si="0"/>
        <v>0</v>
      </c>
      <c r="H38" s="122"/>
    </row>
    <row r="39" spans="2:8" s="34" customFormat="1" ht="14.25" customHeight="1" x14ac:dyDescent="0.2">
      <c r="B39" s="135"/>
      <c r="C39" s="217" t="s">
        <v>955</v>
      </c>
      <c r="D39" s="198" t="s">
        <v>149</v>
      </c>
      <c r="E39" s="348">
        <v>2</v>
      </c>
      <c r="F39" s="351">
        <v>0</v>
      </c>
      <c r="G39" s="352">
        <f t="shared" si="0"/>
        <v>0</v>
      </c>
      <c r="H39" s="122"/>
    </row>
    <row r="40" spans="2:8" s="34" customFormat="1" ht="14.25" customHeight="1" x14ac:dyDescent="0.2">
      <c r="B40" s="135"/>
      <c r="C40" s="217" t="s">
        <v>956</v>
      </c>
      <c r="D40" s="198" t="s">
        <v>149</v>
      </c>
      <c r="E40" s="348">
        <v>2</v>
      </c>
      <c r="F40" s="351">
        <v>0</v>
      </c>
      <c r="G40" s="352">
        <f t="shared" si="0"/>
        <v>0</v>
      </c>
      <c r="H40" s="122"/>
    </row>
    <row r="41" spans="2:8" s="34" customFormat="1" ht="14.25" customHeight="1" x14ac:dyDescent="0.2">
      <c r="B41" s="135"/>
      <c r="C41" s="217" t="s">
        <v>957</v>
      </c>
      <c r="D41" s="198" t="s">
        <v>149</v>
      </c>
      <c r="E41" s="348">
        <v>1</v>
      </c>
      <c r="F41" s="351">
        <v>0</v>
      </c>
      <c r="G41" s="352">
        <f>E41*F41</f>
        <v>0</v>
      </c>
      <c r="H41" s="122"/>
    </row>
    <row r="42" spans="2:8" s="34" customFormat="1" ht="94.5" customHeight="1" x14ac:dyDescent="0.2">
      <c r="B42" s="135"/>
      <c r="C42" s="217" t="s">
        <v>533</v>
      </c>
      <c r="D42" s="198" t="s">
        <v>149</v>
      </c>
      <c r="E42" s="348">
        <v>1</v>
      </c>
      <c r="F42" s="351">
        <v>0</v>
      </c>
      <c r="G42" s="352">
        <f>E42*F42</f>
        <v>0</v>
      </c>
      <c r="H42" s="122"/>
    </row>
    <row r="43" spans="2:8" s="34" customFormat="1" ht="15.75" customHeight="1" x14ac:dyDescent="0.2">
      <c r="B43" s="292" t="s">
        <v>917</v>
      </c>
      <c r="C43" s="57" t="s">
        <v>910</v>
      </c>
      <c r="D43" s="56"/>
      <c r="E43" s="55"/>
      <c r="F43" s="54"/>
      <c r="G43" s="53"/>
      <c r="H43" s="122"/>
    </row>
    <row r="44" spans="2:8" s="136" customFormat="1" ht="96" customHeight="1" x14ac:dyDescent="0.2">
      <c r="B44" s="2731"/>
      <c r="C44" s="2732"/>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96" customHeight="1" x14ac:dyDescent="0.2">
      <c r="B49" s="2737"/>
      <c r="C49" s="2738"/>
      <c r="D49" s="2733"/>
      <c r="E49" s="2734"/>
      <c r="F49" s="2735"/>
      <c r="G49" s="2736"/>
      <c r="H49" s="122"/>
    </row>
    <row r="50" spans="2:8" s="136" customFormat="1" ht="125.25" customHeight="1" x14ac:dyDescent="0.2">
      <c r="B50" s="2737"/>
      <c r="C50" s="2738"/>
      <c r="D50" s="2733"/>
      <c r="E50" s="2734"/>
      <c r="F50" s="2735"/>
      <c r="G50" s="2736"/>
      <c r="H50" s="122"/>
    </row>
    <row r="51" spans="2:8" s="136" customFormat="1" ht="14.25" customHeight="1" x14ac:dyDescent="0.2">
      <c r="B51" s="2737"/>
      <c r="C51" s="2732" t="s">
        <v>2464</v>
      </c>
      <c r="D51" s="2739" t="s">
        <v>98</v>
      </c>
      <c r="E51" s="2740">
        <v>1</v>
      </c>
      <c r="F51" s="2741">
        <v>0</v>
      </c>
      <c r="G51" s="2742">
        <f t="shared" ref="G51" si="1">E51*F51</f>
        <v>0</v>
      </c>
      <c r="H51" s="122"/>
    </row>
    <row r="52" spans="2:8" s="9" customFormat="1" ht="25.5" customHeight="1" x14ac:dyDescent="0.25">
      <c r="B52" s="293" t="s">
        <v>17</v>
      </c>
      <c r="C52" s="294" t="s">
        <v>302</v>
      </c>
      <c r="D52" s="218"/>
      <c r="E52" s="203"/>
      <c r="F52" s="204"/>
      <c r="G52" s="290">
        <f>SUM(G28:G51)</f>
        <v>0</v>
      </c>
      <c r="H52" s="150"/>
    </row>
    <row r="53" spans="2:8" x14ac:dyDescent="0.2">
      <c r="B53" s="129"/>
      <c r="C53" s="197"/>
      <c r="D53" s="207"/>
      <c r="E53" s="199"/>
      <c r="F53" s="200"/>
      <c r="G53" s="201"/>
      <c r="H53" s="122"/>
    </row>
    <row r="54" spans="2:8" ht="24" x14ac:dyDescent="0.2">
      <c r="B54" s="128" t="s">
        <v>83</v>
      </c>
      <c r="C54" s="192" t="s">
        <v>89</v>
      </c>
      <c r="D54" s="192" t="s">
        <v>90</v>
      </c>
      <c r="E54" s="194" t="s">
        <v>91</v>
      </c>
      <c r="F54" s="195" t="s">
        <v>92</v>
      </c>
      <c r="G54" s="196" t="s">
        <v>93</v>
      </c>
      <c r="H54" s="122"/>
    </row>
    <row r="55" spans="2:8" x14ac:dyDescent="0.2">
      <c r="B55" s="51"/>
      <c r="C55" s="50"/>
      <c r="D55" s="50"/>
      <c r="E55" s="359"/>
      <c r="F55" s="360"/>
      <c r="G55" s="361"/>
      <c r="H55" s="122"/>
    </row>
    <row r="56" spans="2:8" ht="20.25" x14ac:dyDescent="0.2">
      <c r="B56" s="296" t="s">
        <v>18</v>
      </c>
      <c r="C56" s="297" t="s">
        <v>367</v>
      </c>
      <c r="D56" s="298"/>
      <c r="E56" s="299"/>
      <c r="F56" s="300"/>
      <c r="G56" s="301"/>
      <c r="H56" s="122"/>
    </row>
    <row r="57" spans="2:8" x14ac:dyDescent="0.2">
      <c r="B57" s="3205" t="s">
        <v>539</v>
      </c>
      <c r="C57" s="3206"/>
      <c r="D57" s="3206"/>
      <c r="E57" s="3206"/>
      <c r="F57" s="3206"/>
      <c r="G57" s="3207"/>
      <c r="H57" s="122"/>
    </row>
    <row r="58" spans="2:8" ht="25.5" customHeight="1" x14ac:dyDescent="0.2">
      <c r="B58" s="3205" t="s">
        <v>540</v>
      </c>
      <c r="C58" s="3206"/>
      <c r="D58" s="3206"/>
      <c r="E58" s="3206"/>
      <c r="F58" s="3206"/>
      <c r="G58" s="3207"/>
      <c r="H58" s="122"/>
    </row>
    <row r="59" spans="2:8" x14ac:dyDescent="0.2">
      <c r="B59" s="3205" t="s">
        <v>541</v>
      </c>
      <c r="C59" s="3206"/>
      <c r="D59" s="3206"/>
      <c r="E59" s="3206"/>
      <c r="F59" s="3206"/>
      <c r="G59" s="3207"/>
    </row>
    <row r="60" spans="2:8" ht="25.5" customHeight="1" x14ac:dyDescent="0.2">
      <c r="B60" s="3205" t="s">
        <v>542</v>
      </c>
      <c r="C60" s="3206"/>
      <c r="D60" s="3206"/>
      <c r="E60" s="3206"/>
      <c r="F60" s="3206"/>
      <c r="G60" s="3207"/>
    </row>
    <row r="61" spans="2:8" ht="25.5" customHeight="1" x14ac:dyDescent="0.2">
      <c r="B61" s="3205" t="s">
        <v>543</v>
      </c>
      <c r="C61" s="3206"/>
      <c r="D61" s="3206"/>
      <c r="E61" s="3206"/>
      <c r="F61" s="3206"/>
      <c r="G61" s="3207"/>
    </row>
    <row r="62" spans="2:8" ht="25.5" customHeight="1" x14ac:dyDescent="0.2">
      <c r="B62" s="3205" t="s">
        <v>544</v>
      </c>
      <c r="C62" s="3206"/>
      <c r="D62" s="3206"/>
      <c r="E62" s="3206"/>
      <c r="F62" s="3206"/>
      <c r="G62" s="3207"/>
    </row>
    <row r="63" spans="2:8" x14ac:dyDescent="0.2">
      <c r="B63" s="3205" t="s">
        <v>545</v>
      </c>
      <c r="C63" s="3206"/>
      <c r="D63" s="3206"/>
      <c r="E63" s="3206"/>
      <c r="F63" s="3206"/>
      <c r="G63" s="3207"/>
    </row>
    <row r="64" spans="2:8" x14ac:dyDescent="0.2">
      <c r="B64" s="153">
        <v>1</v>
      </c>
      <c r="C64" s="357" t="s">
        <v>550</v>
      </c>
      <c r="D64" s="207"/>
      <c r="E64" s="199"/>
      <c r="F64" s="269"/>
      <c r="G64" s="270"/>
    </row>
    <row r="65" spans="2:7" ht="108" x14ac:dyDescent="0.2">
      <c r="B65" s="129"/>
      <c r="C65" s="197" t="s">
        <v>815</v>
      </c>
      <c r="D65" s="207" t="s">
        <v>98</v>
      </c>
      <c r="E65" s="199">
        <v>1</v>
      </c>
      <c r="F65" s="200">
        <v>0</v>
      </c>
      <c r="G65" s="270">
        <f t="shared" ref="G65:G87" si="2">E65*F65</f>
        <v>0</v>
      </c>
    </row>
    <row r="66" spans="2:7" ht="36" x14ac:dyDescent="0.2">
      <c r="B66" s="129"/>
      <c r="C66" s="197" t="s">
        <v>942</v>
      </c>
      <c r="D66" s="207" t="s">
        <v>123</v>
      </c>
      <c r="E66" s="199">
        <v>5</v>
      </c>
      <c r="F66" s="200">
        <v>0</v>
      </c>
      <c r="G66" s="270">
        <f t="shared" si="2"/>
        <v>0</v>
      </c>
    </row>
    <row r="67" spans="2:7" ht="96" x14ac:dyDescent="0.2">
      <c r="B67" s="129"/>
      <c r="C67" s="197" t="s">
        <v>748</v>
      </c>
      <c r="D67" s="207" t="s">
        <v>98</v>
      </c>
      <c r="E67" s="199">
        <v>1</v>
      </c>
      <c r="F67" s="200">
        <v>0</v>
      </c>
      <c r="G67" s="270">
        <f t="shared" si="2"/>
        <v>0</v>
      </c>
    </row>
    <row r="68" spans="2:7" ht="60" x14ac:dyDescent="0.2">
      <c r="B68" s="129"/>
      <c r="C68" s="197" t="s">
        <v>751</v>
      </c>
      <c r="D68" s="207" t="s">
        <v>123</v>
      </c>
      <c r="E68" s="199">
        <v>1</v>
      </c>
      <c r="F68" s="200">
        <v>0</v>
      </c>
      <c r="G68" s="270">
        <f t="shared" si="2"/>
        <v>0</v>
      </c>
    </row>
    <row r="69" spans="2:7" ht="60" x14ac:dyDescent="0.2">
      <c r="B69" s="129"/>
      <c r="C69" s="197" t="s">
        <v>752</v>
      </c>
      <c r="D69" s="207" t="s">
        <v>123</v>
      </c>
      <c r="E69" s="199">
        <v>1</v>
      </c>
      <c r="F69" s="200">
        <v>0</v>
      </c>
      <c r="G69" s="270">
        <f t="shared" si="2"/>
        <v>0</v>
      </c>
    </row>
    <row r="70" spans="2:7" ht="60" x14ac:dyDescent="0.2">
      <c r="B70" s="129"/>
      <c r="C70" s="197" t="s">
        <v>753</v>
      </c>
      <c r="D70" s="207" t="s">
        <v>123</v>
      </c>
      <c r="E70" s="199">
        <v>2</v>
      </c>
      <c r="F70" s="200">
        <v>0</v>
      </c>
      <c r="G70" s="270">
        <f t="shared" si="2"/>
        <v>0</v>
      </c>
    </row>
    <row r="71" spans="2:7" ht="60" x14ac:dyDescent="0.2">
      <c r="B71" s="129"/>
      <c r="C71" s="197" t="s">
        <v>754</v>
      </c>
      <c r="D71" s="207" t="s">
        <v>123</v>
      </c>
      <c r="E71" s="199">
        <v>1</v>
      </c>
      <c r="F71" s="200">
        <v>0</v>
      </c>
      <c r="G71" s="270">
        <f t="shared" si="2"/>
        <v>0</v>
      </c>
    </row>
    <row r="72" spans="2:7" ht="48" x14ac:dyDescent="0.2">
      <c r="B72" s="129"/>
      <c r="C72" s="197" t="s">
        <v>755</v>
      </c>
      <c r="D72" s="207" t="s">
        <v>123</v>
      </c>
      <c r="E72" s="199">
        <v>1</v>
      </c>
      <c r="F72" s="200">
        <v>0</v>
      </c>
      <c r="G72" s="270">
        <f t="shared" si="2"/>
        <v>0</v>
      </c>
    </row>
    <row r="73" spans="2:7" ht="60" x14ac:dyDescent="0.2">
      <c r="B73" s="129"/>
      <c r="C73" s="311" t="s">
        <v>756</v>
      </c>
      <c r="D73" s="207" t="s">
        <v>98</v>
      </c>
      <c r="E73" s="199">
        <v>1</v>
      </c>
      <c r="F73" s="200">
        <v>0</v>
      </c>
      <c r="G73" s="270">
        <f t="shared" si="2"/>
        <v>0</v>
      </c>
    </row>
    <row r="74" spans="2:7" ht="48" x14ac:dyDescent="0.2">
      <c r="B74" s="129"/>
      <c r="C74" s="197" t="s">
        <v>757</v>
      </c>
      <c r="D74" s="207" t="s">
        <v>123</v>
      </c>
      <c r="E74" s="199">
        <v>1</v>
      </c>
      <c r="F74" s="200">
        <v>0</v>
      </c>
      <c r="G74" s="270">
        <f t="shared" si="2"/>
        <v>0</v>
      </c>
    </row>
    <row r="75" spans="2:7" ht="108" x14ac:dyDescent="0.2">
      <c r="B75" s="129"/>
      <c r="C75" s="197" t="s">
        <v>619</v>
      </c>
      <c r="D75" s="207" t="s">
        <v>123</v>
      </c>
      <c r="E75" s="199">
        <v>1</v>
      </c>
      <c r="F75" s="200">
        <v>0</v>
      </c>
      <c r="G75" s="270">
        <f t="shared" si="2"/>
        <v>0</v>
      </c>
    </row>
    <row r="76" spans="2:7" ht="36" x14ac:dyDescent="0.2">
      <c r="B76" s="129"/>
      <c r="C76" s="197" t="s">
        <v>758</v>
      </c>
      <c r="D76" s="207" t="s">
        <v>123</v>
      </c>
      <c r="E76" s="199">
        <v>40</v>
      </c>
      <c r="F76" s="200">
        <v>0</v>
      </c>
      <c r="G76" s="270">
        <f t="shared" si="2"/>
        <v>0</v>
      </c>
    </row>
    <row r="77" spans="2:7" ht="36" x14ac:dyDescent="0.2">
      <c r="B77" s="129"/>
      <c r="C77" s="197" t="s">
        <v>759</v>
      </c>
      <c r="D77" s="207" t="s">
        <v>123</v>
      </c>
      <c r="E77" s="199">
        <v>10</v>
      </c>
      <c r="F77" s="200">
        <v>0</v>
      </c>
      <c r="G77" s="270">
        <f t="shared" si="2"/>
        <v>0</v>
      </c>
    </row>
    <row r="78" spans="2:7" ht="36" x14ac:dyDescent="0.2">
      <c r="B78" s="129"/>
      <c r="C78" s="197" t="s">
        <v>760</v>
      </c>
      <c r="D78" s="207" t="s">
        <v>123</v>
      </c>
      <c r="E78" s="199">
        <v>2</v>
      </c>
      <c r="F78" s="200">
        <v>0</v>
      </c>
      <c r="G78" s="270">
        <f t="shared" si="2"/>
        <v>0</v>
      </c>
    </row>
    <row r="79" spans="2:7" ht="36" x14ac:dyDescent="0.2">
      <c r="B79" s="129"/>
      <c r="C79" s="197" t="s">
        <v>761</v>
      </c>
      <c r="D79" s="207" t="s">
        <v>123</v>
      </c>
      <c r="E79" s="199">
        <v>12</v>
      </c>
      <c r="F79" s="200">
        <v>0</v>
      </c>
      <c r="G79" s="270">
        <f t="shared" si="2"/>
        <v>0</v>
      </c>
    </row>
    <row r="80" spans="2:7" ht="36" x14ac:dyDescent="0.2">
      <c r="B80" s="129"/>
      <c r="C80" s="197" t="s">
        <v>762</v>
      </c>
      <c r="D80" s="207" t="s">
        <v>123</v>
      </c>
      <c r="E80" s="199">
        <v>1</v>
      </c>
      <c r="F80" s="200">
        <v>0</v>
      </c>
      <c r="G80" s="270">
        <f t="shared" si="2"/>
        <v>0</v>
      </c>
    </row>
    <row r="81" spans="2:8" ht="48" x14ac:dyDescent="0.2">
      <c r="B81" s="129"/>
      <c r="C81" s="197" t="s">
        <v>763</v>
      </c>
      <c r="D81" s="207" t="s">
        <v>123</v>
      </c>
      <c r="E81" s="199">
        <v>1</v>
      </c>
      <c r="F81" s="200">
        <v>0</v>
      </c>
      <c r="G81" s="270">
        <f t="shared" si="2"/>
        <v>0</v>
      </c>
    </row>
    <row r="82" spans="2:8" ht="48" x14ac:dyDescent="0.2">
      <c r="B82" s="129"/>
      <c r="C82" s="197" t="s">
        <v>764</v>
      </c>
      <c r="D82" s="207" t="s">
        <v>123</v>
      </c>
      <c r="E82" s="199">
        <v>3</v>
      </c>
      <c r="F82" s="200">
        <v>0</v>
      </c>
      <c r="G82" s="270">
        <f t="shared" si="2"/>
        <v>0</v>
      </c>
    </row>
    <row r="83" spans="2:8" ht="48" x14ac:dyDescent="0.2">
      <c r="B83" s="129"/>
      <c r="C83" s="197" t="s">
        <v>765</v>
      </c>
      <c r="D83" s="207" t="s">
        <v>123</v>
      </c>
      <c r="E83" s="199">
        <v>3</v>
      </c>
      <c r="F83" s="200">
        <v>0</v>
      </c>
      <c r="G83" s="270">
        <f t="shared" si="2"/>
        <v>0</v>
      </c>
    </row>
    <row r="84" spans="2:8" ht="48" x14ac:dyDescent="0.2">
      <c r="B84" s="129"/>
      <c r="C84" s="197" t="s">
        <v>766</v>
      </c>
      <c r="D84" s="207" t="s">
        <v>123</v>
      </c>
      <c r="E84" s="199">
        <v>3</v>
      </c>
      <c r="F84" s="200">
        <v>0</v>
      </c>
      <c r="G84" s="270">
        <f t="shared" si="2"/>
        <v>0</v>
      </c>
    </row>
    <row r="85" spans="2:8" ht="48" x14ac:dyDescent="0.2">
      <c r="B85" s="129"/>
      <c r="C85" s="197" t="s">
        <v>767</v>
      </c>
      <c r="D85" s="207" t="s">
        <v>98</v>
      </c>
      <c r="E85" s="199">
        <v>1</v>
      </c>
      <c r="F85" s="200">
        <v>0</v>
      </c>
      <c r="G85" s="270">
        <f t="shared" si="2"/>
        <v>0</v>
      </c>
    </row>
    <row r="86" spans="2:8" ht="60" x14ac:dyDescent="0.2">
      <c r="B86" s="129"/>
      <c r="C86" s="197" t="s">
        <v>768</v>
      </c>
      <c r="D86" s="207" t="s">
        <v>123</v>
      </c>
      <c r="E86" s="199">
        <v>1</v>
      </c>
      <c r="F86" s="200">
        <v>0</v>
      </c>
      <c r="G86" s="270">
        <f t="shared" si="2"/>
        <v>0</v>
      </c>
    </row>
    <row r="87" spans="2:8" ht="84" x14ac:dyDescent="0.2">
      <c r="B87" s="129"/>
      <c r="C87" s="197" t="s">
        <v>620</v>
      </c>
      <c r="D87" s="207" t="s">
        <v>123</v>
      </c>
      <c r="E87" s="199">
        <v>1</v>
      </c>
      <c r="F87" s="200">
        <v>0</v>
      </c>
      <c r="G87" s="270">
        <f t="shared" si="2"/>
        <v>0</v>
      </c>
    </row>
    <row r="88" spans="2:8" x14ac:dyDescent="0.2">
      <c r="B88" s="153">
        <v>2</v>
      </c>
      <c r="C88" s="357" t="s">
        <v>769</v>
      </c>
      <c r="D88" s="207"/>
      <c r="E88" s="199"/>
      <c r="F88" s="269"/>
      <c r="G88" s="270"/>
    </row>
    <row r="89" spans="2:8" s="121" customFormat="1" ht="387.75" customHeight="1" x14ac:dyDescent="0.2">
      <c r="B89" s="2743"/>
      <c r="C89" s="2744"/>
      <c r="D89" s="2745"/>
      <c r="E89" s="2746"/>
      <c r="F89" s="2747"/>
      <c r="G89" s="2736"/>
      <c r="H89" s="122"/>
    </row>
    <row r="90" spans="2:8" s="121" customFormat="1" ht="24.75" customHeight="1" x14ac:dyDescent="0.2">
      <c r="B90" s="2743"/>
      <c r="C90" s="2744" t="s">
        <v>2465</v>
      </c>
      <c r="D90" s="2748" t="s">
        <v>98</v>
      </c>
      <c r="E90" s="2746">
        <v>1</v>
      </c>
      <c r="F90" s="2747">
        <v>0</v>
      </c>
      <c r="G90" s="2736">
        <f t="shared" ref="G90" si="3">E90*F90</f>
        <v>0</v>
      </c>
      <c r="H90" s="122"/>
    </row>
    <row r="91" spans="2:8" ht="48" x14ac:dyDescent="0.2">
      <c r="B91" s="153"/>
      <c r="C91" s="311" t="s">
        <v>771</v>
      </c>
      <c r="D91" s="207" t="s">
        <v>123</v>
      </c>
      <c r="E91" s="199">
        <v>1</v>
      </c>
      <c r="F91" s="269">
        <v>0</v>
      </c>
      <c r="G91" s="270">
        <f t="shared" ref="G91:G96" si="4">E91*F91</f>
        <v>0</v>
      </c>
    </row>
    <row r="92" spans="2:8" ht="60" x14ac:dyDescent="0.2">
      <c r="B92" s="129"/>
      <c r="C92" s="197" t="s">
        <v>772</v>
      </c>
      <c r="D92" s="207" t="s">
        <v>123</v>
      </c>
      <c r="E92" s="199">
        <v>1</v>
      </c>
      <c r="F92" s="269">
        <v>0</v>
      </c>
      <c r="G92" s="270">
        <f t="shared" si="4"/>
        <v>0</v>
      </c>
    </row>
    <row r="93" spans="2:8" ht="180" x14ac:dyDescent="0.2">
      <c r="B93" s="129"/>
      <c r="C93" s="197" t="s">
        <v>773</v>
      </c>
      <c r="D93" s="207" t="s">
        <v>123</v>
      </c>
      <c r="E93" s="199">
        <v>1</v>
      </c>
      <c r="F93" s="269">
        <v>0</v>
      </c>
      <c r="G93" s="270">
        <f t="shared" si="4"/>
        <v>0</v>
      </c>
    </row>
    <row r="94" spans="2:8" ht="60" x14ac:dyDescent="0.2">
      <c r="B94" s="129"/>
      <c r="C94" s="197" t="s">
        <v>774</v>
      </c>
      <c r="D94" s="207" t="s">
        <v>98</v>
      </c>
      <c r="E94" s="199">
        <v>1</v>
      </c>
      <c r="F94" s="269">
        <v>0</v>
      </c>
      <c r="G94" s="270">
        <f t="shared" si="4"/>
        <v>0</v>
      </c>
    </row>
    <row r="95" spans="2:8" ht="36" x14ac:dyDescent="0.2">
      <c r="B95" s="129"/>
      <c r="C95" s="197" t="s">
        <v>603</v>
      </c>
      <c r="D95" s="207" t="s">
        <v>123</v>
      </c>
      <c r="E95" s="199">
        <v>1</v>
      </c>
      <c r="F95" s="269">
        <v>0</v>
      </c>
      <c r="G95" s="270">
        <f t="shared" si="4"/>
        <v>0</v>
      </c>
    </row>
    <row r="96" spans="2:8" ht="288" x14ac:dyDescent="0.2">
      <c r="B96" s="129"/>
      <c r="C96" s="197" t="s">
        <v>630</v>
      </c>
      <c r="D96" s="207" t="s">
        <v>98</v>
      </c>
      <c r="E96" s="199">
        <v>2</v>
      </c>
      <c r="F96" s="269">
        <v>0</v>
      </c>
      <c r="G96" s="270">
        <f t="shared" si="4"/>
        <v>0</v>
      </c>
    </row>
    <row r="97" spans="2:8" x14ac:dyDescent="0.2">
      <c r="B97" s="153">
        <v>3</v>
      </c>
      <c r="C97" s="357" t="s">
        <v>775</v>
      </c>
      <c r="D97" s="207"/>
      <c r="E97" s="199"/>
      <c r="F97" s="269"/>
      <c r="G97" s="270"/>
    </row>
    <row r="98" spans="2:8" ht="276" x14ac:dyDescent="0.2">
      <c r="B98" s="129"/>
      <c r="C98" s="197" t="s">
        <v>816</v>
      </c>
      <c r="D98" s="207" t="s">
        <v>98</v>
      </c>
      <c r="E98" s="199">
        <v>1</v>
      </c>
      <c r="F98" s="200">
        <v>0</v>
      </c>
      <c r="G98" s="270">
        <f>E98*F98</f>
        <v>0</v>
      </c>
    </row>
    <row r="99" spans="2:8" ht="72" x14ac:dyDescent="0.2">
      <c r="B99" s="153"/>
      <c r="C99" s="311" t="s">
        <v>777</v>
      </c>
      <c r="D99" s="207" t="s">
        <v>98</v>
      </c>
      <c r="E99" s="199">
        <v>1</v>
      </c>
      <c r="F99" s="200">
        <v>0</v>
      </c>
      <c r="G99" s="270">
        <f>E99*F99</f>
        <v>0</v>
      </c>
    </row>
    <row r="100" spans="2:8" ht="84" x14ac:dyDescent="0.2">
      <c r="B100" s="129"/>
      <c r="C100" s="197" t="s">
        <v>778</v>
      </c>
      <c r="D100" s="207" t="s">
        <v>98</v>
      </c>
      <c r="E100" s="199">
        <v>1</v>
      </c>
      <c r="F100" s="200">
        <v>0</v>
      </c>
      <c r="G100" s="270">
        <f>E100*F100</f>
        <v>0</v>
      </c>
    </row>
    <row r="101" spans="2:8" x14ac:dyDescent="0.2">
      <c r="B101" s="153">
        <v>4</v>
      </c>
      <c r="C101" s="357" t="s">
        <v>779</v>
      </c>
      <c r="D101" s="207"/>
      <c r="E101" s="199"/>
      <c r="F101" s="269"/>
      <c r="G101" s="270"/>
    </row>
    <row r="102" spans="2:8" ht="60" x14ac:dyDescent="0.2">
      <c r="B102" s="129"/>
      <c r="C102" s="197" t="s">
        <v>780</v>
      </c>
      <c r="D102" s="207" t="s">
        <v>98</v>
      </c>
      <c r="E102" s="199">
        <v>2</v>
      </c>
      <c r="F102" s="200">
        <v>0</v>
      </c>
      <c r="G102" s="270">
        <f>E102*F102</f>
        <v>0</v>
      </c>
    </row>
    <row r="103" spans="2:8" ht="60" x14ac:dyDescent="0.2">
      <c r="B103" s="129"/>
      <c r="C103" s="197" t="s">
        <v>781</v>
      </c>
      <c r="D103" s="207" t="s">
        <v>98</v>
      </c>
      <c r="E103" s="199">
        <v>2</v>
      </c>
      <c r="F103" s="200">
        <v>0</v>
      </c>
      <c r="G103" s="270">
        <f>E103*F103</f>
        <v>0</v>
      </c>
    </row>
    <row r="104" spans="2:8" ht="36" x14ac:dyDescent="0.2">
      <c r="B104" s="129"/>
      <c r="C104" s="197" t="s">
        <v>782</v>
      </c>
      <c r="D104" s="207" t="s">
        <v>123</v>
      </c>
      <c r="E104" s="199">
        <v>1</v>
      </c>
      <c r="F104" s="200">
        <v>0</v>
      </c>
      <c r="G104" s="270">
        <f>E104*F104</f>
        <v>0</v>
      </c>
    </row>
    <row r="105" spans="2:8" ht="132" x14ac:dyDescent="0.2">
      <c r="B105" s="129"/>
      <c r="C105" s="197" t="s">
        <v>508</v>
      </c>
      <c r="D105" s="207" t="s">
        <v>123</v>
      </c>
      <c r="E105" s="199">
        <v>1</v>
      </c>
      <c r="F105" s="200">
        <v>0</v>
      </c>
      <c r="G105" s="270">
        <f>E105*F105</f>
        <v>0</v>
      </c>
    </row>
    <row r="106" spans="2:8" ht="96" x14ac:dyDescent="0.2">
      <c r="B106" s="129"/>
      <c r="C106" s="197" t="s">
        <v>783</v>
      </c>
      <c r="D106" s="207" t="s">
        <v>123</v>
      </c>
      <c r="E106" s="199">
        <v>1</v>
      </c>
      <c r="F106" s="200">
        <v>0</v>
      </c>
      <c r="G106" s="270">
        <f>E106*F106</f>
        <v>0</v>
      </c>
    </row>
    <row r="107" spans="2:8" x14ac:dyDescent="0.2">
      <c r="B107" s="153">
        <v>5</v>
      </c>
      <c r="C107" s="357" t="s">
        <v>784</v>
      </c>
      <c r="D107" s="207"/>
      <c r="E107" s="199"/>
      <c r="F107" s="269"/>
      <c r="G107" s="270"/>
    </row>
    <row r="108" spans="2:8" x14ac:dyDescent="0.2">
      <c r="B108" s="153"/>
      <c r="C108" s="311" t="s">
        <v>645</v>
      </c>
      <c r="D108" s="207" t="s">
        <v>644</v>
      </c>
      <c r="E108" s="199">
        <v>15</v>
      </c>
      <c r="F108" s="269">
        <v>0</v>
      </c>
      <c r="G108" s="270">
        <f t="shared" ref="G108:G115" si="5">E108*F108</f>
        <v>0</v>
      </c>
      <c r="H108" s="122"/>
    </row>
    <row r="109" spans="2:8" x14ac:dyDescent="0.2">
      <c r="B109" s="153"/>
      <c r="C109" s="311" t="s">
        <v>646</v>
      </c>
      <c r="D109" s="207" t="s">
        <v>644</v>
      </c>
      <c r="E109" s="199">
        <v>50</v>
      </c>
      <c r="F109" s="269">
        <v>0</v>
      </c>
      <c r="G109" s="270">
        <f t="shared" si="5"/>
        <v>0</v>
      </c>
      <c r="H109" s="122"/>
    </row>
    <row r="110" spans="2:8" x14ac:dyDescent="0.2">
      <c r="B110" s="153"/>
      <c r="C110" s="311" t="s">
        <v>647</v>
      </c>
      <c r="D110" s="207" t="s">
        <v>644</v>
      </c>
      <c r="E110" s="199">
        <v>25</v>
      </c>
      <c r="F110" s="269">
        <v>0</v>
      </c>
      <c r="G110" s="270">
        <f t="shared" si="5"/>
        <v>0</v>
      </c>
      <c r="H110" s="122"/>
    </row>
    <row r="111" spans="2:8" x14ac:dyDescent="0.2">
      <c r="B111" s="153"/>
      <c r="C111" s="311" t="s">
        <v>648</v>
      </c>
      <c r="D111" s="207" t="s">
        <v>644</v>
      </c>
      <c r="E111" s="199">
        <v>15</v>
      </c>
      <c r="F111" s="269">
        <v>0</v>
      </c>
      <c r="G111" s="270">
        <f t="shared" si="5"/>
        <v>0</v>
      </c>
      <c r="H111" s="122"/>
    </row>
    <row r="112" spans="2:8" x14ac:dyDescent="0.2">
      <c r="B112" s="153"/>
      <c r="C112" s="311" t="s">
        <v>650</v>
      </c>
      <c r="D112" s="207" t="s">
        <v>123</v>
      </c>
      <c r="E112" s="199">
        <v>2</v>
      </c>
      <c r="F112" s="269">
        <v>0</v>
      </c>
      <c r="G112" s="270">
        <f t="shared" si="5"/>
        <v>0</v>
      </c>
      <c r="H112" s="122"/>
    </row>
    <row r="113" spans="2:8" x14ac:dyDescent="0.2">
      <c r="B113" s="153"/>
      <c r="C113" s="311" t="s">
        <v>651</v>
      </c>
      <c r="D113" s="207" t="s">
        <v>644</v>
      </c>
      <c r="E113" s="199">
        <v>20</v>
      </c>
      <c r="F113" s="269">
        <v>0</v>
      </c>
      <c r="G113" s="270">
        <f t="shared" si="5"/>
        <v>0</v>
      </c>
      <c r="H113" s="122"/>
    </row>
    <row r="114" spans="2:8" x14ac:dyDescent="0.2">
      <c r="B114" s="153"/>
      <c r="C114" s="311" t="s">
        <v>652</v>
      </c>
      <c r="D114" s="207" t="s">
        <v>644</v>
      </c>
      <c r="E114" s="199">
        <v>15</v>
      </c>
      <c r="F114" s="269">
        <v>0</v>
      </c>
      <c r="G114" s="270">
        <f t="shared" si="5"/>
        <v>0</v>
      </c>
      <c r="H114" s="122"/>
    </row>
    <row r="115" spans="2:8" x14ac:dyDescent="0.2">
      <c r="B115" s="129"/>
      <c r="C115" s="311" t="s">
        <v>632</v>
      </c>
      <c r="D115" s="207" t="s">
        <v>98</v>
      </c>
      <c r="E115" s="199">
        <v>1</v>
      </c>
      <c r="F115" s="269">
        <v>0</v>
      </c>
      <c r="G115" s="270">
        <f t="shared" si="5"/>
        <v>0</v>
      </c>
      <c r="H115" s="122"/>
    </row>
    <row r="116" spans="2:8" s="11" customFormat="1" x14ac:dyDescent="0.2">
      <c r="B116" s="59">
        <v>6</v>
      </c>
      <c r="C116" s="357" t="s">
        <v>785</v>
      </c>
      <c r="D116" s="15"/>
      <c r="E116" s="419"/>
      <c r="F116" s="14"/>
      <c r="G116" s="13"/>
      <c r="H116" s="12"/>
    </row>
    <row r="117" spans="2:8" s="11" customFormat="1" ht="24" x14ac:dyDescent="0.2">
      <c r="B117" s="59"/>
      <c r="C117" s="311" t="s">
        <v>666</v>
      </c>
      <c r="D117" s="207" t="s">
        <v>644</v>
      </c>
      <c r="E117" s="199">
        <v>8</v>
      </c>
      <c r="F117" s="269">
        <v>0</v>
      </c>
      <c r="G117" s="270">
        <f t="shared" ref="G117:G123" si="6">E117*F117</f>
        <v>0</v>
      </c>
      <c r="H117" s="12"/>
    </row>
    <row r="118" spans="2:8" s="11" customFormat="1" x14ac:dyDescent="0.2">
      <c r="B118" s="59"/>
      <c r="C118" s="311" t="s">
        <v>667</v>
      </c>
      <c r="D118" s="207" t="s">
        <v>644</v>
      </c>
      <c r="E118" s="199">
        <v>50</v>
      </c>
      <c r="F118" s="269">
        <v>0</v>
      </c>
      <c r="G118" s="270">
        <f t="shared" si="6"/>
        <v>0</v>
      </c>
      <c r="H118" s="12"/>
    </row>
    <row r="119" spans="2:8" s="11" customFormat="1" x14ac:dyDescent="0.2">
      <c r="B119" s="59"/>
      <c r="C119" s="311" t="s">
        <v>668</v>
      </c>
      <c r="D119" s="207" t="s">
        <v>644</v>
      </c>
      <c r="E119" s="199">
        <v>20</v>
      </c>
      <c r="F119" s="269">
        <v>0</v>
      </c>
      <c r="G119" s="270">
        <f t="shared" si="6"/>
        <v>0</v>
      </c>
      <c r="H119" s="12"/>
    </row>
    <row r="120" spans="2:8" s="11" customFormat="1" x14ac:dyDescent="0.2">
      <c r="B120" s="59"/>
      <c r="C120" s="311" t="s">
        <v>673</v>
      </c>
      <c r="D120" s="207" t="s">
        <v>123</v>
      </c>
      <c r="E120" s="199">
        <v>1</v>
      </c>
      <c r="F120" s="269">
        <v>0</v>
      </c>
      <c r="G120" s="270">
        <f t="shared" si="6"/>
        <v>0</v>
      </c>
      <c r="H120" s="12"/>
    </row>
    <row r="121" spans="2:8" s="11" customFormat="1" x14ac:dyDescent="0.2">
      <c r="B121" s="59"/>
      <c r="C121" s="311" t="s">
        <v>675</v>
      </c>
      <c r="D121" s="207" t="s">
        <v>123</v>
      </c>
      <c r="E121" s="199">
        <v>3</v>
      </c>
      <c r="F121" s="269">
        <v>0</v>
      </c>
      <c r="G121" s="270">
        <f t="shared" si="6"/>
        <v>0</v>
      </c>
      <c r="H121" s="12"/>
    </row>
    <row r="122" spans="2:8" s="11" customFormat="1" x14ac:dyDescent="0.2">
      <c r="B122" s="59"/>
      <c r="C122" s="311" t="s">
        <v>676</v>
      </c>
      <c r="D122" s="207" t="s">
        <v>123</v>
      </c>
      <c r="E122" s="199">
        <v>2</v>
      </c>
      <c r="F122" s="269">
        <v>0</v>
      </c>
      <c r="G122" s="270">
        <f t="shared" si="6"/>
        <v>0</v>
      </c>
      <c r="H122" s="12"/>
    </row>
    <row r="123" spans="2:8" s="11" customFormat="1" ht="24" x14ac:dyDescent="0.2">
      <c r="B123" s="59"/>
      <c r="C123" s="311" t="s">
        <v>677</v>
      </c>
      <c r="D123" s="207" t="s">
        <v>123</v>
      </c>
      <c r="E123" s="199">
        <v>1</v>
      </c>
      <c r="F123" s="269">
        <v>0</v>
      </c>
      <c r="G123" s="270">
        <f t="shared" si="6"/>
        <v>0</v>
      </c>
      <c r="H123" s="12"/>
    </row>
    <row r="124" spans="2:8" x14ac:dyDescent="0.2">
      <c r="B124" s="153">
        <v>7</v>
      </c>
      <c r="C124" s="357" t="s">
        <v>788</v>
      </c>
      <c r="D124" s="207"/>
      <c r="E124" s="199"/>
      <c r="F124" s="269"/>
      <c r="G124" s="270"/>
    </row>
    <row r="125" spans="2:8" x14ac:dyDescent="0.2">
      <c r="B125" s="153"/>
      <c r="C125" s="197" t="s">
        <v>655</v>
      </c>
      <c r="D125" s="207" t="s">
        <v>644</v>
      </c>
      <c r="E125" s="199">
        <v>10</v>
      </c>
      <c r="F125" s="269">
        <v>0</v>
      </c>
      <c r="G125" s="270">
        <f>E125*F125</f>
        <v>0</v>
      </c>
    </row>
    <row r="126" spans="2:8" ht="36" x14ac:dyDescent="0.2">
      <c r="B126" s="153"/>
      <c r="C126" s="197" t="s">
        <v>656</v>
      </c>
      <c r="D126" s="207" t="s">
        <v>98</v>
      </c>
      <c r="E126" s="199">
        <v>1</v>
      </c>
      <c r="F126" s="269">
        <v>0</v>
      </c>
      <c r="G126" s="270">
        <f>E126*F126</f>
        <v>0</v>
      </c>
    </row>
    <row r="127" spans="2:8" ht="24" x14ac:dyDescent="0.2">
      <c r="B127" s="153"/>
      <c r="C127" s="197" t="s">
        <v>657</v>
      </c>
      <c r="D127" s="207" t="s">
        <v>98</v>
      </c>
      <c r="E127" s="199">
        <v>1</v>
      </c>
      <c r="F127" s="269">
        <v>0</v>
      </c>
      <c r="G127" s="270">
        <f>E127*F127</f>
        <v>0</v>
      </c>
    </row>
    <row r="128" spans="2:8" x14ac:dyDescent="0.2">
      <c r="B128" s="129"/>
      <c r="C128" s="197" t="s">
        <v>663</v>
      </c>
      <c r="D128" s="207" t="s">
        <v>98</v>
      </c>
      <c r="E128" s="199">
        <v>1</v>
      </c>
      <c r="F128" s="269">
        <v>0</v>
      </c>
      <c r="G128" s="270">
        <f>E128*F128</f>
        <v>0</v>
      </c>
    </row>
    <row r="129" spans="2:7" x14ac:dyDescent="0.2">
      <c r="B129" s="153">
        <v>8</v>
      </c>
      <c r="C129" s="357" t="s">
        <v>679</v>
      </c>
      <c r="D129" s="207"/>
      <c r="E129" s="199"/>
      <c r="F129" s="269"/>
      <c r="G129" s="270"/>
    </row>
    <row r="130" spans="2:7" ht="48" x14ac:dyDescent="0.2">
      <c r="B130" s="129"/>
      <c r="C130" s="197" t="s">
        <v>789</v>
      </c>
      <c r="D130" s="207" t="s">
        <v>98</v>
      </c>
      <c r="E130" s="199">
        <v>1</v>
      </c>
      <c r="F130" s="269">
        <v>0</v>
      </c>
      <c r="G130" s="270">
        <f>E130*F130</f>
        <v>0</v>
      </c>
    </row>
    <row r="131" spans="2:7" ht="36" x14ac:dyDescent="0.2">
      <c r="B131" s="153"/>
      <c r="C131" s="311" t="s">
        <v>790</v>
      </c>
      <c r="D131" s="207" t="s">
        <v>98</v>
      </c>
      <c r="E131" s="199">
        <v>1</v>
      </c>
      <c r="F131" s="269">
        <v>0</v>
      </c>
      <c r="G131" s="270">
        <f>E131*F131</f>
        <v>0</v>
      </c>
    </row>
    <row r="132" spans="2:7" ht="36" x14ac:dyDescent="0.2">
      <c r="B132" s="129"/>
      <c r="C132" s="197" t="s">
        <v>791</v>
      </c>
      <c r="D132" s="207" t="s">
        <v>98</v>
      </c>
      <c r="E132" s="199">
        <v>1</v>
      </c>
      <c r="F132" s="269">
        <v>0</v>
      </c>
      <c r="G132" s="270">
        <f>E132*F132</f>
        <v>0</v>
      </c>
    </row>
    <row r="133" spans="2:7" ht="36" x14ac:dyDescent="0.2">
      <c r="B133" s="153"/>
      <c r="C133" s="311" t="s">
        <v>792</v>
      </c>
      <c r="D133" s="207" t="s">
        <v>98</v>
      </c>
      <c r="E133" s="199">
        <v>1</v>
      </c>
      <c r="F133" s="269">
        <v>0</v>
      </c>
      <c r="G133" s="270">
        <f>E133*F133</f>
        <v>0</v>
      </c>
    </row>
    <row r="134" spans="2:7" x14ac:dyDescent="0.2">
      <c r="B134" s="293" t="s">
        <v>18</v>
      </c>
      <c r="C134" s="294" t="s">
        <v>794</v>
      </c>
      <c r="D134" s="218"/>
      <c r="E134" s="203"/>
      <c r="F134" s="204"/>
      <c r="G134" s="290">
        <f>SUM(G65:G133)</f>
        <v>0</v>
      </c>
    </row>
  </sheetData>
  <mergeCells count="8">
    <mergeCell ref="B61:G61"/>
    <mergeCell ref="B62:G62"/>
    <mergeCell ref="B63:G63"/>
    <mergeCell ref="B27:G27"/>
    <mergeCell ref="B57:G57"/>
    <mergeCell ref="B58:G58"/>
    <mergeCell ref="B59:G59"/>
    <mergeCell ref="B60:G60"/>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CAB35-EBEF-4678-B6BD-BC3C3163308E}">
  <sheetPr codeName="Sheet9">
    <tabColor rgb="FFFFFF00"/>
  </sheetPr>
  <dimension ref="A2:L132"/>
  <sheetViews>
    <sheetView showZeros="0" topLeftCell="A47" zoomScale="110" zoomScaleNormal="110" workbookViewId="0">
      <selection activeCell="B60" sqref="B60:G60"/>
    </sheetView>
  </sheetViews>
  <sheetFormatPr defaultColWidth="10.42578125" defaultRowHeight="12.75" x14ac:dyDescent="0.2"/>
  <cols>
    <col min="1" max="1" width="4.42578125" style="1" customWidth="1"/>
    <col min="2" max="2" width="7.42578125" style="8" customWidth="1"/>
    <col min="3" max="3" width="54" style="7" customWidth="1"/>
    <col min="4" max="4" width="10.42578125" style="6" customWidth="1"/>
    <col min="5" max="5" width="9.28515625" style="5" customWidth="1"/>
    <col min="6" max="6" width="12.140625" style="4" customWidth="1"/>
    <col min="7" max="7" width="14.71093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869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960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G50</f>
        <v>0</v>
      </c>
      <c r="H15" s="18"/>
      <c r="I15" s="331"/>
      <c r="J15" s="331"/>
      <c r="K15" s="331"/>
      <c r="L15" s="331"/>
    </row>
    <row r="16" spans="1:12" s="17" customFormat="1" ht="18.75" customHeight="1" x14ac:dyDescent="0.25">
      <c r="A16" s="331"/>
      <c r="B16" s="332" t="s">
        <v>18</v>
      </c>
      <c r="C16" s="340" t="s">
        <v>367</v>
      </c>
      <c r="D16" s="341"/>
      <c r="E16" s="342"/>
      <c r="F16" s="58"/>
      <c r="G16" s="20">
        <f>G132</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v>0</v>
      </c>
      <c r="G30" s="201"/>
      <c r="H30" s="122"/>
    </row>
    <row r="31" spans="1:8" s="34" customFormat="1" ht="14.25" customHeight="1" x14ac:dyDescent="0.2">
      <c r="A31" s="136"/>
      <c r="B31" s="292" t="s">
        <v>897</v>
      </c>
      <c r="C31" s="46"/>
      <c r="D31" s="198"/>
      <c r="E31" s="348"/>
      <c r="F31" s="351"/>
      <c r="G31" s="352"/>
      <c r="H31" s="122"/>
    </row>
    <row r="32" spans="1:8" s="34" customFormat="1" ht="14.25" customHeight="1" x14ac:dyDescent="0.2">
      <c r="A32" s="136"/>
      <c r="B32" s="135"/>
      <c r="C32" s="217" t="s">
        <v>951</v>
      </c>
      <c r="D32" s="198" t="s">
        <v>149</v>
      </c>
      <c r="E32" s="348">
        <v>3</v>
      </c>
      <c r="F32" s="351">
        <v>0</v>
      </c>
      <c r="G32" s="352">
        <f t="shared" ref="G32:G40" si="0">E32*F32</f>
        <v>0</v>
      </c>
      <c r="H32" s="122"/>
    </row>
    <row r="33" spans="2:8" s="34" customFormat="1" ht="14.25" customHeight="1" x14ac:dyDescent="0.2">
      <c r="B33" s="135"/>
      <c r="C33" s="217" t="s">
        <v>952</v>
      </c>
      <c r="D33" s="198" t="s">
        <v>149</v>
      </c>
      <c r="E33" s="348">
        <v>2</v>
      </c>
      <c r="F33" s="351">
        <v>0</v>
      </c>
      <c r="G33" s="352">
        <f t="shared" si="0"/>
        <v>0</v>
      </c>
      <c r="H33" s="122"/>
    </row>
    <row r="34" spans="2:8" s="34" customFormat="1" ht="14.25" customHeight="1" x14ac:dyDescent="0.2">
      <c r="B34" s="135"/>
      <c r="C34" s="217" t="s">
        <v>953</v>
      </c>
      <c r="D34" s="198" t="s">
        <v>149</v>
      </c>
      <c r="E34" s="348">
        <v>2</v>
      </c>
      <c r="F34" s="351">
        <v>0</v>
      </c>
      <c r="G34" s="352">
        <f t="shared" si="0"/>
        <v>0</v>
      </c>
      <c r="H34" s="122"/>
    </row>
    <row r="35" spans="2:8" s="34" customFormat="1" ht="14.25" customHeight="1" x14ac:dyDescent="0.2">
      <c r="B35" s="135"/>
      <c r="C35" s="217" t="s">
        <v>954</v>
      </c>
      <c r="D35" s="198" t="s">
        <v>149</v>
      </c>
      <c r="E35" s="348">
        <v>2</v>
      </c>
      <c r="F35" s="351">
        <v>0</v>
      </c>
      <c r="G35" s="352">
        <f t="shared" si="0"/>
        <v>0</v>
      </c>
      <c r="H35" s="122"/>
    </row>
    <row r="36" spans="2:8" s="34" customFormat="1" ht="14.25" customHeight="1" x14ac:dyDescent="0.2">
      <c r="B36" s="135"/>
      <c r="C36" s="217" t="s">
        <v>901</v>
      </c>
      <c r="D36" s="198" t="s">
        <v>149</v>
      </c>
      <c r="E36" s="348">
        <v>120</v>
      </c>
      <c r="F36" s="351">
        <v>0</v>
      </c>
      <c r="G36" s="352">
        <f t="shared" si="0"/>
        <v>0</v>
      </c>
      <c r="H36" s="122"/>
    </row>
    <row r="37" spans="2:8" s="34" customFormat="1" ht="14.25" customHeight="1" x14ac:dyDescent="0.2">
      <c r="B37" s="135"/>
      <c r="C37" s="217" t="s">
        <v>916</v>
      </c>
      <c r="D37" s="198" t="s">
        <v>149</v>
      </c>
      <c r="E37" s="348">
        <v>15</v>
      </c>
      <c r="F37" s="351">
        <v>0</v>
      </c>
      <c r="G37" s="352">
        <f t="shared" si="0"/>
        <v>0</v>
      </c>
      <c r="H37" s="122"/>
    </row>
    <row r="38" spans="2:8" s="34" customFormat="1" ht="14.25" customHeight="1" x14ac:dyDescent="0.2">
      <c r="B38" s="135"/>
      <c r="C38" s="217" t="s">
        <v>955</v>
      </c>
      <c r="D38" s="198" t="s">
        <v>149</v>
      </c>
      <c r="E38" s="348">
        <v>2</v>
      </c>
      <c r="F38" s="351">
        <v>0</v>
      </c>
      <c r="G38" s="352">
        <f t="shared" si="0"/>
        <v>0</v>
      </c>
      <c r="H38" s="122"/>
    </row>
    <row r="39" spans="2:8" s="34" customFormat="1" ht="14.25" customHeight="1" x14ac:dyDescent="0.2">
      <c r="B39" s="135"/>
      <c r="C39" s="217" t="s">
        <v>956</v>
      </c>
      <c r="D39" s="198" t="s">
        <v>149</v>
      </c>
      <c r="E39" s="348">
        <v>2</v>
      </c>
      <c r="F39" s="351">
        <v>0</v>
      </c>
      <c r="G39" s="352">
        <f t="shared" si="0"/>
        <v>0</v>
      </c>
      <c r="H39" s="122"/>
    </row>
    <row r="40" spans="2:8" s="34" customFormat="1" ht="14.25" customHeight="1" x14ac:dyDescent="0.2">
      <c r="B40" s="135"/>
      <c r="C40" s="217" t="s">
        <v>957</v>
      </c>
      <c r="D40" s="198" t="s">
        <v>149</v>
      </c>
      <c r="E40" s="348">
        <v>1</v>
      </c>
      <c r="F40" s="351">
        <v>0</v>
      </c>
      <c r="G40" s="352">
        <f t="shared" si="0"/>
        <v>0</v>
      </c>
      <c r="H40" s="122"/>
    </row>
    <row r="41" spans="2:8" s="34" customFormat="1" ht="15.75" customHeight="1" x14ac:dyDescent="0.2">
      <c r="B41" s="292" t="s">
        <v>917</v>
      </c>
      <c r="C41" s="57" t="s">
        <v>910</v>
      </c>
      <c r="D41" s="56"/>
      <c r="E41" s="55"/>
      <c r="F41" s="54"/>
      <c r="G41" s="53"/>
      <c r="H41" s="122"/>
    </row>
    <row r="42" spans="2:8" s="136" customFormat="1" ht="96" customHeight="1" x14ac:dyDescent="0.2">
      <c r="B42" s="2731"/>
      <c r="C42" s="2732"/>
      <c r="D42" s="2733"/>
      <c r="E42" s="2734"/>
      <c r="F42" s="2735"/>
      <c r="G42" s="2736"/>
      <c r="H42" s="122"/>
    </row>
    <row r="43" spans="2:8" s="136" customFormat="1" ht="96" customHeight="1" x14ac:dyDescent="0.2">
      <c r="B43" s="2737"/>
      <c r="C43" s="2738"/>
      <c r="D43" s="2733"/>
      <c r="E43" s="2734"/>
      <c r="F43" s="2735"/>
      <c r="G43" s="2736"/>
      <c r="H43" s="122"/>
    </row>
    <row r="44" spans="2:8" s="136" customFormat="1" ht="96" customHeight="1" x14ac:dyDescent="0.2">
      <c r="B44" s="2737"/>
      <c r="C44" s="2738"/>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125.25" customHeight="1" x14ac:dyDescent="0.2">
      <c r="B48" s="2737"/>
      <c r="C48" s="2738"/>
      <c r="D48" s="2733"/>
      <c r="E48" s="2734"/>
      <c r="F48" s="2735"/>
      <c r="G48" s="2736"/>
      <c r="H48" s="122"/>
    </row>
    <row r="49" spans="2:8" s="136" customFormat="1" ht="14.25" customHeight="1" x14ac:dyDescent="0.2">
      <c r="B49" s="2737"/>
      <c r="C49" s="2732" t="s">
        <v>2464</v>
      </c>
      <c r="D49" s="2739" t="s">
        <v>98</v>
      </c>
      <c r="E49" s="2740">
        <v>1</v>
      </c>
      <c r="F49" s="2741">
        <v>0</v>
      </c>
      <c r="G49" s="2742">
        <f t="shared" ref="G49" si="1">E49*F49</f>
        <v>0</v>
      </c>
      <c r="H49" s="122"/>
    </row>
    <row r="50" spans="2:8" s="9" customFormat="1" ht="25.5" customHeight="1" x14ac:dyDescent="0.25">
      <c r="B50" s="293" t="s">
        <v>17</v>
      </c>
      <c r="C50" s="294" t="s">
        <v>302</v>
      </c>
      <c r="D50" s="218"/>
      <c r="E50" s="203"/>
      <c r="F50" s="204"/>
      <c r="G50" s="290">
        <f>SUM(G27:G49)</f>
        <v>0</v>
      </c>
      <c r="H50" s="150"/>
    </row>
    <row r="51" spans="2:8" x14ac:dyDescent="0.2">
      <c r="B51" s="129"/>
      <c r="C51" s="197"/>
      <c r="D51" s="207"/>
      <c r="E51" s="199"/>
      <c r="F51" s="200"/>
      <c r="G51" s="201"/>
      <c r="H51" s="122"/>
    </row>
    <row r="52" spans="2:8" ht="24" x14ac:dyDescent="0.2">
      <c r="B52" s="128" t="s">
        <v>83</v>
      </c>
      <c r="C52" s="192" t="s">
        <v>89</v>
      </c>
      <c r="D52" s="192" t="s">
        <v>90</v>
      </c>
      <c r="E52" s="194" t="s">
        <v>91</v>
      </c>
      <c r="F52" s="195" t="s">
        <v>92</v>
      </c>
      <c r="G52" s="196" t="s">
        <v>93</v>
      </c>
      <c r="H52" s="122"/>
    </row>
    <row r="53" spans="2:8" x14ac:dyDescent="0.2">
      <c r="B53" s="51"/>
      <c r="C53" s="50"/>
      <c r="D53" s="50"/>
      <c r="E53" s="359"/>
      <c r="F53" s="360"/>
      <c r="G53" s="361"/>
      <c r="H53" s="122"/>
    </row>
    <row r="54" spans="2:8" ht="20.25" x14ac:dyDescent="0.2">
      <c r="B54" s="296" t="s">
        <v>18</v>
      </c>
      <c r="C54" s="297" t="s">
        <v>367</v>
      </c>
      <c r="D54" s="298"/>
      <c r="E54" s="299"/>
      <c r="F54" s="300"/>
      <c r="G54" s="301"/>
      <c r="H54" s="122"/>
    </row>
    <row r="55" spans="2:8" x14ac:dyDescent="0.2">
      <c r="B55" s="3205" t="s">
        <v>539</v>
      </c>
      <c r="C55" s="3206"/>
      <c r="D55" s="3206"/>
      <c r="E55" s="3206"/>
      <c r="F55" s="3206"/>
      <c r="G55" s="3207"/>
      <c r="H55" s="122"/>
    </row>
    <row r="56" spans="2:8" ht="25.5" customHeight="1" x14ac:dyDescent="0.2">
      <c r="B56" s="3205" t="s">
        <v>540</v>
      </c>
      <c r="C56" s="3206"/>
      <c r="D56" s="3206"/>
      <c r="E56" s="3206"/>
      <c r="F56" s="3206"/>
      <c r="G56" s="3207"/>
      <c r="H56" s="122"/>
    </row>
    <row r="57" spans="2:8" x14ac:dyDescent="0.2">
      <c r="B57" s="3205" t="s">
        <v>541</v>
      </c>
      <c r="C57" s="3206"/>
      <c r="D57" s="3206"/>
      <c r="E57" s="3206"/>
      <c r="F57" s="3206"/>
      <c r="G57" s="3207"/>
      <c r="H57" s="122"/>
    </row>
    <row r="58" spans="2:8" ht="25.5" customHeight="1" x14ac:dyDescent="0.2">
      <c r="B58" s="3205" t="s">
        <v>542</v>
      </c>
      <c r="C58" s="3206"/>
      <c r="D58" s="3206"/>
      <c r="E58" s="3206"/>
      <c r="F58" s="3206"/>
      <c r="G58" s="3207"/>
      <c r="H58" s="122"/>
    </row>
    <row r="59" spans="2:8" ht="25.5" customHeight="1" x14ac:dyDescent="0.2">
      <c r="B59" s="3205" t="s">
        <v>543</v>
      </c>
      <c r="C59" s="3206"/>
      <c r="D59" s="3206"/>
      <c r="E59" s="3206"/>
      <c r="F59" s="3206"/>
      <c r="G59" s="3207"/>
    </row>
    <row r="60" spans="2:8" ht="25.5" customHeight="1" x14ac:dyDescent="0.2">
      <c r="B60" s="3205" t="s">
        <v>544</v>
      </c>
      <c r="C60" s="3206"/>
      <c r="D60" s="3206"/>
      <c r="E60" s="3206"/>
      <c r="F60" s="3206"/>
      <c r="G60" s="3207"/>
    </row>
    <row r="61" spans="2:8" x14ac:dyDescent="0.2">
      <c r="B61" s="3205" t="s">
        <v>545</v>
      </c>
      <c r="C61" s="3206"/>
      <c r="D61" s="3206"/>
      <c r="E61" s="3206"/>
      <c r="F61" s="3206"/>
      <c r="G61" s="3207"/>
    </row>
    <row r="62" spans="2:8" x14ac:dyDescent="0.2">
      <c r="B62" s="153">
        <v>1</v>
      </c>
      <c r="C62" s="357" t="s">
        <v>550</v>
      </c>
      <c r="D62" s="207"/>
      <c r="E62" s="199"/>
      <c r="F62" s="269"/>
      <c r="G62" s="270"/>
    </row>
    <row r="63" spans="2:8" ht="108" x14ac:dyDescent="0.2">
      <c r="B63" s="129"/>
      <c r="C63" s="197" t="s">
        <v>815</v>
      </c>
      <c r="D63" s="207" t="s">
        <v>98</v>
      </c>
      <c r="E63" s="199">
        <v>1</v>
      </c>
      <c r="F63" s="200">
        <v>0</v>
      </c>
      <c r="G63" s="270">
        <f t="shared" ref="G63:G85" si="2">E63*F63</f>
        <v>0</v>
      </c>
    </row>
    <row r="64" spans="2:8" ht="36" x14ac:dyDescent="0.2">
      <c r="B64" s="129"/>
      <c r="C64" s="197" t="s">
        <v>942</v>
      </c>
      <c r="D64" s="207" t="s">
        <v>123</v>
      </c>
      <c r="E64" s="199">
        <v>5</v>
      </c>
      <c r="F64" s="200">
        <v>0</v>
      </c>
      <c r="G64" s="270">
        <f t="shared" si="2"/>
        <v>0</v>
      </c>
    </row>
    <row r="65" spans="2:7" ht="96" x14ac:dyDescent="0.2">
      <c r="B65" s="129"/>
      <c r="C65" s="197" t="s">
        <v>748</v>
      </c>
      <c r="D65" s="207" t="s">
        <v>98</v>
      </c>
      <c r="E65" s="199">
        <v>1</v>
      </c>
      <c r="F65" s="200">
        <v>0</v>
      </c>
      <c r="G65" s="270">
        <f t="shared" si="2"/>
        <v>0</v>
      </c>
    </row>
    <row r="66" spans="2:7" ht="60" x14ac:dyDescent="0.2">
      <c r="B66" s="129"/>
      <c r="C66" s="197" t="s">
        <v>751</v>
      </c>
      <c r="D66" s="207" t="s">
        <v>123</v>
      </c>
      <c r="E66" s="199">
        <v>1</v>
      </c>
      <c r="F66" s="200">
        <v>0</v>
      </c>
      <c r="G66" s="270">
        <f t="shared" si="2"/>
        <v>0</v>
      </c>
    </row>
    <row r="67" spans="2:7" ht="60" x14ac:dyDescent="0.2">
      <c r="B67" s="129"/>
      <c r="C67" s="197" t="s">
        <v>752</v>
      </c>
      <c r="D67" s="207" t="s">
        <v>123</v>
      </c>
      <c r="E67" s="199">
        <v>1</v>
      </c>
      <c r="F67" s="200">
        <v>0</v>
      </c>
      <c r="G67" s="270">
        <f t="shared" si="2"/>
        <v>0</v>
      </c>
    </row>
    <row r="68" spans="2:7" ht="60" x14ac:dyDescent="0.2">
      <c r="B68" s="129"/>
      <c r="C68" s="197" t="s">
        <v>753</v>
      </c>
      <c r="D68" s="207" t="s">
        <v>123</v>
      </c>
      <c r="E68" s="199">
        <v>2</v>
      </c>
      <c r="F68" s="200">
        <v>0</v>
      </c>
      <c r="G68" s="270">
        <f t="shared" si="2"/>
        <v>0</v>
      </c>
    </row>
    <row r="69" spans="2:7" ht="60" x14ac:dyDescent="0.2">
      <c r="B69" s="129"/>
      <c r="C69" s="197" t="s">
        <v>754</v>
      </c>
      <c r="D69" s="207" t="s">
        <v>123</v>
      </c>
      <c r="E69" s="199">
        <v>1</v>
      </c>
      <c r="F69" s="200">
        <v>0</v>
      </c>
      <c r="G69" s="270">
        <f t="shared" si="2"/>
        <v>0</v>
      </c>
    </row>
    <row r="70" spans="2:7" ht="48" x14ac:dyDescent="0.2">
      <c r="B70" s="129"/>
      <c r="C70" s="197" t="s">
        <v>755</v>
      </c>
      <c r="D70" s="207" t="s">
        <v>123</v>
      </c>
      <c r="E70" s="199">
        <v>1</v>
      </c>
      <c r="F70" s="200">
        <v>0</v>
      </c>
      <c r="G70" s="270">
        <f t="shared" si="2"/>
        <v>0</v>
      </c>
    </row>
    <row r="71" spans="2:7" ht="60" x14ac:dyDescent="0.2">
      <c r="B71" s="129"/>
      <c r="C71" s="311" t="s">
        <v>756</v>
      </c>
      <c r="D71" s="207" t="s">
        <v>98</v>
      </c>
      <c r="E71" s="199">
        <v>1</v>
      </c>
      <c r="F71" s="200">
        <v>0</v>
      </c>
      <c r="G71" s="270">
        <f t="shared" si="2"/>
        <v>0</v>
      </c>
    </row>
    <row r="72" spans="2:7" ht="48" x14ac:dyDescent="0.2">
      <c r="B72" s="129"/>
      <c r="C72" s="197" t="s">
        <v>757</v>
      </c>
      <c r="D72" s="207" t="s">
        <v>123</v>
      </c>
      <c r="E72" s="199">
        <v>1</v>
      </c>
      <c r="F72" s="200">
        <v>0</v>
      </c>
      <c r="G72" s="270">
        <f t="shared" si="2"/>
        <v>0</v>
      </c>
    </row>
    <row r="73" spans="2:7" ht="108" x14ac:dyDescent="0.2">
      <c r="B73" s="129"/>
      <c r="C73" s="197" t="s">
        <v>619</v>
      </c>
      <c r="D73" s="207" t="s">
        <v>123</v>
      </c>
      <c r="E73" s="199">
        <v>1</v>
      </c>
      <c r="F73" s="200">
        <v>0</v>
      </c>
      <c r="G73" s="270">
        <f t="shared" si="2"/>
        <v>0</v>
      </c>
    </row>
    <row r="74" spans="2:7" ht="36" x14ac:dyDescent="0.2">
      <c r="B74" s="129"/>
      <c r="C74" s="197" t="s">
        <v>758</v>
      </c>
      <c r="D74" s="207" t="s">
        <v>123</v>
      </c>
      <c r="E74" s="199">
        <v>40</v>
      </c>
      <c r="F74" s="200">
        <v>0</v>
      </c>
      <c r="G74" s="270">
        <f t="shared" si="2"/>
        <v>0</v>
      </c>
    </row>
    <row r="75" spans="2:7" ht="36" x14ac:dyDescent="0.2">
      <c r="B75" s="129"/>
      <c r="C75" s="197" t="s">
        <v>759</v>
      </c>
      <c r="D75" s="207" t="s">
        <v>123</v>
      </c>
      <c r="E75" s="199">
        <v>10</v>
      </c>
      <c r="F75" s="200">
        <v>0</v>
      </c>
      <c r="G75" s="270">
        <f t="shared" si="2"/>
        <v>0</v>
      </c>
    </row>
    <row r="76" spans="2:7" ht="36" x14ac:dyDescent="0.2">
      <c r="B76" s="129"/>
      <c r="C76" s="197" t="s">
        <v>760</v>
      </c>
      <c r="D76" s="207" t="s">
        <v>123</v>
      </c>
      <c r="E76" s="199">
        <v>2</v>
      </c>
      <c r="F76" s="200">
        <v>0</v>
      </c>
      <c r="G76" s="270">
        <f t="shared" si="2"/>
        <v>0</v>
      </c>
    </row>
    <row r="77" spans="2:7" ht="36" x14ac:dyDescent="0.2">
      <c r="B77" s="129"/>
      <c r="C77" s="197" t="s">
        <v>761</v>
      </c>
      <c r="D77" s="207" t="s">
        <v>123</v>
      </c>
      <c r="E77" s="199">
        <v>12</v>
      </c>
      <c r="F77" s="200">
        <v>0</v>
      </c>
      <c r="G77" s="270">
        <f t="shared" si="2"/>
        <v>0</v>
      </c>
    </row>
    <row r="78" spans="2:7" ht="36" x14ac:dyDescent="0.2">
      <c r="B78" s="129"/>
      <c r="C78" s="197" t="s">
        <v>762</v>
      </c>
      <c r="D78" s="207" t="s">
        <v>123</v>
      </c>
      <c r="E78" s="199">
        <v>1</v>
      </c>
      <c r="F78" s="200">
        <v>0</v>
      </c>
      <c r="G78" s="270">
        <f t="shared" si="2"/>
        <v>0</v>
      </c>
    </row>
    <row r="79" spans="2:7" ht="48" x14ac:dyDescent="0.2">
      <c r="B79" s="129"/>
      <c r="C79" s="197" t="s">
        <v>763</v>
      </c>
      <c r="D79" s="207" t="s">
        <v>123</v>
      </c>
      <c r="E79" s="199">
        <v>1</v>
      </c>
      <c r="F79" s="200">
        <v>0</v>
      </c>
      <c r="G79" s="270">
        <f t="shared" si="2"/>
        <v>0</v>
      </c>
    </row>
    <row r="80" spans="2:7" ht="48" x14ac:dyDescent="0.2">
      <c r="B80" s="129"/>
      <c r="C80" s="197" t="s">
        <v>764</v>
      </c>
      <c r="D80" s="207" t="s">
        <v>123</v>
      </c>
      <c r="E80" s="199">
        <v>3</v>
      </c>
      <c r="F80" s="200">
        <v>0</v>
      </c>
      <c r="G80" s="270">
        <f t="shared" si="2"/>
        <v>0</v>
      </c>
    </row>
    <row r="81" spans="2:8" ht="48" x14ac:dyDescent="0.2">
      <c r="B81" s="129"/>
      <c r="C81" s="197" t="s">
        <v>765</v>
      </c>
      <c r="D81" s="207" t="s">
        <v>123</v>
      </c>
      <c r="E81" s="199">
        <v>3</v>
      </c>
      <c r="F81" s="200">
        <v>0</v>
      </c>
      <c r="G81" s="270">
        <f t="shared" si="2"/>
        <v>0</v>
      </c>
    </row>
    <row r="82" spans="2:8" ht="48" x14ac:dyDescent="0.2">
      <c r="B82" s="129"/>
      <c r="C82" s="197" t="s">
        <v>766</v>
      </c>
      <c r="D82" s="207" t="s">
        <v>123</v>
      </c>
      <c r="E82" s="199">
        <v>3</v>
      </c>
      <c r="F82" s="200">
        <v>0</v>
      </c>
      <c r="G82" s="270">
        <f t="shared" si="2"/>
        <v>0</v>
      </c>
    </row>
    <row r="83" spans="2:8" ht="48" x14ac:dyDescent="0.2">
      <c r="B83" s="129"/>
      <c r="C83" s="197" t="s">
        <v>767</v>
      </c>
      <c r="D83" s="207" t="s">
        <v>98</v>
      </c>
      <c r="E83" s="199">
        <v>1</v>
      </c>
      <c r="F83" s="200">
        <v>0</v>
      </c>
      <c r="G83" s="270">
        <f t="shared" si="2"/>
        <v>0</v>
      </c>
    </row>
    <row r="84" spans="2:8" ht="60" x14ac:dyDescent="0.2">
      <c r="B84" s="129"/>
      <c r="C84" s="197" t="s">
        <v>768</v>
      </c>
      <c r="D84" s="207" t="s">
        <v>123</v>
      </c>
      <c r="E84" s="199">
        <v>1</v>
      </c>
      <c r="F84" s="200">
        <v>0</v>
      </c>
      <c r="G84" s="270">
        <f t="shared" si="2"/>
        <v>0</v>
      </c>
    </row>
    <row r="85" spans="2:8" ht="84" x14ac:dyDescent="0.2">
      <c r="B85" s="129"/>
      <c r="C85" s="197" t="s">
        <v>620</v>
      </c>
      <c r="D85" s="207" t="s">
        <v>123</v>
      </c>
      <c r="E85" s="199">
        <v>1</v>
      </c>
      <c r="F85" s="200">
        <v>0</v>
      </c>
      <c r="G85" s="270">
        <f t="shared" si="2"/>
        <v>0</v>
      </c>
    </row>
    <row r="86" spans="2:8" x14ac:dyDescent="0.2">
      <c r="B86" s="153">
        <v>2</v>
      </c>
      <c r="C86" s="357" t="s">
        <v>769</v>
      </c>
      <c r="D86" s="207"/>
      <c r="E86" s="199"/>
      <c r="F86" s="269"/>
      <c r="G86" s="270"/>
    </row>
    <row r="87" spans="2:8" s="121" customFormat="1" ht="387.75" customHeight="1" x14ac:dyDescent="0.2">
      <c r="B87" s="2743"/>
      <c r="C87" s="2744"/>
      <c r="D87" s="2745"/>
      <c r="E87" s="2746"/>
      <c r="F87" s="2747"/>
      <c r="G87" s="2736"/>
      <c r="H87" s="122"/>
    </row>
    <row r="88" spans="2:8" s="121" customFormat="1" ht="24.75" customHeight="1" x14ac:dyDescent="0.2">
      <c r="B88" s="2743"/>
      <c r="C88" s="2744" t="s">
        <v>2465</v>
      </c>
      <c r="D88" s="2748" t="s">
        <v>98</v>
      </c>
      <c r="E88" s="2746">
        <v>1</v>
      </c>
      <c r="F88" s="2747">
        <v>0</v>
      </c>
      <c r="G88" s="2736">
        <f t="shared" ref="G88" si="3">E88*F88</f>
        <v>0</v>
      </c>
      <c r="H88" s="122"/>
    </row>
    <row r="89" spans="2:8" ht="48" x14ac:dyDescent="0.2">
      <c r="B89" s="153"/>
      <c r="C89" s="311" t="s">
        <v>771</v>
      </c>
      <c r="D89" s="207" t="s">
        <v>123</v>
      </c>
      <c r="E89" s="199">
        <v>1</v>
      </c>
      <c r="F89" s="269">
        <v>0</v>
      </c>
      <c r="G89" s="270">
        <f t="shared" ref="G89:G94" si="4">E89*F89</f>
        <v>0</v>
      </c>
    </row>
    <row r="90" spans="2:8" ht="60" x14ac:dyDescent="0.2">
      <c r="B90" s="129"/>
      <c r="C90" s="197" t="s">
        <v>772</v>
      </c>
      <c r="D90" s="207" t="s">
        <v>123</v>
      </c>
      <c r="E90" s="199">
        <v>1</v>
      </c>
      <c r="F90" s="269">
        <v>0</v>
      </c>
      <c r="G90" s="270">
        <f t="shared" si="4"/>
        <v>0</v>
      </c>
    </row>
    <row r="91" spans="2:8" ht="180" x14ac:dyDescent="0.2">
      <c r="B91" s="129"/>
      <c r="C91" s="197" t="s">
        <v>773</v>
      </c>
      <c r="D91" s="207" t="s">
        <v>123</v>
      </c>
      <c r="E91" s="199">
        <v>1</v>
      </c>
      <c r="F91" s="269">
        <v>0</v>
      </c>
      <c r="G91" s="270">
        <f t="shared" si="4"/>
        <v>0</v>
      </c>
    </row>
    <row r="92" spans="2:8" ht="60" x14ac:dyDescent="0.2">
      <c r="B92" s="129"/>
      <c r="C92" s="197" t="s">
        <v>774</v>
      </c>
      <c r="D92" s="207" t="s">
        <v>98</v>
      </c>
      <c r="E92" s="199">
        <v>1</v>
      </c>
      <c r="F92" s="269">
        <v>0</v>
      </c>
      <c r="G92" s="270">
        <f t="shared" si="4"/>
        <v>0</v>
      </c>
    </row>
    <row r="93" spans="2:8" ht="36" x14ac:dyDescent="0.2">
      <c r="B93" s="129"/>
      <c r="C93" s="197" t="s">
        <v>603</v>
      </c>
      <c r="D93" s="207" t="s">
        <v>123</v>
      </c>
      <c r="E93" s="199">
        <v>1</v>
      </c>
      <c r="F93" s="269">
        <v>0</v>
      </c>
      <c r="G93" s="270">
        <f t="shared" si="4"/>
        <v>0</v>
      </c>
    </row>
    <row r="94" spans="2:8" ht="288" x14ac:dyDescent="0.2">
      <c r="B94" s="129"/>
      <c r="C94" s="197" t="s">
        <v>630</v>
      </c>
      <c r="D94" s="207" t="s">
        <v>98</v>
      </c>
      <c r="E94" s="199">
        <v>2</v>
      </c>
      <c r="F94" s="269">
        <v>0</v>
      </c>
      <c r="G94" s="270">
        <f t="shared" si="4"/>
        <v>0</v>
      </c>
    </row>
    <row r="95" spans="2:8" x14ac:dyDescent="0.2">
      <c r="B95" s="153">
        <v>3</v>
      </c>
      <c r="C95" s="357" t="s">
        <v>775</v>
      </c>
      <c r="D95" s="207"/>
      <c r="E95" s="199"/>
      <c r="F95" s="269"/>
      <c r="G95" s="270"/>
    </row>
    <row r="96" spans="2:8" ht="264" x14ac:dyDescent="0.2">
      <c r="B96" s="129"/>
      <c r="C96" s="197" t="s">
        <v>816</v>
      </c>
      <c r="D96" s="207" t="s">
        <v>98</v>
      </c>
      <c r="E96" s="199">
        <v>1</v>
      </c>
      <c r="F96" s="200">
        <v>0</v>
      </c>
      <c r="G96" s="270">
        <f>E96*F96</f>
        <v>0</v>
      </c>
    </row>
    <row r="97" spans="2:8" ht="72" x14ac:dyDescent="0.2">
      <c r="B97" s="153"/>
      <c r="C97" s="311" t="s">
        <v>777</v>
      </c>
      <c r="D97" s="207" t="s">
        <v>98</v>
      </c>
      <c r="E97" s="199">
        <v>1</v>
      </c>
      <c r="F97" s="200">
        <v>0</v>
      </c>
      <c r="G97" s="270">
        <f>E97*F97</f>
        <v>0</v>
      </c>
    </row>
    <row r="98" spans="2:8" ht="84" x14ac:dyDescent="0.2">
      <c r="B98" s="129"/>
      <c r="C98" s="197" t="s">
        <v>778</v>
      </c>
      <c r="D98" s="207" t="s">
        <v>98</v>
      </c>
      <c r="E98" s="199">
        <v>1</v>
      </c>
      <c r="F98" s="200">
        <v>0</v>
      </c>
      <c r="G98" s="270">
        <f>E98*F98</f>
        <v>0</v>
      </c>
    </row>
    <row r="99" spans="2:8" x14ac:dyDescent="0.2">
      <c r="B99" s="153">
        <v>4</v>
      </c>
      <c r="C99" s="357" t="s">
        <v>779</v>
      </c>
      <c r="D99" s="207"/>
      <c r="E99" s="199"/>
      <c r="F99" s="269"/>
      <c r="G99" s="270"/>
    </row>
    <row r="100" spans="2:8" ht="60" x14ac:dyDescent="0.2">
      <c r="B100" s="129"/>
      <c r="C100" s="197" t="s">
        <v>780</v>
      </c>
      <c r="D100" s="207" t="s">
        <v>98</v>
      </c>
      <c r="E100" s="199">
        <v>2</v>
      </c>
      <c r="F100" s="200">
        <v>0</v>
      </c>
      <c r="G100" s="270">
        <f>E100*F100</f>
        <v>0</v>
      </c>
    </row>
    <row r="101" spans="2:8" ht="48" x14ac:dyDescent="0.2">
      <c r="B101" s="129"/>
      <c r="C101" s="197" t="s">
        <v>781</v>
      </c>
      <c r="D101" s="207" t="s">
        <v>98</v>
      </c>
      <c r="E101" s="199">
        <v>2</v>
      </c>
      <c r="F101" s="200">
        <v>0</v>
      </c>
      <c r="G101" s="270">
        <f>E101*F101</f>
        <v>0</v>
      </c>
    </row>
    <row r="102" spans="2:8" ht="36" x14ac:dyDescent="0.2">
      <c r="B102" s="129"/>
      <c r="C102" s="197" t="s">
        <v>782</v>
      </c>
      <c r="D102" s="207" t="s">
        <v>123</v>
      </c>
      <c r="E102" s="199">
        <v>1</v>
      </c>
      <c r="F102" s="200">
        <v>0</v>
      </c>
      <c r="G102" s="270">
        <f>E102*F102</f>
        <v>0</v>
      </c>
    </row>
    <row r="103" spans="2:8" ht="132" x14ac:dyDescent="0.2">
      <c r="B103" s="129"/>
      <c r="C103" s="197" t="s">
        <v>508</v>
      </c>
      <c r="D103" s="207" t="s">
        <v>123</v>
      </c>
      <c r="E103" s="199">
        <v>1</v>
      </c>
      <c r="F103" s="200">
        <v>0</v>
      </c>
      <c r="G103" s="270">
        <f>E103*F103</f>
        <v>0</v>
      </c>
    </row>
    <row r="104" spans="2:8" ht="96" x14ac:dyDescent="0.2">
      <c r="B104" s="129"/>
      <c r="C104" s="197" t="s">
        <v>783</v>
      </c>
      <c r="D104" s="207" t="s">
        <v>123</v>
      </c>
      <c r="E104" s="199">
        <v>1</v>
      </c>
      <c r="F104" s="200">
        <v>0</v>
      </c>
      <c r="G104" s="270">
        <f>E104*F104</f>
        <v>0</v>
      </c>
    </row>
    <row r="105" spans="2:8" x14ac:dyDescent="0.2">
      <c r="B105" s="153">
        <v>5</v>
      </c>
      <c r="C105" s="357" t="s">
        <v>784</v>
      </c>
      <c r="D105" s="207"/>
      <c r="E105" s="199"/>
      <c r="F105" s="269"/>
      <c r="G105" s="270"/>
    </row>
    <row r="106" spans="2:8" x14ac:dyDescent="0.2">
      <c r="B106" s="153"/>
      <c r="C106" s="311" t="s">
        <v>645</v>
      </c>
      <c r="D106" s="207" t="s">
        <v>644</v>
      </c>
      <c r="E106" s="199">
        <v>15</v>
      </c>
      <c r="F106" s="269">
        <v>0</v>
      </c>
      <c r="G106" s="270">
        <f t="shared" ref="G106:G113" si="5">E106*F106</f>
        <v>0</v>
      </c>
    </row>
    <row r="107" spans="2:8" x14ac:dyDescent="0.2">
      <c r="B107" s="153"/>
      <c r="C107" s="311" t="s">
        <v>646</v>
      </c>
      <c r="D107" s="207" t="s">
        <v>644</v>
      </c>
      <c r="E107" s="199">
        <v>50</v>
      </c>
      <c r="F107" s="269">
        <v>0</v>
      </c>
      <c r="G107" s="270">
        <f t="shared" si="5"/>
        <v>0</v>
      </c>
    </row>
    <row r="108" spans="2:8" x14ac:dyDescent="0.2">
      <c r="B108" s="153"/>
      <c r="C108" s="311" t="s">
        <v>647</v>
      </c>
      <c r="D108" s="207" t="s">
        <v>644</v>
      </c>
      <c r="E108" s="199">
        <v>25</v>
      </c>
      <c r="F108" s="269">
        <v>0</v>
      </c>
      <c r="G108" s="270">
        <f t="shared" si="5"/>
        <v>0</v>
      </c>
      <c r="H108" s="122"/>
    </row>
    <row r="109" spans="2:8" x14ac:dyDescent="0.2">
      <c r="B109" s="153"/>
      <c r="C109" s="311" t="s">
        <v>648</v>
      </c>
      <c r="D109" s="207" t="s">
        <v>644</v>
      </c>
      <c r="E109" s="199">
        <v>15</v>
      </c>
      <c r="F109" s="269">
        <v>0</v>
      </c>
      <c r="G109" s="270">
        <f t="shared" si="5"/>
        <v>0</v>
      </c>
      <c r="H109" s="122"/>
    </row>
    <row r="110" spans="2:8" x14ac:dyDescent="0.2">
      <c r="B110" s="153"/>
      <c r="C110" s="311" t="s">
        <v>650</v>
      </c>
      <c r="D110" s="207" t="s">
        <v>123</v>
      </c>
      <c r="E110" s="199">
        <v>2</v>
      </c>
      <c r="F110" s="269">
        <v>0</v>
      </c>
      <c r="G110" s="270">
        <f t="shared" si="5"/>
        <v>0</v>
      </c>
      <c r="H110" s="122"/>
    </row>
    <row r="111" spans="2:8" x14ac:dyDescent="0.2">
      <c r="B111" s="153"/>
      <c r="C111" s="311" t="s">
        <v>651</v>
      </c>
      <c r="D111" s="207" t="s">
        <v>644</v>
      </c>
      <c r="E111" s="199">
        <v>20</v>
      </c>
      <c r="F111" s="269">
        <v>0</v>
      </c>
      <c r="G111" s="270">
        <f t="shared" si="5"/>
        <v>0</v>
      </c>
      <c r="H111" s="122"/>
    </row>
    <row r="112" spans="2:8" x14ac:dyDescent="0.2">
      <c r="B112" s="153"/>
      <c r="C112" s="311" t="s">
        <v>652</v>
      </c>
      <c r="D112" s="207" t="s">
        <v>644</v>
      </c>
      <c r="E112" s="199">
        <v>15</v>
      </c>
      <c r="F112" s="269">
        <v>0</v>
      </c>
      <c r="G112" s="270">
        <f t="shared" si="5"/>
        <v>0</v>
      </c>
      <c r="H112" s="122"/>
    </row>
    <row r="113" spans="2:8" x14ac:dyDescent="0.2">
      <c r="B113" s="129"/>
      <c r="C113" s="311" t="s">
        <v>632</v>
      </c>
      <c r="D113" s="207" t="s">
        <v>98</v>
      </c>
      <c r="E113" s="199">
        <v>1</v>
      </c>
      <c r="F113" s="269">
        <v>0</v>
      </c>
      <c r="G113" s="270">
        <f t="shared" si="5"/>
        <v>0</v>
      </c>
      <c r="H113" s="122"/>
    </row>
    <row r="114" spans="2:8" s="11" customFormat="1" x14ac:dyDescent="0.2">
      <c r="B114" s="59">
        <v>6</v>
      </c>
      <c r="C114" s="357" t="s">
        <v>785</v>
      </c>
      <c r="D114" s="15"/>
      <c r="E114" s="419"/>
      <c r="F114" s="14"/>
      <c r="G114" s="13"/>
      <c r="H114" s="12"/>
    </row>
    <row r="115" spans="2:8" s="11" customFormat="1" ht="24" x14ac:dyDescent="0.2">
      <c r="B115" s="59"/>
      <c r="C115" s="311" t="s">
        <v>666</v>
      </c>
      <c r="D115" s="207" t="s">
        <v>644</v>
      </c>
      <c r="E115" s="199">
        <v>8</v>
      </c>
      <c r="F115" s="269">
        <v>0</v>
      </c>
      <c r="G115" s="270">
        <f t="shared" ref="G115:G121" si="6">E115*F115</f>
        <v>0</v>
      </c>
      <c r="H115" s="12"/>
    </row>
    <row r="116" spans="2:8" s="11" customFormat="1" x14ac:dyDescent="0.2">
      <c r="B116" s="59"/>
      <c r="C116" s="311" t="s">
        <v>667</v>
      </c>
      <c r="D116" s="207" t="s">
        <v>644</v>
      </c>
      <c r="E116" s="199">
        <v>50</v>
      </c>
      <c r="F116" s="269">
        <v>0</v>
      </c>
      <c r="G116" s="270">
        <f t="shared" si="6"/>
        <v>0</v>
      </c>
      <c r="H116" s="12"/>
    </row>
    <row r="117" spans="2:8" s="11" customFormat="1" x14ac:dyDescent="0.2">
      <c r="B117" s="59"/>
      <c r="C117" s="311" t="s">
        <v>668</v>
      </c>
      <c r="D117" s="207" t="s">
        <v>644</v>
      </c>
      <c r="E117" s="199">
        <v>20</v>
      </c>
      <c r="F117" s="269">
        <v>0</v>
      </c>
      <c r="G117" s="270">
        <f t="shared" si="6"/>
        <v>0</v>
      </c>
      <c r="H117" s="12"/>
    </row>
    <row r="118" spans="2:8" s="11" customFormat="1" x14ac:dyDescent="0.2">
      <c r="B118" s="59"/>
      <c r="C118" s="311" t="s">
        <v>673</v>
      </c>
      <c r="D118" s="207" t="s">
        <v>123</v>
      </c>
      <c r="E118" s="199">
        <v>1</v>
      </c>
      <c r="F118" s="269">
        <v>0</v>
      </c>
      <c r="G118" s="270">
        <f t="shared" si="6"/>
        <v>0</v>
      </c>
      <c r="H118" s="12"/>
    </row>
    <row r="119" spans="2:8" s="11" customFormat="1" x14ac:dyDescent="0.2">
      <c r="B119" s="59"/>
      <c r="C119" s="311" t="s">
        <v>675</v>
      </c>
      <c r="D119" s="207" t="s">
        <v>123</v>
      </c>
      <c r="E119" s="199">
        <v>3</v>
      </c>
      <c r="F119" s="269">
        <v>0</v>
      </c>
      <c r="G119" s="270">
        <f t="shared" si="6"/>
        <v>0</v>
      </c>
      <c r="H119" s="12"/>
    </row>
    <row r="120" spans="2:8" s="11" customFormat="1" x14ac:dyDescent="0.2">
      <c r="B120" s="59"/>
      <c r="C120" s="311" t="s">
        <v>676</v>
      </c>
      <c r="D120" s="207" t="s">
        <v>123</v>
      </c>
      <c r="E120" s="199">
        <v>2</v>
      </c>
      <c r="F120" s="269">
        <v>0</v>
      </c>
      <c r="G120" s="270">
        <f t="shared" si="6"/>
        <v>0</v>
      </c>
      <c r="H120" s="12"/>
    </row>
    <row r="121" spans="2:8" s="11" customFormat="1" ht="24" x14ac:dyDescent="0.2">
      <c r="B121" s="59"/>
      <c r="C121" s="311" t="s">
        <v>677</v>
      </c>
      <c r="D121" s="207" t="s">
        <v>123</v>
      </c>
      <c r="E121" s="199">
        <v>1</v>
      </c>
      <c r="F121" s="269">
        <v>0</v>
      </c>
      <c r="G121" s="270">
        <f t="shared" si="6"/>
        <v>0</v>
      </c>
      <c r="H121" s="12"/>
    </row>
    <row r="122" spans="2:8" x14ac:dyDescent="0.2">
      <c r="B122" s="153">
        <v>7</v>
      </c>
      <c r="C122" s="357" t="s">
        <v>788</v>
      </c>
      <c r="D122" s="207"/>
      <c r="E122" s="199"/>
      <c r="F122" s="269"/>
      <c r="G122" s="270"/>
      <c r="H122" s="122"/>
    </row>
    <row r="123" spans="2:8" x14ac:dyDescent="0.2">
      <c r="B123" s="153"/>
      <c r="C123" s="197" t="s">
        <v>655</v>
      </c>
      <c r="D123" s="207" t="s">
        <v>644</v>
      </c>
      <c r="E123" s="199">
        <v>10</v>
      </c>
      <c r="F123" s="200">
        <v>0</v>
      </c>
      <c r="G123" s="270">
        <f>E123*F123</f>
        <v>0</v>
      </c>
      <c r="H123" s="122"/>
    </row>
    <row r="124" spans="2:8" ht="36" x14ac:dyDescent="0.2">
      <c r="B124" s="153"/>
      <c r="C124" s="197" t="s">
        <v>656</v>
      </c>
      <c r="D124" s="207" t="s">
        <v>98</v>
      </c>
      <c r="E124" s="199">
        <v>1</v>
      </c>
      <c r="F124" s="200">
        <v>0</v>
      </c>
      <c r="G124" s="270">
        <f>E124*F124</f>
        <v>0</v>
      </c>
    </row>
    <row r="125" spans="2:8" ht="24" x14ac:dyDescent="0.2">
      <c r="B125" s="153"/>
      <c r="C125" s="197" t="s">
        <v>657</v>
      </c>
      <c r="D125" s="207" t="s">
        <v>98</v>
      </c>
      <c r="E125" s="199">
        <v>1</v>
      </c>
      <c r="F125" s="200">
        <v>0</v>
      </c>
      <c r="G125" s="270">
        <f>E125*F125</f>
        <v>0</v>
      </c>
    </row>
    <row r="126" spans="2:8" x14ac:dyDescent="0.2">
      <c r="B126" s="129"/>
      <c r="C126" s="197" t="s">
        <v>663</v>
      </c>
      <c r="D126" s="207" t="s">
        <v>98</v>
      </c>
      <c r="E126" s="199">
        <v>1</v>
      </c>
      <c r="F126" s="200">
        <v>0</v>
      </c>
      <c r="G126" s="270">
        <f>E126*F126</f>
        <v>0</v>
      </c>
    </row>
    <row r="127" spans="2:8" x14ac:dyDescent="0.2">
      <c r="B127" s="153">
        <v>8</v>
      </c>
      <c r="C127" s="357" t="s">
        <v>679</v>
      </c>
      <c r="D127" s="207"/>
      <c r="E127" s="199"/>
      <c r="F127" s="269"/>
      <c r="G127" s="270"/>
    </row>
    <row r="128" spans="2:8" ht="48" x14ac:dyDescent="0.2">
      <c r="B128" s="129"/>
      <c r="C128" s="197" t="s">
        <v>789</v>
      </c>
      <c r="D128" s="207" t="s">
        <v>98</v>
      </c>
      <c r="E128" s="199">
        <v>1</v>
      </c>
      <c r="F128" s="200">
        <v>0</v>
      </c>
      <c r="G128" s="270">
        <f>E128*F128</f>
        <v>0</v>
      </c>
    </row>
    <row r="129" spans="2:7" ht="36" x14ac:dyDescent="0.2">
      <c r="B129" s="153"/>
      <c r="C129" s="311" t="s">
        <v>790</v>
      </c>
      <c r="D129" s="207" t="s">
        <v>98</v>
      </c>
      <c r="E129" s="199">
        <v>1</v>
      </c>
      <c r="F129" s="200">
        <v>0</v>
      </c>
      <c r="G129" s="270">
        <f>E129*F129</f>
        <v>0</v>
      </c>
    </row>
    <row r="130" spans="2:7" ht="36" x14ac:dyDescent="0.2">
      <c r="B130" s="129"/>
      <c r="C130" s="197" t="s">
        <v>791</v>
      </c>
      <c r="D130" s="207" t="s">
        <v>98</v>
      </c>
      <c r="E130" s="199">
        <v>1</v>
      </c>
      <c r="F130" s="200">
        <v>0</v>
      </c>
      <c r="G130" s="270">
        <f>E130*F130</f>
        <v>0</v>
      </c>
    </row>
    <row r="131" spans="2:7" ht="36" x14ac:dyDescent="0.2">
      <c r="B131" s="153"/>
      <c r="C131" s="311" t="s">
        <v>792</v>
      </c>
      <c r="D131" s="207" t="s">
        <v>98</v>
      </c>
      <c r="E131" s="199">
        <v>1</v>
      </c>
      <c r="F131" s="200">
        <v>0</v>
      </c>
      <c r="G131" s="270">
        <f>E131*F131</f>
        <v>0</v>
      </c>
    </row>
    <row r="132" spans="2:7" x14ac:dyDescent="0.2">
      <c r="B132" s="293" t="s">
        <v>18</v>
      </c>
      <c r="C132" s="294" t="s">
        <v>794</v>
      </c>
      <c r="D132" s="218"/>
      <c r="E132" s="203"/>
      <c r="F132" s="204"/>
      <c r="G132" s="290">
        <f>SUM(G63:G131)</f>
        <v>0</v>
      </c>
    </row>
  </sheetData>
  <mergeCells count="8">
    <mergeCell ref="B59:G59"/>
    <mergeCell ref="B60:G60"/>
    <mergeCell ref="B61:G61"/>
    <mergeCell ref="B26:G26"/>
    <mergeCell ref="B55:G55"/>
    <mergeCell ref="B56:G56"/>
    <mergeCell ref="B57:G57"/>
    <mergeCell ref="B58:G58"/>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B4B-713C-4206-861F-6800C4086EEB}">
  <sheetPr codeName="Sheet56">
    <tabColor rgb="FF92D050"/>
  </sheetPr>
  <dimension ref="B2:I20"/>
  <sheetViews>
    <sheetView showZeros="0" zoomScale="110" zoomScaleNormal="110" workbookViewId="0">
      <selection activeCell="G19" sqref="G19"/>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7" ht="15.75" x14ac:dyDescent="0.2">
      <c r="B2" s="137"/>
      <c r="C2" s="354" t="s">
        <v>59</v>
      </c>
      <c r="D2" s="155"/>
      <c r="E2" s="156"/>
      <c r="F2" s="157"/>
      <c r="G2" s="355"/>
    </row>
    <row r="4" spans="2:7" x14ac:dyDescent="0.2">
      <c r="B4" s="143" t="s">
        <v>1</v>
      </c>
      <c r="C4" s="168"/>
      <c r="D4" s="170"/>
      <c r="E4" s="170"/>
      <c r="F4" s="170"/>
      <c r="G4" s="169"/>
    </row>
    <row r="5" spans="2:7" x14ac:dyDescent="0.2">
      <c r="B5" s="144" t="s">
        <v>2</v>
      </c>
      <c r="C5" s="171"/>
      <c r="D5" s="172"/>
      <c r="E5" s="173"/>
      <c r="F5" s="173"/>
      <c r="G5" s="172"/>
    </row>
    <row r="6" spans="2:7" x14ac:dyDescent="0.2">
      <c r="B6" s="143" t="s">
        <v>3</v>
      </c>
      <c r="C6" s="168"/>
      <c r="D6" s="170"/>
      <c r="E6" s="170"/>
      <c r="F6" s="170"/>
      <c r="G6" s="169"/>
    </row>
    <row r="7" spans="2:7" x14ac:dyDescent="0.2">
      <c r="B7" s="144" t="s">
        <v>4</v>
      </c>
      <c r="C7" s="171"/>
      <c r="D7" s="173"/>
      <c r="E7" s="173"/>
      <c r="F7" s="173"/>
      <c r="G7" s="172"/>
    </row>
    <row r="8" spans="2:7" x14ac:dyDescent="0.2">
      <c r="B8" s="142"/>
      <c r="C8" s="174"/>
      <c r="D8" s="175"/>
      <c r="E8" s="176"/>
      <c r="F8" s="177"/>
      <c r="G8" s="178"/>
    </row>
    <row r="9" spans="2:7" ht="25.5" customHeight="1" x14ac:dyDescent="0.2">
      <c r="B9" s="2795"/>
      <c r="C9" s="32" t="s">
        <v>61</v>
      </c>
      <c r="D9" s="323"/>
      <c r="E9" s="324"/>
      <c r="F9" s="325"/>
      <c r="G9" s="2794" t="s">
        <v>64</v>
      </c>
    </row>
    <row r="10" spans="2:7" ht="20.25" customHeight="1" x14ac:dyDescent="0.2">
      <c r="B10" s="1727" t="s">
        <v>6</v>
      </c>
      <c r="C10" s="575" t="s">
        <v>62</v>
      </c>
      <c r="D10" s="3179" t="s">
        <v>961</v>
      </c>
      <c r="E10" s="3179"/>
      <c r="F10" s="3180"/>
      <c r="G10" s="576" t="s">
        <v>2523</v>
      </c>
    </row>
    <row r="11" spans="2:7" ht="20.25" customHeight="1" x14ac:dyDescent="0.2">
      <c r="B11" s="1728"/>
      <c r="C11" s="2716" t="s">
        <v>71</v>
      </c>
      <c r="D11" s="2719"/>
      <c r="E11" s="2719"/>
      <c r="F11" s="2720"/>
      <c r="G11" s="1721"/>
    </row>
    <row r="12" spans="2:7" ht="20.25" customHeight="1" x14ac:dyDescent="0.2">
      <c r="B12" s="1729" t="s">
        <v>8</v>
      </c>
      <c r="C12" s="322" t="s">
        <v>962</v>
      </c>
      <c r="D12" s="318"/>
      <c r="E12" s="319"/>
      <c r="F12" s="317"/>
      <c r="G12" s="1724">
        <f>'Grad_VH Grad'!G17</f>
        <v>0</v>
      </c>
    </row>
    <row r="13" spans="2:7" ht="20.25" customHeight="1" x14ac:dyDescent="0.2">
      <c r="B13" s="1729" t="s">
        <v>15</v>
      </c>
      <c r="C13" s="322" t="s">
        <v>963</v>
      </c>
      <c r="D13" s="318"/>
      <c r="E13" s="319"/>
      <c r="F13" s="317"/>
      <c r="G13" s="1724">
        <f>'Grad_VH Vidonci'!G17</f>
        <v>0</v>
      </c>
    </row>
    <row r="14" spans="2:7" ht="20.25" customHeight="1" x14ac:dyDescent="0.2">
      <c r="B14" s="1729" t="s">
        <v>20</v>
      </c>
      <c r="C14" s="322" t="s">
        <v>964</v>
      </c>
      <c r="D14" s="318"/>
      <c r="E14" s="319"/>
      <c r="F14" s="317"/>
      <c r="G14" s="1724">
        <f>'Grad_ČRP Dolnji Slaveči 1'!G16</f>
        <v>0</v>
      </c>
    </row>
    <row r="15" spans="2:7" ht="20.25" customHeight="1" x14ac:dyDescent="0.2">
      <c r="B15" s="1729" t="s">
        <v>24</v>
      </c>
      <c r="C15" s="322" t="s">
        <v>965</v>
      </c>
      <c r="D15" s="318"/>
      <c r="E15" s="319"/>
      <c r="F15" s="317"/>
      <c r="G15" s="1724">
        <f>'Grad_ČRP Dolnji Slaveči 2'!G16</f>
        <v>0</v>
      </c>
    </row>
    <row r="16" spans="2:7" ht="20.25" customHeight="1" x14ac:dyDescent="0.2">
      <c r="B16" s="1729" t="s">
        <v>29</v>
      </c>
      <c r="C16" s="322" t="s">
        <v>966</v>
      </c>
      <c r="D16" s="318"/>
      <c r="E16" s="319"/>
      <c r="F16" s="317"/>
      <c r="G16" s="1724">
        <f>'Grad_ČRP Grad'!G16</f>
        <v>0</v>
      </c>
    </row>
    <row r="17" spans="2:9" ht="20.25" customHeight="1" x14ac:dyDescent="0.2">
      <c r="B17" s="1729" t="s">
        <v>33</v>
      </c>
      <c r="C17" s="322" t="s">
        <v>967</v>
      </c>
      <c r="D17" s="318"/>
      <c r="E17" s="319"/>
      <c r="F17" s="317"/>
      <c r="G17" s="1724">
        <f>'Grad_ČRP Grad Rajsar'!G17</f>
        <v>0</v>
      </c>
    </row>
    <row r="18" spans="2:9" ht="20.25" customHeight="1" x14ac:dyDescent="0.2">
      <c r="B18" s="1729" t="s">
        <v>38</v>
      </c>
      <c r="C18" s="322" t="s">
        <v>968</v>
      </c>
      <c r="D18" s="318"/>
      <c r="E18" s="319"/>
      <c r="F18" s="317"/>
      <c r="G18" s="1724">
        <f>'Grad_ČRP Vidonci'!G16</f>
        <v>0</v>
      </c>
    </row>
    <row r="19" spans="2:9" ht="20.25" customHeight="1" x14ac:dyDescent="0.2">
      <c r="B19" s="1728"/>
      <c r="C19" s="3176" t="s">
        <v>73</v>
      </c>
      <c r="D19" s="3177"/>
      <c r="E19" s="3177"/>
      <c r="F19" s="3178"/>
      <c r="G19" s="1961">
        <f>SUM(G12:G18)</f>
        <v>0</v>
      </c>
    </row>
    <row r="20" spans="2:9" ht="20.25" customHeight="1" x14ac:dyDescent="0.2">
      <c r="B20" s="1730"/>
      <c r="C20" s="326" t="s">
        <v>79</v>
      </c>
      <c r="D20" s="323"/>
      <c r="E20" s="324"/>
      <c r="F20" s="325"/>
      <c r="G20" s="1725">
        <f>G19</f>
        <v>0</v>
      </c>
      <c r="I20" s="577"/>
    </row>
  </sheetData>
  <mergeCells count="2">
    <mergeCell ref="D10:F10"/>
    <mergeCell ref="C19:F19"/>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D33CB-D17B-4501-A8FD-C159C0F1FDF0}">
  <sheetPr codeName="Sheet16">
    <tabColor rgb="FF92D050"/>
  </sheetPr>
  <dimension ref="A2:L151"/>
  <sheetViews>
    <sheetView showZeros="0" topLeftCell="A62" zoomScale="110" zoomScaleNormal="110" workbookViewId="0">
      <selection activeCell="B75" sqref="B75:G75"/>
    </sheetView>
  </sheetViews>
  <sheetFormatPr defaultColWidth="10.42578125" defaultRowHeight="12.75" x14ac:dyDescent="0.2"/>
  <cols>
    <col min="1" max="1" width="4.42578125" style="1" customWidth="1"/>
    <col min="2" max="2" width="7.42578125" style="8" customWidth="1"/>
    <col min="3" max="3" width="53.7109375" style="7" customWidth="1"/>
    <col min="4" max="4" width="10.42578125" style="6" customWidth="1"/>
    <col min="5" max="5" width="9.28515625" style="5" customWidth="1"/>
    <col min="6" max="6" width="12.140625" style="4" customWidth="1"/>
    <col min="7" max="7" width="14.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970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G65</f>
        <v>0</v>
      </c>
      <c r="H15" s="18"/>
      <c r="I15" s="331"/>
      <c r="J15" s="331"/>
      <c r="K15" s="331"/>
      <c r="L15" s="331"/>
    </row>
    <row r="16" spans="1:12" s="17" customFormat="1" ht="18.75" customHeight="1" x14ac:dyDescent="0.25">
      <c r="A16" s="331"/>
      <c r="B16" s="332" t="s">
        <v>18</v>
      </c>
      <c r="C16" s="340" t="s">
        <v>367</v>
      </c>
      <c r="D16" s="341"/>
      <c r="E16" s="342"/>
      <c r="F16" s="58"/>
      <c r="G16" s="20">
        <f>G151</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c r="G30" s="201"/>
      <c r="H30" s="122"/>
    </row>
    <row r="31" spans="1:8" s="34" customFormat="1" ht="14.25" customHeight="1" x14ac:dyDescent="0.2">
      <c r="A31" s="136"/>
      <c r="B31" s="292" t="s">
        <v>897</v>
      </c>
      <c r="C31" s="46" t="s">
        <v>971</v>
      </c>
      <c r="D31" s="198"/>
      <c r="E31" s="348"/>
      <c r="F31" s="351"/>
      <c r="G31" s="352"/>
      <c r="H31" s="122"/>
    </row>
    <row r="32" spans="1:8" s="34" customFormat="1" ht="14.25" customHeight="1" x14ac:dyDescent="0.2">
      <c r="A32" s="136"/>
      <c r="B32" s="135"/>
      <c r="C32" s="217" t="s">
        <v>972</v>
      </c>
      <c r="D32" s="198" t="s">
        <v>149</v>
      </c>
      <c r="E32" s="348">
        <v>3</v>
      </c>
      <c r="F32" s="351">
        <v>0</v>
      </c>
      <c r="G32" s="352">
        <f t="shared" ref="G32:G47" si="0">E32*F32</f>
        <v>0</v>
      </c>
      <c r="H32" s="122"/>
    </row>
    <row r="33" spans="2:8" s="34" customFormat="1" ht="14.25" customHeight="1" x14ac:dyDescent="0.2">
      <c r="B33" s="135"/>
      <c r="C33" s="217" t="s">
        <v>973</v>
      </c>
      <c r="D33" s="198" t="s">
        <v>149</v>
      </c>
      <c r="E33" s="348">
        <v>10</v>
      </c>
      <c r="F33" s="351">
        <v>0</v>
      </c>
      <c r="G33" s="352">
        <f t="shared" si="0"/>
        <v>0</v>
      </c>
      <c r="H33" s="122"/>
    </row>
    <row r="34" spans="2:8" s="34" customFormat="1" ht="14.25" customHeight="1" x14ac:dyDescent="0.2">
      <c r="B34" s="135"/>
      <c r="C34" s="217" t="s">
        <v>974</v>
      </c>
      <c r="D34" s="198" t="s">
        <v>149</v>
      </c>
      <c r="E34" s="348">
        <v>3</v>
      </c>
      <c r="F34" s="351">
        <v>0</v>
      </c>
      <c r="G34" s="352">
        <f t="shared" si="0"/>
        <v>0</v>
      </c>
      <c r="H34" s="122"/>
    </row>
    <row r="35" spans="2:8" s="34" customFormat="1" ht="14.25" customHeight="1" x14ac:dyDescent="0.2">
      <c r="B35" s="135"/>
      <c r="C35" s="217" t="s">
        <v>975</v>
      </c>
      <c r="D35" s="198" t="s">
        <v>149</v>
      </c>
      <c r="E35" s="348">
        <v>1</v>
      </c>
      <c r="F35" s="351">
        <v>0</v>
      </c>
      <c r="G35" s="352">
        <f t="shared" si="0"/>
        <v>0</v>
      </c>
      <c r="H35" s="122"/>
    </row>
    <row r="36" spans="2:8" s="34" customFormat="1" ht="14.25" customHeight="1" x14ac:dyDescent="0.2">
      <c r="B36" s="135"/>
      <c r="C36" s="217" t="s">
        <v>976</v>
      </c>
      <c r="D36" s="198" t="s">
        <v>149</v>
      </c>
      <c r="E36" s="348">
        <v>3</v>
      </c>
      <c r="F36" s="351">
        <v>0</v>
      </c>
      <c r="G36" s="352">
        <f t="shared" si="0"/>
        <v>0</v>
      </c>
      <c r="H36" s="122"/>
    </row>
    <row r="37" spans="2:8" s="34" customFormat="1" ht="14.25" customHeight="1" x14ac:dyDescent="0.2">
      <c r="B37" s="135"/>
      <c r="C37" s="217" t="s">
        <v>977</v>
      </c>
      <c r="D37" s="198" t="s">
        <v>149</v>
      </c>
      <c r="E37" s="348">
        <v>1</v>
      </c>
      <c r="F37" s="351">
        <v>0</v>
      </c>
      <c r="G37" s="352">
        <f t="shared" si="0"/>
        <v>0</v>
      </c>
      <c r="H37" s="122"/>
    </row>
    <row r="38" spans="2:8" s="34" customFormat="1" ht="14.25" customHeight="1" x14ac:dyDescent="0.2">
      <c r="B38" s="135"/>
      <c r="C38" s="217" t="s">
        <v>978</v>
      </c>
      <c r="D38" s="198" t="s">
        <v>149</v>
      </c>
      <c r="E38" s="348">
        <v>1</v>
      </c>
      <c r="F38" s="351">
        <v>0</v>
      </c>
      <c r="G38" s="352">
        <f t="shared" si="0"/>
        <v>0</v>
      </c>
      <c r="H38" s="122"/>
    </row>
    <row r="39" spans="2:8" s="34" customFormat="1" ht="14.25" customHeight="1" x14ac:dyDescent="0.2">
      <c r="B39" s="135"/>
      <c r="C39" s="217" t="s">
        <v>979</v>
      </c>
      <c r="D39" s="198" t="s">
        <v>149</v>
      </c>
      <c r="E39" s="348">
        <v>4</v>
      </c>
      <c r="F39" s="351">
        <v>0</v>
      </c>
      <c r="G39" s="352">
        <f t="shared" si="0"/>
        <v>0</v>
      </c>
      <c r="H39" s="122"/>
    </row>
    <row r="40" spans="2:8" s="34" customFormat="1" ht="14.25" customHeight="1" x14ac:dyDescent="0.2">
      <c r="B40" s="135"/>
      <c r="C40" s="217" t="s">
        <v>980</v>
      </c>
      <c r="D40" s="198" t="s">
        <v>149</v>
      </c>
      <c r="E40" s="348">
        <v>2</v>
      </c>
      <c r="F40" s="351">
        <v>0</v>
      </c>
      <c r="G40" s="352">
        <f t="shared" si="0"/>
        <v>0</v>
      </c>
      <c r="H40" s="122"/>
    </row>
    <row r="41" spans="2:8" s="34" customFormat="1" ht="14.25" customHeight="1" x14ac:dyDescent="0.2">
      <c r="B41" s="135"/>
      <c r="C41" s="217" t="s">
        <v>981</v>
      </c>
      <c r="D41" s="198" t="s">
        <v>149</v>
      </c>
      <c r="E41" s="348">
        <v>4</v>
      </c>
      <c r="F41" s="351">
        <v>0</v>
      </c>
      <c r="G41" s="352">
        <f t="shared" si="0"/>
        <v>0</v>
      </c>
      <c r="H41" s="122"/>
    </row>
    <row r="42" spans="2:8" s="34" customFormat="1" ht="14.25" customHeight="1" x14ac:dyDescent="0.2">
      <c r="B42" s="135"/>
      <c r="C42" s="217" t="s">
        <v>982</v>
      </c>
      <c r="D42" s="198" t="s">
        <v>149</v>
      </c>
      <c r="E42" s="348">
        <v>1</v>
      </c>
      <c r="F42" s="351">
        <v>0</v>
      </c>
      <c r="G42" s="352">
        <f t="shared" si="0"/>
        <v>0</v>
      </c>
      <c r="H42" s="122"/>
    </row>
    <row r="43" spans="2:8" s="34" customFormat="1" ht="14.25" customHeight="1" x14ac:dyDescent="0.2">
      <c r="B43" s="135"/>
      <c r="C43" s="217" t="s">
        <v>983</v>
      </c>
      <c r="D43" s="198" t="s">
        <v>149</v>
      </c>
      <c r="E43" s="348">
        <v>1</v>
      </c>
      <c r="F43" s="351">
        <v>0</v>
      </c>
      <c r="G43" s="352">
        <f t="shared" si="0"/>
        <v>0</v>
      </c>
      <c r="H43" s="122"/>
    </row>
    <row r="44" spans="2:8" s="34" customFormat="1" ht="14.25" customHeight="1" x14ac:dyDescent="0.2">
      <c r="B44" s="135"/>
      <c r="C44" s="217" t="s">
        <v>984</v>
      </c>
      <c r="D44" s="198" t="s">
        <v>149</v>
      </c>
      <c r="E44" s="348">
        <v>4</v>
      </c>
      <c r="F44" s="351">
        <v>0</v>
      </c>
      <c r="G44" s="352">
        <f t="shared" si="0"/>
        <v>0</v>
      </c>
      <c r="H44" s="122"/>
    </row>
    <row r="45" spans="2:8" s="34" customFormat="1" ht="14.25" customHeight="1" x14ac:dyDescent="0.2">
      <c r="B45" s="135"/>
      <c r="C45" s="217" t="s">
        <v>985</v>
      </c>
      <c r="D45" s="198" t="s">
        <v>928</v>
      </c>
      <c r="E45" s="348">
        <v>1</v>
      </c>
      <c r="F45" s="351">
        <v>0</v>
      </c>
      <c r="G45" s="352">
        <f t="shared" si="0"/>
        <v>0</v>
      </c>
      <c r="H45" s="122"/>
    </row>
    <row r="46" spans="2:8" s="34" customFormat="1" ht="14.25" customHeight="1" x14ac:dyDescent="0.2">
      <c r="B46" s="135"/>
      <c r="C46" s="217" t="s">
        <v>986</v>
      </c>
      <c r="D46" s="198" t="s">
        <v>98</v>
      </c>
      <c r="E46" s="348">
        <v>1</v>
      </c>
      <c r="F46" s="351">
        <v>0</v>
      </c>
      <c r="G46" s="352">
        <f t="shared" si="0"/>
        <v>0</v>
      </c>
      <c r="H46" s="122"/>
    </row>
    <row r="47" spans="2:8" s="34" customFormat="1" ht="90" customHeight="1" x14ac:dyDescent="0.2">
      <c r="B47" s="135"/>
      <c r="C47" s="217" t="s">
        <v>987</v>
      </c>
      <c r="D47" s="198" t="s">
        <v>98</v>
      </c>
      <c r="E47" s="348">
        <v>1</v>
      </c>
      <c r="F47" s="351">
        <v>0</v>
      </c>
      <c r="G47" s="352">
        <f t="shared" si="0"/>
        <v>0</v>
      </c>
      <c r="H47" s="122"/>
    </row>
    <row r="48" spans="2:8" s="34" customFormat="1" ht="14.25" customHeight="1" x14ac:dyDescent="0.2">
      <c r="B48" s="292" t="s">
        <v>917</v>
      </c>
      <c r="C48" s="67" t="s">
        <v>918</v>
      </c>
      <c r="D48" s="63"/>
      <c r="E48" s="62"/>
      <c r="F48" s="61"/>
      <c r="G48" s="60"/>
      <c r="H48" s="122"/>
    </row>
    <row r="49" spans="2:8" s="34" customFormat="1" ht="330.75" customHeight="1" x14ac:dyDescent="0.2">
      <c r="B49" s="135"/>
      <c r="C49" s="66" t="s">
        <v>919</v>
      </c>
      <c r="D49" s="63" t="s">
        <v>149</v>
      </c>
      <c r="E49" s="62">
        <v>1</v>
      </c>
      <c r="F49" s="61"/>
      <c r="G49" s="60"/>
      <c r="H49" s="122"/>
    </row>
    <row r="50" spans="2:8" s="34" customFormat="1" ht="240" customHeight="1" x14ac:dyDescent="0.2">
      <c r="B50" s="135"/>
      <c r="C50" s="65" t="s">
        <v>920</v>
      </c>
      <c r="D50" s="63" t="s">
        <v>560</v>
      </c>
      <c r="E50" s="62">
        <v>1</v>
      </c>
      <c r="F50" s="61"/>
      <c r="G50" s="60"/>
      <c r="H50" s="122"/>
    </row>
    <row r="51" spans="2:8" s="34" customFormat="1" ht="108.75" customHeight="1" x14ac:dyDescent="0.2">
      <c r="B51" s="135"/>
      <c r="C51" s="65" t="s">
        <v>921</v>
      </c>
      <c r="D51" s="63" t="s">
        <v>149</v>
      </c>
      <c r="E51" s="62">
        <v>1</v>
      </c>
      <c r="F51" s="61"/>
      <c r="G51" s="60"/>
      <c r="H51" s="122"/>
    </row>
    <row r="52" spans="2:8" s="34" customFormat="1" ht="82.5" customHeight="1" x14ac:dyDescent="0.2">
      <c r="B52" s="135"/>
      <c r="C52" s="65" t="s">
        <v>988</v>
      </c>
      <c r="D52" s="63" t="s">
        <v>560</v>
      </c>
      <c r="E52" s="62">
        <v>1</v>
      </c>
      <c r="F52" s="61"/>
      <c r="G52" s="60"/>
      <c r="H52" s="122"/>
    </row>
    <row r="53" spans="2:8" s="34" customFormat="1" ht="328.5" customHeight="1" x14ac:dyDescent="0.2">
      <c r="B53" s="135"/>
      <c r="C53" s="64" t="s">
        <v>923</v>
      </c>
      <c r="D53" s="63" t="s">
        <v>149</v>
      </c>
      <c r="E53" s="62">
        <v>1</v>
      </c>
      <c r="F53" s="61"/>
      <c r="G53" s="60"/>
      <c r="H53" s="122"/>
    </row>
    <row r="54" spans="2:8" s="34" customFormat="1" ht="18" customHeight="1" x14ac:dyDescent="0.2">
      <c r="B54" s="135"/>
      <c r="C54" s="64" t="s">
        <v>924</v>
      </c>
      <c r="D54" s="63" t="s">
        <v>560</v>
      </c>
      <c r="E54" s="62">
        <v>1</v>
      </c>
      <c r="F54" s="61"/>
      <c r="G54" s="60"/>
      <c r="H54" s="122"/>
    </row>
    <row r="55" spans="2:8" s="34" customFormat="1" ht="18" customHeight="1" x14ac:dyDescent="0.2">
      <c r="B55" s="135"/>
      <c r="C55" s="2755" t="s">
        <v>2522</v>
      </c>
      <c r="D55" s="2751" t="s">
        <v>560</v>
      </c>
      <c r="E55" s="2752">
        <v>1</v>
      </c>
      <c r="F55" s="61">
        <v>0</v>
      </c>
      <c r="G55" s="60">
        <f t="shared" ref="G55" si="1">E55*F55</f>
        <v>0</v>
      </c>
      <c r="H55" s="122"/>
    </row>
    <row r="56" spans="2:8" s="34" customFormat="1" ht="15.75" customHeight="1" x14ac:dyDescent="0.2">
      <c r="B56" s="292" t="s">
        <v>989</v>
      </c>
      <c r="C56" s="57" t="s">
        <v>910</v>
      </c>
      <c r="D56" s="56"/>
      <c r="E56" s="55"/>
      <c r="F56" s="54"/>
      <c r="G56" s="53"/>
      <c r="H56" s="122"/>
    </row>
    <row r="57" spans="2:8" s="136" customFormat="1" ht="96" customHeight="1" x14ac:dyDescent="0.2">
      <c r="B57" s="2731"/>
      <c r="C57" s="2732"/>
      <c r="D57" s="2733"/>
      <c r="E57" s="2734"/>
      <c r="F57" s="2735"/>
      <c r="G57" s="2736"/>
      <c r="H57" s="122"/>
    </row>
    <row r="58" spans="2:8" s="136" customFormat="1" ht="96" customHeight="1" x14ac:dyDescent="0.2">
      <c r="B58" s="2737"/>
      <c r="C58" s="2738"/>
      <c r="D58" s="2733"/>
      <c r="E58" s="2734"/>
      <c r="F58" s="2735"/>
      <c r="G58" s="2736"/>
      <c r="H58" s="122"/>
    </row>
    <row r="59" spans="2:8" s="136" customFormat="1" ht="96" customHeight="1" x14ac:dyDescent="0.2">
      <c r="B59" s="2737"/>
      <c r="C59" s="2738"/>
      <c r="D59" s="2733"/>
      <c r="E59" s="2734"/>
      <c r="F59" s="2735"/>
      <c r="G59" s="2736"/>
      <c r="H59" s="122"/>
    </row>
    <row r="60" spans="2:8" s="136" customFormat="1" ht="96" customHeight="1" x14ac:dyDescent="0.2">
      <c r="B60" s="2737"/>
      <c r="C60" s="2738"/>
      <c r="D60" s="2733"/>
      <c r="E60" s="2734"/>
      <c r="F60" s="2735"/>
      <c r="G60" s="2736"/>
      <c r="H60" s="122"/>
    </row>
    <row r="61" spans="2:8" s="136" customFormat="1" ht="96" customHeight="1" x14ac:dyDescent="0.2">
      <c r="B61" s="2737"/>
      <c r="C61" s="2738"/>
      <c r="D61" s="2733"/>
      <c r="E61" s="2734"/>
      <c r="F61" s="2735"/>
      <c r="G61" s="2736"/>
      <c r="H61" s="122"/>
    </row>
    <row r="62" spans="2:8" s="136" customFormat="1" ht="96" customHeight="1" x14ac:dyDescent="0.2">
      <c r="B62" s="2737"/>
      <c r="C62" s="2738"/>
      <c r="D62" s="2733"/>
      <c r="E62" s="2734"/>
      <c r="F62" s="2735"/>
      <c r="G62" s="2736"/>
      <c r="H62" s="122"/>
    </row>
    <row r="63" spans="2:8" s="136" customFormat="1" ht="125.25" customHeight="1" x14ac:dyDescent="0.2">
      <c r="B63" s="2737"/>
      <c r="C63" s="2738"/>
      <c r="D63" s="2733"/>
      <c r="E63" s="2734"/>
      <c r="F63" s="2735"/>
      <c r="G63" s="2736"/>
      <c r="H63" s="122"/>
    </row>
    <row r="64" spans="2:8" s="136" customFormat="1" ht="14.25" customHeight="1" x14ac:dyDescent="0.2">
      <c r="B64" s="2737"/>
      <c r="C64" s="2732" t="s">
        <v>2464</v>
      </c>
      <c r="D64" s="2739" t="s">
        <v>98</v>
      </c>
      <c r="E64" s="2740">
        <v>1</v>
      </c>
      <c r="F64" s="2741">
        <v>0</v>
      </c>
      <c r="G64" s="2742">
        <f t="shared" ref="G64" si="2">E64*F64</f>
        <v>0</v>
      </c>
      <c r="H64" s="122"/>
    </row>
    <row r="65" spans="2:8" s="9" customFormat="1" ht="25.5" customHeight="1" x14ac:dyDescent="0.25">
      <c r="B65" s="293" t="s">
        <v>17</v>
      </c>
      <c r="C65" s="294" t="s">
        <v>302</v>
      </c>
      <c r="D65" s="218"/>
      <c r="E65" s="203"/>
      <c r="F65" s="204"/>
      <c r="G65" s="290">
        <f>SUM(G27:G64)</f>
        <v>0</v>
      </c>
      <c r="H65" s="150"/>
    </row>
    <row r="66" spans="2:8" x14ac:dyDescent="0.2">
      <c r="B66" s="129"/>
      <c r="C66" s="197"/>
      <c r="D66" s="207"/>
      <c r="E66" s="199"/>
      <c r="F66" s="200"/>
      <c r="G66" s="201"/>
      <c r="H66" s="122"/>
    </row>
    <row r="67" spans="2:8" ht="24" x14ac:dyDescent="0.2">
      <c r="B67" s="128" t="s">
        <v>83</v>
      </c>
      <c r="C67" s="192" t="s">
        <v>89</v>
      </c>
      <c r="D67" s="192" t="s">
        <v>90</v>
      </c>
      <c r="E67" s="194" t="s">
        <v>91</v>
      </c>
      <c r="F67" s="195" t="s">
        <v>92</v>
      </c>
      <c r="G67" s="196" t="s">
        <v>93</v>
      </c>
      <c r="H67" s="122"/>
    </row>
    <row r="68" spans="2:8" x14ac:dyDescent="0.2">
      <c r="B68" s="51"/>
      <c r="C68" s="50"/>
      <c r="D68" s="50"/>
      <c r="E68" s="359"/>
      <c r="F68" s="360"/>
      <c r="G68" s="361"/>
      <c r="H68" s="122"/>
    </row>
    <row r="69" spans="2:8" ht="20.25" x14ac:dyDescent="0.2">
      <c r="B69" s="296" t="s">
        <v>18</v>
      </c>
      <c r="C69" s="297" t="s">
        <v>367</v>
      </c>
      <c r="D69" s="298"/>
      <c r="E69" s="299"/>
      <c r="F69" s="300"/>
      <c r="G69" s="301"/>
      <c r="H69" s="122"/>
    </row>
    <row r="70" spans="2:8" x14ac:dyDescent="0.2">
      <c r="B70" s="3205" t="s">
        <v>539</v>
      </c>
      <c r="C70" s="3206"/>
      <c r="D70" s="3206"/>
      <c r="E70" s="3206"/>
      <c r="F70" s="3206"/>
      <c r="G70" s="3207"/>
      <c r="H70" s="122"/>
    </row>
    <row r="71" spans="2:8" ht="25.5" customHeight="1" x14ac:dyDescent="0.2">
      <c r="B71" s="3205" t="s">
        <v>540</v>
      </c>
      <c r="C71" s="3206"/>
      <c r="D71" s="3206"/>
      <c r="E71" s="3206"/>
      <c r="F71" s="3206"/>
      <c r="G71" s="3207"/>
      <c r="H71" s="122"/>
    </row>
    <row r="72" spans="2:8" x14ac:dyDescent="0.2">
      <c r="B72" s="3205" t="s">
        <v>541</v>
      </c>
      <c r="C72" s="3206"/>
      <c r="D72" s="3206"/>
      <c r="E72" s="3206"/>
      <c r="F72" s="3206"/>
      <c r="G72" s="3207"/>
      <c r="H72" s="122"/>
    </row>
    <row r="73" spans="2:8" ht="25.5" customHeight="1" x14ac:dyDescent="0.2">
      <c r="B73" s="3205" t="s">
        <v>542</v>
      </c>
      <c r="C73" s="3206"/>
      <c r="D73" s="3206"/>
      <c r="E73" s="3206"/>
      <c r="F73" s="3206"/>
      <c r="G73" s="3207"/>
      <c r="H73" s="122"/>
    </row>
    <row r="74" spans="2:8" ht="25.5" customHeight="1" x14ac:dyDescent="0.2">
      <c r="B74" s="3205" t="s">
        <v>543</v>
      </c>
      <c r="C74" s="3206"/>
      <c r="D74" s="3206"/>
      <c r="E74" s="3206"/>
      <c r="F74" s="3206"/>
      <c r="G74" s="3207"/>
      <c r="H74" s="122"/>
    </row>
    <row r="75" spans="2:8" ht="24.75" customHeight="1" x14ac:dyDescent="0.2">
      <c r="B75" s="3205" t="s">
        <v>544</v>
      </c>
      <c r="C75" s="3206"/>
      <c r="D75" s="3206"/>
      <c r="E75" s="3206"/>
      <c r="F75" s="3206"/>
      <c r="G75" s="3207"/>
    </row>
    <row r="76" spans="2:8" x14ac:dyDescent="0.2">
      <c r="B76" s="3205" t="s">
        <v>545</v>
      </c>
      <c r="C76" s="3206"/>
      <c r="D76" s="3206"/>
      <c r="E76" s="3206"/>
      <c r="F76" s="3206"/>
      <c r="G76" s="3207"/>
    </row>
    <row r="77" spans="2:8" x14ac:dyDescent="0.2">
      <c r="B77" s="153">
        <v>1</v>
      </c>
      <c r="C77" s="357" t="s">
        <v>550</v>
      </c>
      <c r="D77" s="207"/>
      <c r="E77" s="199"/>
      <c r="F77" s="269"/>
      <c r="G77" s="270"/>
    </row>
    <row r="78" spans="2:8" ht="108" x14ac:dyDescent="0.2">
      <c r="B78" s="129"/>
      <c r="C78" s="197" t="s">
        <v>815</v>
      </c>
      <c r="D78" s="207" t="s">
        <v>98</v>
      </c>
      <c r="E78" s="199">
        <v>1</v>
      </c>
      <c r="F78" s="200">
        <v>0</v>
      </c>
      <c r="G78" s="270">
        <f t="shared" ref="G78:G98" si="3">E78*F78</f>
        <v>0</v>
      </c>
    </row>
    <row r="79" spans="2:8" ht="60" x14ac:dyDescent="0.2">
      <c r="B79" s="129"/>
      <c r="C79" s="197" t="s">
        <v>751</v>
      </c>
      <c r="D79" s="207" t="s">
        <v>123</v>
      </c>
      <c r="E79" s="199">
        <v>1</v>
      </c>
      <c r="F79" s="200">
        <v>0</v>
      </c>
      <c r="G79" s="270">
        <f t="shared" si="3"/>
        <v>0</v>
      </c>
    </row>
    <row r="80" spans="2:8" ht="60" x14ac:dyDescent="0.2">
      <c r="B80" s="129"/>
      <c r="C80" s="197" t="s">
        <v>752</v>
      </c>
      <c r="D80" s="207" t="s">
        <v>123</v>
      </c>
      <c r="E80" s="199">
        <v>1</v>
      </c>
      <c r="F80" s="200">
        <v>0</v>
      </c>
      <c r="G80" s="270">
        <f t="shared" si="3"/>
        <v>0</v>
      </c>
    </row>
    <row r="81" spans="2:7" ht="60" x14ac:dyDescent="0.2">
      <c r="B81" s="129"/>
      <c r="C81" s="197" t="s">
        <v>753</v>
      </c>
      <c r="D81" s="207" t="s">
        <v>123</v>
      </c>
      <c r="E81" s="199">
        <v>2</v>
      </c>
      <c r="F81" s="200">
        <v>0</v>
      </c>
      <c r="G81" s="270">
        <f t="shared" si="3"/>
        <v>0</v>
      </c>
    </row>
    <row r="82" spans="2:7" ht="60" x14ac:dyDescent="0.2">
      <c r="B82" s="129"/>
      <c r="C82" s="197" t="s">
        <v>754</v>
      </c>
      <c r="D82" s="207" t="s">
        <v>123</v>
      </c>
      <c r="E82" s="199">
        <v>1</v>
      </c>
      <c r="F82" s="200">
        <v>0</v>
      </c>
      <c r="G82" s="270">
        <f t="shared" si="3"/>
        <v>0</v>
      </c>
    </row>
    <row r="83" spans="2:7" ht="48" x14ac:dyDescent="0.2">
      <c r="B83" s="129"/>
      <c r="C83" s="197" t="s">
        <v>755</v>
      </c>
      <c r="D83" s="207" t="s">
        <v>123</v>
      </c>
      <c r="E83" s="199">
        <v>1</v>
      </c>
      <c r="F83" s="200">
        <v>0</v>
      </c>
      <c r="G83" s="270">
        <f t="shared" si="3"/>
        <v>0</v>
      </c>
    </row>
    <row r="84" spans="2:7" ht="60" x14ac:dyDescent="0.2">
      <c r="B84" s="129"/>
      <c r="C84" s="311" t="s">
        <v>756</v>
      </c>
      <c r="D84" s="207" t="s">
        <v>98</v>
      </c>
      <c r="E84" s="199">
        <v>1</v>
      </c>
      <c r="F84" s="200">
        <v>0</v>
      </c>
      <c r="G84" s="270">
        <f t="shared" si="3"/>
        <v>0</v>
      </c>
    </row>
    <row r="85" spans="2:7" ht="48" x14ac:dyDescent="0.2">
      <c r="B85" s="129"/>
      <c r="C85" s="197" t="s">
        <v>757</v>
      </c>
      <c r="D85" s="207" t="s">
        <v>123</v>
      </c>
      <c r="E85" s="199">
        <v>1</v>
      </c>
      <c r="F85" s="200">
        <v>0</v>
      </c>
      <c r="G85" s="270">
        <f t="shared" si="3"/>
        <v>0</v>
      </c>
    </row>
    <row r="86" spans="2:7" ht="108" x14ac:dyDescent="0.2">
      <c r="B86" s="129"/>
      <c r="C86" s="197" t="s">
        <v>619</v>
      </c>
      <c r="D86" s="207" t="s">
        <v>123</v>
      </c>
      <c r="E86" s="199">
        <v>1</v>
      </c>
      <c r="F86" s="200">
        <v>0</v>
      </c>
      <c r="G86" s="270">
        <f t="shared" si="3"/>
        <v>0</v>
      </c>
    </row>
    <row r="87" spans="2:7" ht="36" x14ac:dyDescent="0.2">
      <c r="B87" s="129"/>
      <c r="C87" s="197" t="s">
        <v>758</v>
      </c>
      <c r="D87" s="207" t="s">
        <v>123</v>
      </c>
      <c r="E87" s="199">
        <v>40</v>
      </c>
      <c r="F87" s="200">
        <v>0</v>
      </c>
      <c r="G87" s="270">
        <f t="shared" si="3"/>
        <v>0</v>
      </c>
    </row>
    <row r="88" spans="2:7" ht="36" x14ac:dyDescent="0.2">
      <c r="B88" s="129"/>
      <c r="C88" s="197" t="s">
        <v>759</v>
      </c>
      <c r="D88" s="207" t="s">
        <v>123</v>
      </c>
      <c r="E88" s="199">
        <v>10</v>
      </c>
      <c r="F88" s="200">
        <v>0</v>
      </c>
      <c r="G88" s="270">
        <f t="shared" si="3"/>
        <v>0</v>
      </c>
    </row>
    <row r="89" spans="2:7" ht="36" x14ac:dyDescent="0.2">
      <c r="B89" s="129"/>
      <c r="C89" s="197" t="s">
        <v>760</v>
      </c>
      <c r="D89" s="207" t="s">
        <v>123</v>
      </c>
      <c r="E89" s="199">
        <v>2</v>
      </c>
      <c r="F89" s="200">
        <v>0</v>
      </c>
      <c r="G89" s="270">
        <f t="shared" si="3"/>
        <v>0</v>
      </c>
    </row>
    <row r="90" spans="2:7" ht="36" x14ac:dyDescent="0.2">
      <c r="B90" s="129"/>
      <c r="C90" s="197" t="s">
        <v>761</v>
      </c>
      <c r="D90" s="207" t="s">
        <v>123</v>
      </c>
      <c r="E90" s="199">
        <v>12</v>
      </c>
      <c r="F90" s="200">
        <v>0</v>
      </c>
      <c r="G90" s="270">
        <f t="shared" si="3"/>
        <v>0</v>
      </c>
    </row>
    <row r="91" spans="2:7" ht="36" x14ac:dyDescent="0.2">
      <c r="B91" s="129"/>
      <c r="C91" s="197" t="s">
        <v>762</v>
      </c>
      <c r="D91" s="207" t="s">
        <v>123</v>
      </c>
      <c r="E91" s="199">
        <v>1</v>
      </c>
      <c r="F91" s="200">
        <v>0</v>
      </c>
      <c r="G91" s="270">
        <f t="shared" si="3"/>
        <v>0</v>
      </c>
    </row>
    <row r="92" spans="2:7" ht="48" x14ac:dyDescent="0.2">
      <c r="B92" s="129"/>
      <c r="C92" s="197" t="s">
        <v>763</v>
      </c>
      <c r="D92" s="207" t="s">
        <v>123</v>
      </c>
      <c r="E92" s="199">
        <v>1</v>
      </c>
      <c r="F92" s="200">
        <v>0</v>
      </c>
      <c r="G92" s="270">
        <f t="shared" si="3"/>
        <v>0</v>
      </c>
    </row>
    <row r="93" spans="2:7" ht="48" x14ac:dyDescent="0.2">
      <c r="B93" s="129"/>
      <c r="C93" s="197" t="s">
        <v>764</v>
      </c>
      <c r="D93" s="207" t="s">
        <v>123</v>
      </c>
      <c r="E93" s="199">
        <v>3</v>
      </c>
      <c r="F93" s="200">
        <v>0</v>
      </c>
      <c r="G93" s="270">
        <f t="shared" si="3"/>
        <v>0</v>
      </c>
    </row>
    <row r="94" spans="2:7" ht="48" x14ac:dyDescent="0.2">
      <c r="B94" s="129"/>
      <c r="C94" s="197" t="s">
        <v>765</v>
      </c>
      <c r="D94" s="207" t="s">
        <v>123</v>
      </c>
      <c r="E94" s="199">
        <v>3</v>
      </c>
      <c r="F94" s="200">
        <v>0</v>
      </c>
      <c r="G94" s="270">
        <f t="shared" si="3"/>
        <v>0</v>
      </c>
    </row>
    <row r="95" spans="2:7" ht="48" x14ac:dyDescent="0.2">
      <c r="B95" s="129"/>
      <c r="C95" s="197" t="s">
        <v>766</v>
      </c>
      <c r="D95" s="207" t="s">
        <v>123</v>
      </c>
      <c r="E95" s="199">
        <v>3</v>
      </c>
      <c r="F95" s="200">
        <v>0</v>
      </c>
      <c r="G95" s="270">
        <f t="shared" si="3"/>
        <v>0</v>
      </c>
    </row>
    <row r="96" spans="2:7" ht="48" x14ac:dyDescent="0.2">
      <c r="B96" s="129"/>
      <c r="C96" s="197" t="s">
        <v>767</v>
      </c>
      <c r="D96" s="207" t="s">
        <v>98</v>
      </c>
      <c r="E96" s="199">
        <v>1</v>
      </c>
      <c r="F96" s="200">
        <v>0</v>
      </c>
      <c r="G96" s="270">
        <f t="shared" si="3"/>
        <v>0</v>
      </c>
    </row>
    <row r="97" spans="2:8" ht="60" x14ac:dyDescent="0.2">
      <c r="B97" s="129"/>
      <c r="C97" s="197" t="s">
        <v>768</v>
      </c>
      <c r="D97" s="207" t="s">
        <v>123</v>
      </c>
      <c r="E97" s="199">
        <v>1</v>
      </c>
      <c r="F97" s="200">
        <v>0</v>
      </c>
      <c r="G97" s="270">
        <f t="shared" si="3"/>
        <v>0</v>
      </c>
    </row>
    <row r="98" spans="2:8" ht="84" x14ac:dyDescent="0.2">
      <c r="B98" s="129"/>
      <c r="C98" s="197" t="s">
        <v>620</v>
      </c>
      <c r="D98" s="207" t="s">
        <v>123</v>
      </c>
      <c r="E98" s="199">
        <v>1</v>
      </c>
      <c r="F98" s="200">
        <v>0</v>
      </c>
      <c r="G98" s="270">
        <f t="shared" si="3"/>
        <v>0</v>
      </c>
    </row>
    <row r="99" spans="2:8" x14ac:dyDescent="0.2">
      <c r="B99" s="153">
        <v>2</v>
      </c>
      <c r="C99" s="357" t="s">
        <v>769</v>
      </c>
      <c r="D99" s="207"/>
      <c r="E99" s="199"/>
      <c r="F99" s="269"/>
      <c r="G99" s="270"/>
    </row>
    <row r="100" spans="2:8" s="121" customFormat="1" ht="387.75" customHeight="1" x14ac:dyDescent="0.2">
      <c r="B100" s="2743"/>
      <c r="C100" s="2744"/>
      <c r="D100" s="2745"/>
      <c r="E100" s="2746"/>
      <c r="F100" s="2747"/>
      <c r="G100" s="2736"/>
      <c r="H100" s="122"/>
    </row>
    <row r="101" spans="2:8" s="121" customFormat="1" ht="24.75" customHeight="1" x14ac:dyDescent="0.2">
      <c r="B101" s="2743"/>
      <c r="C101" s="2744" t="s">
        <v>2465</v>
      </c>
      <c r="D101" s="2748" t="s">
        <v>98</v>
      </c>
      <c r="E101" s="2746">
        <v>1</v>
      </c>
      <c r="F101" s="2747">
        <v>0</v>
      </c>
      <c r="G101" s="2736">
        <f t="shared" ref="G101" si="4">E101*F101</f>
        <v>0</v>
      </c>
      <c r="H101" s="122"/>
    </row>
    <row r="102" spans="2:8" ht="60" x14ac:dyDescent="0.2">
      <c r="B102" s="129"/>
      <c r="C102" s="197" t="s">
        <v>772</v>
      </c>
      <c r="D102" s="207" t="s">
        <v>123</v>
      </c>
      <c r="E102" s="199">
        <v>1</v>
      </c>
      <c r="F102" s="200">
        <v>0</v>
      </c>
      <c r="G102" s="270">
        <f t="shared" ref="G102:G109" si="5">E102*F102</f>
        <v>0</v>
      </c>
    </row>
    <row r="103" spans="2:8" ht="48" x14ac:dyDescent="0.2">
      <c r="B103" s="129"/>
      <c r="C103" s="197" t="s">
        <v>625</v>
      </c>
      <c r="D103" s="207" t="s">
        <v>123</v>
      </c>
      <c r="E103" s="199">
        <v>1</v>
      </c>
      <c r="F103" s="200">
        <v>0</v>
      </c>
      <c r="G103" s="270">
        <f t="shared" si="5"/>
        <v>0</v>
      </c>
    </row>
    <row r="104" spans="2:8" ht="48" x14ac:dyDescent="0.2">
      <c r="B104" s="362"/>
      <c r="C104" s="311" t="s">
        <v>771</v>
      </c>
      <c r="D104" s="207" t="s">
        <v>123</v>
      </c>
      <c r="E104" s="199">
        <v>1</v>
      </c>
      <c r="F104" s="200">
        <v>0</v>
      </c>
      <c r="G104" s="270">
        <f t="shared" si="5"/>
        <v>0</v>
      </c>
    </row>
    <row r="105" spans="2:8" ht="48" x14ac:dyDescent="0.2">
      <c r="B105" s="362"/>
      <c r="C105" s="311" t="s">
        <v>943</v>
      </c>
      <c r="D105" s="207" t="s">
        <v>123</v>
      </c>
      <c r="E105" s="199">
        <v>1</v>
      </c>
      <c r="F105" s="200">
        <v>0</v>
      </c>
      <c r="G105" s="270">
        <f t="shared" si="5"/>
        <v>0</v>
      </c>
    </row>
    <row r="106" spans="2:8" ht="180" x14ac:dyDescent="0.2">
      <c r="B106" s="153"/>
      <c r="C106" s="311" t="s">
        <v>773</v>
      </c>
      <c r="D106" s="207" t="s">
        <v>123</v>
      </c>
      <c r="E106" s="199">
        <v>1</v>
      </c>
      <c r="F106" s="200">
        <v>0</v>
      </c>
      <c r="G106" s="270">
        <f t="shared" si="5"/>
        <v>0</v>
      </c>
    </row>
    <row r="107" spans="2:8" ht="60" x14ac:dyDescent="0.2">
      <c r="B107" s="153"/>
      <c r="C107" s="311" t="s">
        <v>944</v>
      </c>
      <c r="D107" s="207" t="s">
        <v>98</v>
      </c>
      <c r="E107" s="199">
        <v>1</v>
      </c>
      <c r="F107" s="200">
        <v>0</v>
      </c>
      <c r="G107" s="270">
        <f t="shared" si="5"/>
        <v>0</v>
      </c>
    </row>
    <row r="108" spans="2:8" ht="36" x14ac:dyDescent="0.2">
      <c r="B108" s="129"/>
      <c r="C108" s="197" t="s">
        <v>603</v>
      </c>
      <c r="D108" s="207" t="s">
        <v>123</v>
      </c>
      <c r="E108" s="199">
        <v>1</v>
      </c>
      <c r="F108" s="200">
        <v>0</v>
      </c>
      <c r="G108" s="270">
        <f t="shared" si="5"/>
        <v>0</v>
      </c>
    </row>
    <row r="109" spans="2:8" ht="288" x14ac:dyDescent="0.2">
      <c r="B109" s="129"/>
      <c r="C109" s="197" t="s">
        <v>630</v>
      </c>
      <c r="D109" s="207" t="s">
        <v>98</v>
      </c>
      <c r="E109" s="199">
        <v>2</v>
      </c>
      <c r="F109" s="200">
        <v>0</v>
      </c>
      <c r="G109" s="270">
        <f t="shared" si="5"/>
        <v>0</v>
      </c>
    </row>
    <row r="110" spans="2:8" x14ac:dyDescent="0.2">
      <c r="B110" s="153">
        <v>3</v>
      </c>
      <c r="C110" s="357" t="s">
        <v>775</v>
      </c>
      <c r="D110" s="207"/>
      <c r="E110" s="199"/>
      <c r="F110" s="269"/>
      <c r="G110" s="270"/>
    </row>
    <row r="111" spans="2:8" ht="264" x14ac:dyDescent="0.2">
      <c r="B111" s="129"/>
      <c r="C111" s="197" t="s">
        <v>776</v>
      </c>
      <c r="D111" s="207" t="s">
        <v>98</v>
      </c>
      <c r="E111" s="199">
        <v>1</v>
      </c>
      <c r="F111" s="200">
        <v>0</v>
      </c>
      <c r="G111" s="270">
        <f>E111*F111</f>
        <v>0</v>
      </c>
    </row>
    <row r="112" spans="2:8" ht="72" x14ac:dyDescent="0.2">
      <c r="B112" s="129"/>
      <c r="C112" s="197" t="s">
        <v>777</v>
      </c>
      <c r="D112" s="207" t="s">
        <v>98</v>
      </c>
      <c r="E112" s="199">
        <v>1</v>
      </c>
      <c r="F112" s="200">
        <v>0</v>
      </c>
      <c r="G112" s="270">
        <f>E112*F112</f>
        <v>0</v>
      </c>
    </row>
    <row r="113" spans="2:8" ht="84" x14ac:dyDescent="0.2">
      <c r="B113" s="129"/>
      <c r="C113" s="197" t="s">
        <v>778</v>
      </c>
      <c r="D113" s="207" t="s">
        <v>98</v>
      </c>
      <c r="E113" s="199">
        <v>1</v>
      </c>
      <c r="F113" s="200">
        <v>0</v>
      </c>
      <c r="G113" s="270">
        <f>E113*F113</f>
        <v>0</v>
      </c>
    </row>
    <row r="114" spans="2:8" x14ac:dyDescent="0.2">
      <c r="B114" s="153">
        <v>4</v>
      </c>
      <c r="C114" s="357" t="s">
        <v>779</v>
      </c>
      <c r="D114" s="207"/>
      <c r="E114" s="199"/>
      <c r="F114" s="269"/>
      <c r="G114" s="270"/>
    </row>
    <row r="115" spans="2:8" ht="60" x14ac:dyDescent="0.2">
      <c r="B115" s="153"/>
      <c r="C115" s="311" t="s">
        <v>780</v>
      </c>
      <c r="D115" s="207" t="s">
        <v>98</v>
      </c>
      <c r="E115" s="199">
        <v>2</v>
      </c>
      <c r="F115" s="269">
        <v>0</v>
      </c>
      <c r="G115" s="270">
        <f t="shared" ref="G115:G121" si="6">E115*F115</f>
        <v>0</v>
      </c>
    </row>
    <row r="116" spans="2:8" ht="48" x14ac:dyDescent="0.2">
      <c r="B116" s="129"/>
      <c r="C116" s="197" t="s">
        <v>781</v>
      </c>
      <c r="D116" s="207" t="s">
        <v>98</v>
      </c>
      <c r="E116" s="199">
        <v>2</v>
      </c>
      <c r="F116" s="269">
        <v>0</v>
      </c>
      <c r="G116" s="270">
        <f t="shared" si="6"/>
        <v>0</v>
      </c>
    </row>
    <row r="117" spans="2:8" ht="60" x14ac:dyDescent="0.2">
      <c r="B117" s="153"/>
      <c r="C117" s="311" t="s">
        <v>945</v>
      </c>
      <c r="D117" s="207" t="s">
        <v>98</v>
      </c>
      <c r="E117" s="199">
        <v>2</v>
      </c>
      <c r="F117" s="269">
        <v>0</v>
      </c>
      <c r="G117" s="270">
        <f t="shared" si="6"/>
        <v>0</v>
      </c>
    </row>
    <row r="118" spans="2:8" ht="72" x14ac:dyDescent="0.2">
      <c r="B118" s="153"/>
      <c r="C118" s="311" t="s">
        <v>533</v>
      </c>
      <c r="D118" s="207" t="s">
        <v>123</v>
      </c>
      <c r="E118" s="199">
        <v>3</v>
      </c>
      <c r="F118" s="269">
        <v>0</v>
      </c>
      <c r="G118" s="270">
        <f t="shared" si="6"/>
        <v>0</v>
      </c>
    </row>
    <row r="119" spans="2:8" ht="36" x14ac:dyDescent="0.2">
      <c r="B119" s="129"/>
      <c r="C119" s="197" t="s">
        <v>782</v>
      </c>
      <c r="D119" s="207" t="s">
        <v>123</v>
      </c>
      <c r="E119" s="199">
        <v>1</v>
      </c>
      <c r="F119" s="269">
        <v>0</v>
      </c>
      <c r="G119" s="270">
        <f t="shared" si="6"/>
        <v>0</v>
      </c>
    </row>
    <row r="120" spans="2:8" ht="132" x14ac:dyDescent="0.2">
      <c r="B120" s="153"/>
      <c r="C120" s="311" t="s">
        <v>508</v>
      </c>
      <c r="D120" s="207" t="s">
        <v>123</v>
      </c>
      <c r="E120" s="199">
        <v>1</v>
      </c>
      <c r="F120" s="269">
        <v>0</v>
      </c>
      <c r="G120" s="270">
        <f t="shared" si="6"/>
        <v>0</v>
      </c>
    </row>
    <row r="121" spans="2:8" ht="96" x14ac:dyDescent="0.2">
      <c r="B121" s="129"/>
      <c r="C121" s="197" t="s">
        <v>783</v>
      </c>
      <c r="D121" s="207" t="s">
        <v>123</v>
      </c>
      <c r="E121" s="199">
        <v>1</v>
      </c>
      <c r="F121" s="269">
        <v>0</v>
      </c>
      <c r="G121" s="270">
        <f t="shared" si="6"/>
        <v>0</v>
      </c>
    </row>
    <row r="122" spans="2:8" x14ac:dyDescent="0.2">
      <c r="B122" s="153">
        <v>5</v>
      </c>
      <c r="C122" s="357" t="s">
        <v>784</v>
      </c>
      <c r="D122" s="207"/>
      <c r="E122" s="199"/>
      <c r="F122" s="269"/>
      <c r="G122" s="270"/>
    </row>
    <row r="123" spans="2:8" x14ac:dyDescent="0.2">
      <c r="B123" s="153"/>
      <c r="C123" s="311" t="s">
        <v>643</v>
      </c>
      <c r="D123" s="207" t="s">
        <v>644</v>
      </c>
      <c r="E123" s="199">
        <v>20</v>
      </c>
      <c r="F123" s="269">
        <v>0</v>
      </c>
      <c r="G123" s="270">
        <f t="shared" ref="G123:G131" si="7">E123*F123</f>
        <v>0</v>
      </c>
    </row>
    <row r="124" spans="2:8" x14ac:dyDescent="0.2">
      <c r="B124" s="153"/>
      <c r="C124" s="311" t="s">
        <v>645</v>
      </c>
      <c r="D124" s="207" t="s">
        <v>644</v>
      </c>
      <c r="E124" s="199">
        <v>30</v>
      </c>
      <c r="F124" s="269">
        <v>0</v>
      </c>
      <c r="G124" s="270">
        <f t="shared" si="7"/>
        <v>0</v>
      </c>
      <c r="H124" s="122"/>
    </row>
    <row r="125" spans="2:8" x14ac:dyDescent="0.2">
      <c r="B125" s="153"/>
      <c r="C125" s="311" t="s">
        <v>646</v>
      </c>
      <c r="D125" s="207" t="s">
        <v>644</v>
      </c>
      <c r="E125" s="199">
        <v>100</v>
      </c>
      <c r="F125" s="269">
        <v>0</v>
      </c>
      <c r="G125" s="270">
        <f t="shared" si="7"/>
        <v>0</v>
      </c>
      <c r="H125" s="122"/>
    </row>
    <row r="126" spans="2:8" x14ac:dyDescent="0.2">
      <c r="B126" s="153"/>
      <c r="C126" s="311" t="s">
        <v>647</v>
      </c>
      <c r="D126" s="207" t="s">
        <v>644</v>
      </c>
      <c r="E126" s="199">
        <v>50</v>
      </c>
      <c r="F126" s="269">
        <v>0</v>
      </c>
      <c r="G126" s="270">
        <f t="shared" si="7"/>
        <v>0</v>
      </c>
      <c r="H126" s="122"/>
    </row>
    <row r="127" spans="2:8" x14ac:dyDescent="0.2">
      <c r="B127" s="153"/>
      <c r="C127" s="311" t="s">
        <v>648</v>
      </c>
      <c r="D127" s="207" t="s">
        <v>644</v>
      </c>
      <c r="E127" s="199">
        <v>30</v>
      </c>
      <c r="F127" s="269">
        <v>0</v>
      </c>
      <c r="G127" s="270">
        <f t="shared" si="7"/>
        <v>0</v>
      </c>
      <c r="H127" s="122"/>
    </row>
    <row r="128" spans="2:8" x14ac:dyDescent="0.2">
      <c r="B128" s="153"/>
      <c r="C128" s="311" t="s">
        <v>650</v>
      </c>
      <c r="D128" s="207" t="s">
        <v>123</v>
      </c>
      <c r="E128" s="199">
        <v>2</v>
      </c>
      <c r="F128" s="269">
        <v>0</v>
      </c>
      <c r="G128" s="270">
        <f t="shared" si="7"/>
        <v>0</v>
      </c>
      <c r="H128" s="122"/>
    </row>
    <row r="129" spans="2:8" x14ac:dyDescent="0.2">
      <c r="B129" s="153"/>
      <c r="C129" s="311" t="s">
        <v>651</v>
      </c>
      <c r="D129" s="207" t="s">
        <v>644</v>
      </c>
      <c r="E129" s="199">
        <v>50</v>
      </c>
      <c r="F129" s="269">
        <v>0</v>
      </c>
      <c r="G129" s="270">
        <f t="shared" si="7"/>
        <v>0</v>
      </c>
      <c r="H129" s="122"/>
    </row>
    <row r="130" spans="2:8" x14ac:dyDescent="0.2">
      <c r="B130" s="153"/>
      <c r="C130" s="311" t="s">
        <v>652</v>
      </c>
      <c r="D130" s="207" t="s">
        <v>644</v>
      </c>
      <c r="E130" s="199">
        <v>30</v>
      </c>
      <c r="F130" s="269">
        <v>0</v>
      </c>
      <c r="G130" s="270">
        <f t="shared" si="7"/>
        <v>0</v>
      </c>
      <c r="H130" s="122"/>
    </row>
    <row r="131" spans="2:8" x14ac:dyDescent="0.2">
      <c r="B131" s="129"/>
      <c r="C131" s="311" t="s">
        <v>632</v>
      </c>
      <c r="D131" s="207" t="s">
        <v>98</v>
      </c>
      <c r="E131" s="199">
        <v>1</v>
      </c>
      <c r="F131" s="269">
        <v>0</v>
      </c>
      <c r="G131" s="270">
        <f t="shared" si="7"/>
        <v>0</v>
      </c>
      <c r="H131" s="122"/>
    </row>
    <row r="132" spans="2:8" s="11" customFormat="1" x14ac:dyDescent="0.2">
      <c r="B132" s="59">
        <v>6</v>
      </c>
      <c r="C132" s="357" t="s">
        <v>785</v>
      </c>
      <c r="D132" s="15"/>
      <c r="E132" s="419"/>
      <c r="F132" s="14"/>
      <c r="G132" s="13"/>
      <c r="H132" s="12"/>
    </row>
    <row r="133" spans="2:8" s="11" customFormat="1" ht="24" x14ac:dyDescent="0.2">
      <c r="B133" s="59"/>
      <c r="C133" s="311" t="s">
        <v>666</v>
      </c>
      <c r="D133" s="207" t="s">
        <v>644</v>
      </c>
      <c r="E133" s="199">
        <v>20</v>
      </c>
      <c r="F133" s="269">
        <v>0</v>
      </c>
      <c r="G133" s="270">
        <f t="shared" ref="G133:G140" si="8">E133*F133</f>
        <v>0</v>
      </c>
      <c r="H133" s="12"/>
    </row>
    <row r="134" spans="2:8" s="11" customFormat="1" x14ac:dyDescent="0.2">
      <c r="B134" s="59"/>
      <c r="C134" s="311" t="s">
        <v>667</v>
      </c>
      <c r="D134" s="207" t="s">
        <v>644</v>
      </c>
      <c r="E134" s="199">
        <v>50</v>
      </c>
      <c r="F134" s="269">
        <v>0</v>
      </c>
      <c r="G134" s="270">
        <f t="shared" si="8"/>
        <v>0</v>
      </c>
      <c r="H134" s="12"/>
    </row>
    <row r="135" spans="2:8" s="11" customFormat="1" x14ac:dyDescent="0.2">
      <c r="B135" s="59"/>
      <c r="C135" s="311" t="s">
        <v>668</v>
      </c>
      <c r="D135" s="207" t="s">
        <v>644</v>
      </c>
      <c r="E135" s="199">
        <v>20</v>
      </c>
      <c r="F135" s="269">
        <v>0</v>
      </c>
      <c r="G135" s="270">
        <f t="shared" si="8"/>
        <v>0</v>
      </c>
      <c r="H135" s="12"/>
    </row>
    <row r="136" spans="2:8" s="11" customFormat="1" x14ac:dyDescent="0.2">
      <c r="B136" s="59"/>
      <c r="C136" s="311" t="s">
        <v>673</v>
      </c>
      <c r="D136" s="207" t="s">
        <v>123</v>
      </c>
      <c r="E136" s="199">
        <v>2</v>
      </c>
      <c r="F136" s="269">
        <v>0</v>
      </c>
      <c r="G136" s="270">
        <f t="shared" si="8"/>
        <v>0</v>
      </c>
      <c r="H136" s="12"/>
    </row>
    <row r="137" spans="2:8" s="11" customFormat="1" x14ac:dyDescent="0.2">
      <c r="B137" s="59"/>
      <c r="C137" s="311" t="s">
        <v>787</v>
      </c>
      <c r="D137" s="207" t="s">
        <v>123</v>
      </c>
      <c r="E137" s="199">
        <v>1</v>
      </c>
      <c r="F137" s="269">
        <v>0</v>
      </c>
      <c r="G137" s="270">
        <f t="shared" si="8"/>
        <v>0</v>
      </c>
      <c r="H137" s="12"/>
    </row>
    <row r="138" spans="2:8" s="11" customFormat="1" x14ac:dyDescent="0.2">
      <c r="B138" s="59"/>
      <c r="C138" s="311" t="s">
        <v>675</v>
      </c>
      <c r="D138" s="207" t="s">
        <v>123</v>
      </c>
      <c r="E138" s="199">
        <v>3</v>
      </c>
      <c r="F138" s="269">
        <v>0</v>
      </c>
      <c r="G138" s="270">
        <f t="shared" si="8"/>
        <v>0</v>
      </c>
      <c r="H138" s="12"/>
    </row>
    <row r="139" spans="2:8" s="11" customFormat="1" x14ac:dyDescent="0.2">
      <c r="B139" s="59"/>
      <c r="C139" s="311" t="s">
        <v>676</v>
      </c>
      <c r="D139" s="207" t="s">
        <v>123</v>
      </c>
      <c r="E139" s="199">
        <v>2</v>
      </c>
      <c r="F139" s="269">
        <v>0</v>
      </c>
      <c r="G139" s="270">
        <f t="shared" si="8"/>
        <v>0</v>
      </c>
      <c r="H139" s="12"/>
    </row>
    <row r="140" spans="2:8" s="11" customFormat="1" ht="24" x14ac:dyDescent="0.2">
      <c r="B140" s="59"/>
      <c r="C140" s="311" t="s">
        <v>677</v>
      </c>
      <c r="D140" s="207" t="s">
        <v>123</v>
      </c>
      <c r="E140" s="199">
        <v>1</v>
      </c>
      <c r="F140" s="269">
        <v>0</v>
      </c>
      <c r="G140" s="270">
        <f t="shared" si="8"/>
        <v>0</v>
      </c>
      <c r="H140" s="12"/>
    </row>
    <row r="141" spans="2:8" x14ac:dyDescent="0.2">
      <c r="B141" s="153">
        <v>7</v>
      </c>
      <c r="C141" s="357" t="s">
        <v>788</v>
      </c>
      <c r="D141" s="207"/>
      <c r="E141" s="199"/>
      <c r="F141" s="269"/>
      <c r="G141" s="270"/>
      <c r="H141" s="122"/>
    </row>
    <row r="142" spans="2:8" x14ac:dyDescent="0.2">
      <c r="B142" s="153"/>
      <c r="C142" s="197" t="s">
        <v>655</v>
      </c>
      <c r="D142" s="207" t="s">
        <v>644</v>
      </c>
      <c r="E142" s="199">
        <v>40</v>
      </c>
      <c r="F142" s="269">
        <v>0</v>
      </c>
      <c r="G142" s="270">
        <f>E142*F142</f>
        <v>0</v>
      </c>
      <c r="H142" s="122"/>
    </row>
    <row r="143" spans="2:8" ht="36" x14ac:dyDescent="0.2">
      <c r="B143" s="153"/>
      <c r="C143" s="197" t="s">
        <v>656</v>
      </c>
      <c r="D143" s="207" t="s">
        <v>98</v>
      </c>
      <c r="E143" s="199">
        <v>2</v>
      </c>
      <c r="F143" s="269">
        <v>0</v>
      </c>
      <c r="G143" s="270">
        <f>E143*F143</f>
        <v>0</v>
      </c>
      <c r="H143" s="122"/>
    </row>
    <row r="144" spans="2:8" ht="24" x14ac:dyDescent="0.2">
      <c r="B144" s="153"/>
      <c r="C144" s="197" t="s">
        <v>657</v>
      </c>
      <c r="D144" s="207" t="s">
        <v>98</v>
      </c>
      <c r="E144" s="199">
        <v>1</v>
      </c>
      <c r="F144" s="269">
        <v>0</v>
      </c>
      <c r="G144" s="270">
        <f>E144*F144</f>
        <v>0</v>
      </c>
      <c r="H144" s="122"/>
    </row>
    <row r="145" spans="2:8" x14ac:dyDescent="0.2">
      <c r="B145" s="153"/>
      <c r="C145" s="197" t="s">
        <v>663</v>
      </c>
      <c r="D145" s="207" t="s">
        <v>98</v>
      </c>
      <c r="E145" s="199">
        <v>1</v>
      </c>
      <c r="F145" s="269">
        <v>0</v>
      </c>
      <c r="G145" s="270">
        <f>E145*F145</f>
        <v>0</v>
      </c>
      <c r="H145" s="122"/>
    </row>
    <row r="146" spans="2:8" x14ac:dyDescent="0.2">
      <c r="B146" s="153">
        <v>8</v>
      </c>
      <c r="C146" s="357" t="s">
        <v>679</v>
      </c>
      <c r="D146" s="207"/>
      <c r="E146" s="199"/>
      <c r="F146" s="269"/>
      <c r="G146" s="270"/>
      <c r="H146" s="122"/>
    </row>
    <row r="147" spans="2:8" ht="48" x14ac:dyDescent="0.2">
      <c r="B147" s="129"/>
      <c r="C147" s="197" t="s">
        <v>789</v>
      </c>
      <c r="D147" s="207" t="s">
        <v>98</v>
      </c>
      <c r="E147" s="199">
        <v>1</v>
      </c>
      <c r="F147" s="269">
        <v>0</v>
      </c>
      <c r="G147" s="270">
        <f>E147*F147</f>
        <v>0</v>
      </c>
      <c r="H147" s="122"/>
    </row>
    <row r="148" spans="2:8" ht="36" x14ac:dyDescent="0.2">
      <c r="B148" s="129"/>
      <c r="C148" s="197" t="s">
        <v>790</v>
      </c>
      <c r="D148" s="207" t="s">
        <v>98</v>
      </c>
      <c r="E148" s="199">
        <v>1</v>
      </c>
      <c r="F148" s="269">
        <v>0</v>
      </c>
      <c r="G148" s="270">
        <f>E148*F148</f>
        <v>0</v>
      </c>
      <c r="H148" s="122"/>
    </row>
    <row r="149" spans="2:8" ht="36" x14ac:dyDescent="0.2">
      <c r="B149" s="129"/>
      <c r="C149" s="197" t="s">
        <v>791</v>
      </c>
      <c r="D149" s="207" t="s">
        <v>98</v>
      </c>
      <c r="E149" s="199">
        <v>1</v>
      </c>
      <c r="F149" s="269">
        <v>0</v>
      </c>
      <c r="G149" s="270">
        <f>E149*F149</f>
        <v>0</v>
      </c>
      <c r="H149" s="122"/>
    </row>
    <row r="150" spans="2:8" ht="36" x14ac:dyDescent="0.2">
      <c r="B150" s="153"/>
      <c r="C150" s="311" t="s">
        <v>792</v>
      </c>
      <c r="D150" s="207" t="s">
        <v>98</v>
      </c>
      <c r="E150" s="199">
        <v>1</v>
      </c>
      <c r="F150" s="269">
        <v>0</v>
      </c>
      <c r="G150" s="270">
        <f>E150*F150</f>
        <v>0</v>
      </c>
      <c r="H150" s="122"/>
    </row>
    <row r="151" spans="2:8" x14ac:dyDescent="0.2">
      <c r="B151" s="293" t="s">
        <v>18</v>
      </c>
      <c r="C151" s="294" t="s">
        <v>794</v>
      </c>
      <c r="D151" s="218"/>
      <c r="E151" s="203"/>
      <c r="F151" s="204"/>
      <c r="G151" s="290">
        <f>SUM(G78:G150)</f>
        <v>0</v>
      </c>
      <c r="H151" s="122"/>
    </row>
  </sheetData>
  <mergeCells count="8">
    <mergeCell ref="B74:G74"/>
    <mergeCell ref="B75:G75"/>
    <mergeCell ref="B76:G76"/>
    <mergeCell ref="B26:G26"/>
    <mergeCell ref="B70:G70"/>
    <mergeCell ref="B71:G71"/>
    <mergeCell ref="B72:G72"/>
    <mergeCell ref="B73:G73"/>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4F02-76C3-436E-BDE8-BD5D2F9ACCF2}">
  <sheetPr codeName="Sheet17">
    <tabColor rgb="FF92D050"/>
  </sheetPr>
  <dimension ref="A2:L155"/>
  <sheetViews>
    <sheetView showZeros="0" topLeftCell="A65" zoomScaleNormal="100" workbookViewId="0">
      <selection activeCell="B79" sqref="B79:G79"/>
    </sheetView>
  </sheetViews>
  <sheetFormatPr defaultColWidth="10.42578125" defaultRowHeight="12.75" x14ac:dyDescent="0.2"/>
  <cols>
    <col min="1" max="1" width="4.42578125" style="1" customWidth="1"/>
    <col min="2" max="2" width="4.5703125" style="8" customWidth="1"/>
    <col min="3" max="3" width="53.28515625" style="7" customWidth="1"/>
    <col min="4" max="4" width="10.42578125" style="6" customWidth="1"/>
    <col min="5" max="5" width="9.28515625" style="5" customWidth="1"/>
    <col min="6" max="6" width="12.140625" style="4" customWidth="1"/>
    <col min="7" max="7" width="14.1406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990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G69</f>
        <v>0</v>
      </c>
      <c r="H15" s="18"/>
      <c r="I15" s="331"/>
      <c r="J15" s="331"/>
      <c r="K15" s="331"/>
      <c r="L15" s="331"/>
    </row>
    <row r="16" spans="1:12" s="17" customFormat="1" ht="18.75" customHeight="1" x14ac:dyDescent="0.25">
      <c r="A16" s="331"/>
      <c r="B16" s="332" t="s">
        <v>18</v>
      </c>
      <c r="C16" s="340" t="s">
        <v>367</v>
      </c>
      <c r="D16" s="341"/>
      <c r="E16" s="342"/>
      <c r="F16" s="58"/>
      <c r="G16" s="20">
        <f>G155</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5.5"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c r="G30" s="201"/>
      <c r="H30" s="122"/>
    </row>
    <row r="31" spans="1:8" s="34" customFormat="1" ht="30" customHeight="1" x14ac:dyDescent="0.2">
      <c r="A31" s="136"/>
      <c r="B31" s="292" t="s">
        <v>897</v>
      </c>
      <c r="C31" s="229" t="s">
        <v>991</v>
      </c>
      <c r="D31" s="198"/>
      <c r="E31" s="348"/>
      <c r="F31" s="351"/>
      <c r="G31" s="352"/>
      <c r="H31" s="122"/>
    </row>
    <row r="32" spans="1:8" s="34" customFormat="1" ht="14.25" customHeight="1" x14ac:dyDescent="0.2">
      <c r="A32" s="136"/>
      <c r="B32" s="135"/>
      <c r="C32" s="217" t="s">
        <v>992</v>
      </c>
      <c r="D32" s="198" t="s">
        <v>149</v>
      </c>
      <c r="E32" s="348">
        <v>4</v>
      </c>
      <c r="F32" s="351">
        <v>0</v>
      </c>
      <c r="G32" s="352">
        <f t="shared" ref="G32:G51" si="0">E32*F32</f>
        <v>0</v>
      </c>
      <c r="H32" s="122"/>
    </row>
    <row r="33" spans="2:8" s="34" customFormat="1" ht="14.25" customHeight="1" x14ac:dyDescent="0.2">
      <c r="B33" s="135"/>
      <c r="C33" s="217" t="s">
        <v>993</v>
      </c>
      <c r="D33" s="198" t="s">
        <v>149</v>
      </c>
      <c r="E33" s="348">
        <v>1</v>
      </c>
      <c r="F33" s="351">
        <v>0</v>
      </c>
      <c r="G33" s="352">
        <f t="shared" si="0"/>
        <v>0</v>
      </c>
      <c r="H33" s="122"/>
    </row>
    <row r="34" spans="2:8" s="34" customFormat="1" ht="14.25" customHeight="1" x14ac:dyDescent="0.2">
      <c r="B34" s="135"/>
      <c r="C34" s="217" t="s">
        <v>994</v>
      </c>
      <c r="D34" s="198" t="s">
        <v>149</v>
      </c>
      <c r="E34" s="348">
        <v>1</v>
      </c>
      <c r="F34" s="351">
        <v>0</v>
      </c>
      <c r="G34" s="352">
        <f t="shared" si="0"/>
        <v>0</v>
      </c>
      <c r="H34" s="122"/>
    </row>
    <row r="35" spans="2:8" s="34" customFormat="1" ht="14.25" customHeight="1" x14ac:dyDescent="0.2">
      <c r="B35" s="135"/>
      <c r="C35" s="217" t="s">
        <v>995</v>
      </c>
      <c r="D35" s="198" t="s">
        <v>149</v>
      </c>
      <c r="E35" s="348">
        <v>2</v>
      </c>
      <c r="F35" s="351">
        <v>0</v>
      </c>
      <c r="G35" s="352">
        <f t="shared" si="0"/>
        <v>0</v>
      </c>
      <c r="H35" s="122"/>
    </row>
    <row r="36" spans="2:8" s="34" customFormat="1" ht="14.25" customHeight="1" x14ac:dyDescent="0.2">
      <c r="B36" s="135"/>
      <c r="C36" s="217" t="s">
        <v>996</v>
      </c>
      <c r="D36" s="198" t="s">
        <v>149</v>
      </c>
      <c r="E36" s="348">
        <v>2</v>
      </c>
      <c r="F36" s="351">
        <v>0</v>
      </c>
      <c r="G36" s="352">
        <f t="shared" si="0"/>
        <v>0</v>
      </c>
      <c r="H36" s="122"/>
    </row>
    <row r="37" spans="2:8" s="34" customFormat="1" ht="14.25" customHeight="1" x14ac:dyDescent="0.2">
      <c r="B37" s="135"/>
      <c r="C37" s="217" t="s">
        <v>997</v>
      </c>
      <c r="D37" s="198" t="s">
        <v>149</v>
      </c>
      <c r="E37" s="348">
        <v>2</v>
      </c>
      <c r="F37" s="351">
        <v>0</v>
      </c>
      <c r="G37" s="352">
        <f t="shared" si="0"/>
        <v>0</v>
      </c>
      <c r="H37" s="122"/>
    </row>
    <row r="38" spans="2:8" s="34" customFormat="1" ht="14.25" customHeight="1" x14ac:dyDescent="0.2">
      <c r="B38" s="135"/>
      <c r="C38" s="217" t="s">
        <v>998</v>
      </c>
      <c r="D38" s="198" t="s">
        <v>149</v>
      </c>
      <c r="E38" s="348">
        <v>1</v>
      </c>
      <c r="F38" s="351">
        <v>0</v>
      </c>
      <c r="G38" s="352">
        <f t="shared" si="0"/>
        <v>0</v>
      </c>
      <c r="H38" s="122"/>
    </row>
    <row r="39" spans="2:8" s="34" customFormat="1" ht="14.25" customHeight="1" x14ac:dyDescent="0.2">
      <c r="B39" s="135"/>
      <c r="C39" s="217" t="s">
        <v>999</v>
      </c>
      <c r="D39" s="198" t="s">
        <v>149</v>
      </c>
      <c r="E39" s="348">
        <v>1</v>
      </c>
      <c r="F39" s="351">
        <v>0</v>
      </c>
      <c r="G39" s="352">
        <f t="shared" si="0"/>
        <v>0</v>
      </c>
      <c r="H39" s="122"/>
    </row>
    <row r="40" spans="2:8" s="34" customFormat="1" ht="14.25" customHeight="1" x14ac:dyDescent="0.2">
      <c r="B40" s="135"/>
      <c r="C40" s="217" t="s">
        <v>1000</v>
      </c>
      <c r="D40" s="198" t="s">
        <v>149</v>
      </c>
      <c r="E40" s="348">
        <v>2</v>
      </c>
      <c r="F40" s="351">
        <v>0</v>
      </c>
      <c r="G40" s="352">
        <f t="shared" si="0"/>
        <v>0</v>
      </c>
      <c r="H40" s="122"/>
    </row>
    <row r="41" spans="2:8" s="34" customFormat="1" ht="14.25" customHeight="1" x14ac:dyDescent="0.2">
      <c r="B41" s="135"/>
      <c r="C41" s="217" t="s">
        <v>984</v>
      </c>
      <c r="D41" s="198" t="s">
        <v>149</v>
      </c>
      <c r="E41" s="348">
        <v>5</v>
      </c>
      <c r="F41" s="351">
        <v>0</v>
      </c>
      <c r="G41" s="352">
        <f t="shared" si="0"/>
        <v>0</v>
      </c>
      <c r="H41" s="122"/>
    </row>
    <row r="42" spans="2:8" s="34" customFormat="1" ht="14.25" customHeight="1" x14ac:dyDescent="0.2">
      <c r="B42" s="135"/>
      <c r="C42" s="217" t="s">
        <v>1001</v>
      </c>
      <c r="D42" s="198" t="s">
        <v>149</v>
      </c>
      <c r="E42" s="348">
        <v>5</v>
      </c>
      <c r="F42" s="351">
        <v>0</v>
      </c>
      <c r="G42" s="352">
        <f t="shared" si="0"/>
        <v>0</v>
      </c>
      <c r="H42" s="122"/>
    </row>
    <row r="43" spans="2:8" s="34" customFormat="1" ht="14.25" customHeight="1" x14ac:dyDescent="0.2">
      <c r="B43" s="135"/>
      <c r="C43" s="217" t="s">
        <v>1002</v>
      </c>
      <c r="D43" s="198" t="s">
        <v>149</v>
      </c>
      <c r="E43" s="348">
        <v>13</v>
      </c>
      <c r="F43" s="351">
        <v>0</v>
      </c>
      <c r="G43" s="352">
        <f t="shared" si="0"/>
        <v>0</v>
      </c>
      <c r="H43" s="122"/>
    </row>
    <row r="44" spans="2:8" s="34" customFormat="1" ht="14.25" customHeight="1" x14ac:dyDescent="0.2">
      <c r="B44" s="135"/>
      <c r="C44" s="217" t="s">
        <v>1003</v>
      </c>
      <c r="D44" s="198" t="s">
        <v>149</v>
      </c>
      <c r="E44" s="348">
        <v>1</v>
      </c>
      <c r="F44" s="351">
        <v>0</v>
      </c>
      <c r="G44" s="352">
        <f t="shared" si="0"/>
        <v>0</v>
      </c>
      <c r="H44" s="122"/>
    </row>
    <row r="45" spans="2:8" s="34" customFormat="1" ht="14.25" customHeight="1" x14ac:dyDescent="0.2">
      <c r="B45" s="135"/>
      <c r="C45" s="217" t="s">
        <v>1004</v>
      </c>
      <c r="D45" s="198" t="s">
        <v>149</v>
      </c>
      <c r="E45" s="348">
        <v>1</v>
      </c>
      <c r="F45" s="351">
        <v>0</v>
      </c>
      <c r="G45" s="352">
        <f t="shared" si="0"/>
        <v>0</v>
      </c>
      <c r="H45" s="122"/>
    </row>
    <row r="46" spans="2:8" s="34" customFormat="1" ht="14.25" customHeight="1" x14ac:dyDescent="0.2">
      <c r="B46" s="135"/>
      <c r="C46" s="217" t="s">
        <v>1005</v>
      </c>
      <c r="D46" s="198" t="s">
        <v>149</v>
      </c>
      <c r="E46" s="348">
        <v>5</v>
      </c>
      <c r="F46" s="351">
        <v>0</v>
      </c>
      <c r="G46" s="352">
        <f t="shared" si="0"/>
        <v>0</v>
      </c>
      <c r="H46" s="122"/>
    </row>
    <row r="47" spans="2:8" s="34" customFormat="1" ht="14.25" customHeight="1" x14ac:dyDescent="0.2">
      <c r="B47" s="135"/>
      <c r="C47" s="217" t="s">
        <v>1006</v>
      </c>
      <c r="D47" s="198" t="s">
        <v>149</v>
      </c>
      <c r="E47" s="348">
        <v>1</v>
      </c>
      <c r="F47" s="351">
        <v>0</v>
      </c>
      <c r="G47" s="352">
        <f t="shared" si="0"/>
        <v>0</v>
      </c>
      <c r="H47" s="122"/>
    </row>
    <row r="48" spans="2:8" s="34" customFormat="1" ht="14.25" customHeight="1" x14ac:dyDescent="0.2">
      <c r="B48" s="135"/>
      <c r="C48" s="217" t="s">
        <v>1007</v>
      </c>
      <c r="D48" s="198" t="s">
        <v>149</v>
      </c>
      <c r="E48" s="348">
        <v>1</v>
      </c>
      <c r="F48" s="351">
        <v>0</v>
      </c>
      <c r="G48" s="352">
        <f t="shared" si="0"/>
        <v>0</v>
      </c>
      <c r="H48" s="122"/>
    </row>
    <row r="49" spans="2:8" s="34" customFormat="1" ht="14.25" customHeight="1" x14ac:dyDescent="0.2">
      <c r="B49" s="135"/>
      <c r="C49" s="217" t="s">
        <v>1008</v>
      </c>
      <c r="D49" s="198" t="s">
        <v>928</v>
      </c>
      <c r="E49" s="348">
        <v>1</v>
      </c>
      <c r="F49" s="351">
        <v>0</v>
      </c>
      <c r="G49" s="352">
        <f t="shared" si="0"/>
        <v>0</v>
      </c>
      <c r="H49" s="122"/>
    </row>
    <row r="50" spans="2:8" s="34" customFormat="1" ht="15" customHeight="1" x14ac:dyDescent="0.2">
      <c r="B50" s="135"/>
      <c r="C50" s="217" t="s">
        <v>986</v>
      </c>
      <c r="D50" s="198" t="s">
        <v>98</v>
      </c>
      <c r="E50" s="348">
        <v>1</v>
      </c>
      <c r="F50" s="351">
        <v>0</v>
      </c>
      <c r="G50" s="352">
        <f t="shared" si="0"/>
        <v>0</v>
      </c>
      <c r="H50" s="122"/>
    </row>
    <row r="51" spans="2:8" s="34" customFormat="1" ht="90" customHeight="1" x14ac:dyDescent="0.2">
      <c r="B51" s="135"/>
      <c r="C51" s="217" t="s">
        <v>987</v>
      </c>
      <c r="D51" s="198" t="s">
        <v>98</v>
      </c>
      <c r="E51" s="348">
        <v>1</v>
      </c>
      <c r="F51" s="351">
        <v>0</v>
      </c>
      <c r="G51" s="352">
        <f t="shared" si="0"/>
        <v>0</v>
      </c>
      <c r="H51" s="122"/>
    </row>
    <row r="52" spans="2:8" s="34" customFormat="1" ht="15" customHeight="1" x14ac:dyDescent="0.2">
      <c r="B52" s="292" t="s">
        <v>917</v>
      </c>
      <c r="C52" s="67" t="s">
        <v>918</v>
      </c>
      <c r="D52" s="63"/>
      <c r="E52" s="62"/>
      <c r="F52" s="61"/>
      <c r="G52" s="60"/>
      <c r="H52" s="122"/>
    </row>
    <row r="53" spans="2:8" s="34" customFormat="1" ht="330.75" customHeight="1" x14ac:dyDescent="0.2">
      <c r="B53" s="135"/>
      <c r="C53" s="66" t="s">
        <v>919</v>
      </c>
      <c r="D53" s="63" t="s">
        <v>149</v>
      </c>
      <c r="E53" s="62">
        <v>1</v>
      </c>
      <c r="F53" s="61"/>
      <c r="G53" s="60"/>
      <c r="H53" s="122"/>
    </row>
    <row r="54" spans="2:8" s="34" customFormat="1" ht="240" customHeight="1" x14ac:dyDescent="0.2">
      <c r="B54" s="135"/>
      <c r="C54" s="65" t="s">
        <v>920</v>
      </c>
      <c r="D54" s="63" t="s">
        <v>560</v>
      </c>
      <c r="E54" s="62">
        <v>1</v>
      </c>
      <c r="F54" s="61"/>
      <c r="G54" s="60"/>
      <c r="H54" s="122"/>
    </row>
    <row r="55" spans="2:8" s="34" customFormat="1" ht="108.75" customHeight="1" x14ac:dyDescent="0.2">
      <c r="B55" s="135"/>
      <c r="C55" s="65" t="s">
        <v>921</v>
      </c>
      <c r="D55" s="63" t="s">
        <v>149</v>
      </c>
      <c r="E55" s="62">
        <v>1</v>
      </c>
      <c r="F55" s="61"/>
      <c r="G55" s="60"/>
      <c r="H55" s="122"/>
    </row>
    <row r="56" spans="2:8" s="34" customFormat="1" ht="82.5" customHeight="1" x14ac:dyDescent="0.2">
      <c r="B56" s="135"/>
      <c r="C56" s="65" t="s">
        <v>988</v>
      </c>
      <c r="D56" s="63" t="s">
        <v>560</v>
      </c>
      <c r="E56" s="62">
        <v>1</v>
      </c>
      <c r="F56" s="61"/>
      <c r="G56" s="60"/>
      <c r="H56" s="122"/>
    </row>
    <row r="57" spans="2:8" s="34" customFormat="1" ht="328.5" customHeight="1" x14ac:dyDescent="0.2">
      <c r="B57" s="135"/>
      <c r="C57" s="64" t="s">
        <v>923</v>
      </c>
      <c r="D57" s="63" t="s">
        <v>149</v>
      </c>
      <c r="E57" s="62">
        <v>1</v>
      </c>
      <c r="F57" s="61"/>
      <c r="G57" s="60"/>
      <c r="H57" s="122"/>
    </row>
    <row r="58" spans="2:8" s="34" customFormat="1" ht="18" customHeight="1" x14ac:dyDescent="0.2">
      <c r="B58" s="135"/>
      <c r="C58" s="64" t="s">
        <v>924</v>
      </c>
      <c r="D58" s="63" t="s">
        <v>560</v>
      </c>
      <c r="E58" s="62">
        <v>1</v>
      </c>
      <c r="F58" s="61"/>
      <c r="G58" s="60"/>
      <c r="H58" s="122"/>
    </row>
    <row r="59" spans="2:8" s="136" customFormat="1" ht="18" customHeight="1" x14ac:dyDescent="0.2">
      <c r="B59" s="135"/>
      <c r="C59" s="2755" t="s">
        <v>2522</v>
      </c>
      <c r="D59" s="2751" t="s">
        <v>560</v>
      </c>
      <c r="E59" s="2752">
        <v>1</v>
      </c>
      <c r="F59" s="61">
        <v>0</v>
      </c>
      <c r="G59" s="60">
        <f>E59*F59</f>
        <v>0</v>
      </c>
      <c r="H59" s="122"/>
    </row>
    <row r="60" spans="2:8" s="34" customFormat="1" ht="15.75" customHeight="1" x14ac:dyDescent="0.2">
      <c r="B60" s="292" t="s">
        <v>1009</v>
      </c>
      <c r="C60" s="57" t="s">
        <v>910</v>
      </c>
      <c r="D60" s="56"/>
      <c r="E60" s="55"/>
      <c r="F60" s="54"/>
      <c r="G60" s="53"/>
      <c r="H60" s="122"/>
    </row>
    <row r="61" spans="2:8" s="136" customFormat="1" ht="96" customHeight="1" x14ac:dyDescent="0.2">
      <c r="B61" s="2731"/>
      <c r="C61" s="2732"/>
      <c r="D61" s="2733"/>
      <c r="E61" s="2734"/>
      <c r="F61" s="2735"/>
      <c r="G61" s="2736"/>
      <c r="H61" s="122"/>
    </row>
    <row r="62" spans="2:8" s="136" customFormat="1" ht="96" customHeight="1" x14ac:dyDescent="0.2">
      <c r="B62" s="2737"/>
      <c r="C62" s="2738"/>
      <c r="D62" s="2733"/>
      <c r="E62" s="2734"/>
      <c r="F62" s="2735"/>
      <c r="G62" s="2736"/>
      <c r="H62" s="122"/>
    </row>
    <row r="63" spans="2:8" s="136" customFormat="1" ht="96" customHeight="1" x14ac:dyDescent="0.2">
      <c r="B63" s="2737"/>
      <c r="C63" s="2738"/>
      <c r="D63" s="2733"/>
      <c r="E63" s="2734"/>
      <c r="F63" s="2735"/>
      <c r="G63" s="2736"/>
      <c r="H63" s="122"/>
    </row>
    <row r="64" spans="2:8" s="136" customFormat="1" ht="96" customHeight="1" x14ac:dyDescent="0.2">
      <c r="B64" s="2737"/>
      <c r="C64" s="2738"/>
      <c r="D64" s="2733"/>
      <c r="E64" s="2734"/>
      <c r="F64" s="2735"/>
      <c r="G64" s="2736"/>
      <c r="H64" s="122"/>
    </row>
    <row r="65" spans="2:8" s="136" customFormat="1" ht="96" customHeight="1" x14ac:dyDescent="0.2">
      <c r="B65" s="2737"/>
      <c r="C65" s="2738"/>
      <c r="D65" s="2733"/>
      <c r="E65" s="2734"/>
      <c r="F65" s="2735"/>
      <c r="G65" s="2736"/>
      <c r="H65" s="122"/>
    </row>
    <row r="66" spans="2:8" s="136" customFormat="1" ht="96" customHeight="1" x14ac:dyDescent="0.2">
      <c r="B66" s="2737"/>
      <c r="C66" s="2738"/>
      <c r="D66" s="2733"/>
      <c r="E66" s="2734"/>
      <c r="F66" s="2735"/>
      <c r="G66" s="2736"/>
      <c r="H66" s="122"/>
    </row>
    <row r="67" spans="2:8" s="136" customFormat="1" ht="125.25" customHeight="1" x14ac:dyDescent="0.2">
      <c r="B67" s="2737"/>
      <c r="C67" s="2738"/>
      <c r="D67" s="2733"/>
      <c r="E67" s="2734"/>
      <c r="F67" s="2735"/>
      <c r="G67" s="2736"/>
      <c r="H67" s="122"/>
    </row>
    <row r="68" spans="2:8" s="136" customFormat="1" ht="14.25" customHeight="1" x14ac:dyDescent="0.2">
      <c r="B68" s="2737"/>
      <c r="C68" s="2732" t="s">
        <v>2464</v>
      </c>
      <c r="D68" s="2739" t="s">
        <v>98</v>
      </c>
      <c r="E68" s="2740">
        <v>1</v>
      </c>
      <c r="F68" s="2741">
        <v>0</v>
      </c>
      <c r="G68" s="2742">
        <f t="shared" ref="G68" si="1">E68*F68</f>
        <v>0</v>
      </c>
      <c r="H68" s="122"/>
    </row>
    <row r="69" spans="2:8" s="9" customFormat="1" ht="25.5" customHeight="1" x14ac:dyDescent="0.25">
      <c r="B69" s="293" t="s">
        <v>17</v>
      </c>
      <c r="C69" s="294" t="s">
        <v>302</v>
      </c>
      <c r="D69" s="218"/>
      <c r="E69" s="203"/>
      <c r="F69" s="204"/>
      <c r="G69" s="290">
        <f>SUM(G27:G68)</f>
        <v>0</v>
      </c>
      <c r="H69" s="150"/>
    </row>
    <row r="70" spans="2:8" x14ac:dyDescent="0.2">
      <c r="B70" s="129"/>
      <c r="C70" s="197"/>
      <c r="D70" s="207"/>
      <c r="E70" s="199"/>
      <c r="F70" s="200"/>
      <c r="G70" s="201"/>
      <c r="H70" s="122"/>
    </row>
    <row r="71" spans="2:8" ht="25.5" x14ac:dyDescent="0.2">
      <c r="B71" s="128" t="s">
        <v>83</v>
      </c>
      <c r="C71" s="192" t="s">
        <v>89</v>
      </c>
      <c r="D71" s="192" t="s">
        <v>90</v>
      </c>
      <c r="E71" s="194" t="s">
        <v>91</v>
      </c>
      <c r="F71" s="195" t="s">
        <v>92</v>
      </c>
      <c r="G71" s="196" t="s">
        <v>93</v>
      </c>
      <c r="H71" s="122"/>
    </row>
    <row r="72" spans="2:8" x14ac:dyDescent="0.2">
      <c r="B72" s="51"/>
      <c r="C72" s="50"/>
      <c r="D72" s="50"/>
      <c r="E72" s="359"/>
      <c r="F72" s="360"/>
      <c r="G72" s="361"/>
      <c r="H72" s="122"/>
    </row>
    <row r="73" spans="2:8" ht="20.25" x14ac:dyDescent="0.2">
      <c r="B73" s="296" t="s">
        <v>18</v>
      </c>
      <c r="C73" s="297" t="s">
        <v>367</v>
      </c>
      <c r="D73" s="298"/>
      <c r="E73" s="299"/>
      <c r="F73" s="300"/>
      <c r="G73" s="301"/>
      <c r="H73" s="122"/>
    </row>
    <row r="74" spans="2:8" x14ac:dyDescent="0.2">
      <c r="B74" s="3205" t="s">
        <v>539</v>
      </c>
      <c r="C74" s="3206"/>
      <c r="D74" s="3206"/>
      <c r="E74" s="3206"/>
      <c r="F74" s="3206"/>
      <c r="G74" s="3207"/>
      <c r="H74" s="122"/>
    </row>
    <row r="75" spans="2:8" ht="25.5" customHeight="1" x14ac:dyDescent="0.2">
      <c r="B75" s="3205" t="s">
        <v>540</v>
      </c>
      <c r="C75" s="3206"/>
      <c r="D75" s="3206"/>
      <c r="E75" s="3206"/>
      <c r="F75" s="3206"/>
      <c r="G75" s="3207"/>
    </row>
    <row r="76" spans="2:8" x14ac:dyDescent="0.2">
      <c r="B76" s="3205" t="s">
        <v>541</v>
      </c>
      <c r="C76" s="3206"/>
      <c r="D76" s="3206"/>
      <c r="E76" s="3206"/>
      <c r="F76" s="3206"/>
      <c r="G76" s="3207"/>
    </row>
    <row r="77" spans="2:8" ht="25.5" customHeight="1" x14ac:dyDescent="0.2">
      <c r="B77" s="3205" t="s">
        <v>542</v>
      </c>
      <c r="C77" s="3206"/>
      <c r="D77" s="3206"/>
      <c r="E77" s="3206"/>
      <c r="F77" s="3206"/>
      <c r="G77" s="3207"/>
    </row>
    <row r="78" spans="2:8" ht="25.5" customHeight="1" x14ac:dyDescent="0.2">
      <c r="B78" s="3205" t="s">
        <v>543</v>
      </c>
      <c r="C78" s="3206"/>
      <c r="D78" s="3206"/>
      <c r="E78" s="3206"/>
      <c r="F78" s="3206"/>
      <c r="G78" s="3207"/>
    </row>
    <row r="79" spans="2:8" ht="25.5" customHeight="1" x14ac:dyDescent="0.2">
      <c r="B79" s="3205" t="s">
        <v>544</v>
      </c>
      <c r="C79" s="3206"/>
      <c r="D79" s="3206"/>
      <c r="E79" s="3206"/>
      <c r="F79" s="3206"/>
      <c r="G79" s="3207"/>
    </row>
    <row r="80" spans="2:8" x14ac:dyDescent="0.2">
      <c r="B80" s="3205" t="s">
        <v>545</v>
      </c>
      <c r="C80" s="3206"/>
      <c r="D80" s="3206"/>
      <c r="E80" s="3206"/>
      <c r="F80" s="3206"/>
      <c r="G80" s="3207"/>
    </row>
    <row r="81" spans="2:7" x14ac:dyDescent="0.2">
      <c r="B81" s="153">
        <v>1</v>
      </c>
      <c r="C81" s="357" t="s">
        <v>550</v>
      </c>
      <c r="D81" s="207"/>
      <c r="E81" s="199"/>
      <c r="F81" s="269"/>
      <c r="G81" s="270"/>
    </row>
    <row r="82" spans="2:7" ht="108" x14ac:dyDescent="0.2">
      <c r="B82" s="129"/>
      <c r="C82" s="197" t="s">
        <v>815</v>
      </c>
      <c r="D82" s="207" t="s">
        <v>98</v>
      </c>
      <c r="E82" s="199">
        <v>1</v>
      </c>
      <c r="F82" s="269">
        <v>0</v>
      </c>
      <c r="G82" s="270">
        <f t="shared" ref="G82:G102" si="2">E82*F82</f>
        <v>0</v>
      </c>
    </row>
    <row r="83" spans="2:7" ht="60" x14ac:dyDescent="0.2">
      <c r="B83" s="129"/>
      <c r="C83" s="197" t="s">
        <v>751</v>
      </c>
      <c r="D83" s="207" t="s">
        <v>123</v>
      </c>
      <c r="E83" s="199">
        <v>1</v>
      </c>
      <c r="F83" s="269">
        <v>0</v>
      </c>
      <c r="G83" s="270">
        <f t="shared" si="2"/>
        <v>0</v>
      </c>
    </row>
    <row r="84" spans="2:7" ht="60" x14ac:dyDescent="0.2">
      <c r="B84" s="129"/>
      <c r="C84" s="197" t="s">
        <v>752</v>
      </c>
      <c r="D84" s="207" t="s">
        <v>123</v>
      </c>
      <c r="E84" s="199">
        <v>1</v>
      </c>
      <c r="F84" s="269">
        <v>0</v>
      </c>
      <c r="G84" s="270">
        <f t="shared" si="2"/>
        <v>0</v>
      </c>
    </row>
    <row r="85" spans="2:7" ht="60" x14ac:dyDescent="0.2">
      <c r="B85" s="129"/>
      <c r="C85" s="197" t="s">
        <v>753</v>
      </c>
      <c r="D85" s="207" t="s">
        <v>123</v>
      </c>
      <c r="E85" s="199">
        <v>2</v>
      </c>
      <c r="F85" s="269">
        <v>0</v>
      </c>
      <c r="G85" s="270">
        <f t="shared" si="2"/>
        <v>0</v>
      </c>
    </row>
    <row r="86" spans="2:7" ht="60" x14ac:dyDescent="0.2">
      <c r="B86" s="129"/>
      <c r="C86" s="197" t="s">
        <v>754</v>
      </c>
      <c r="D86" s="207" t="s">
        <v>123</v>
      </c>
      <c r="E86" s="199">
        <v>1</v>
      </c>
      <c r="F86" s="269">
        <v>0</v>
      </c>
      <c r="G86" s="270">
        <f t="shared" si="2"/>
        <v>0</v>
      </c>
    </row>
    <row r="87" spans="2:7" ht="48" x14ac:dyDescent="0.2">
      <c r="B87" s="129"/>
      <c r="C87" s="197" t="s">
        <v>755</v>
      </c>
      <c r="D87" s="207" t="s">
        <v>123</v>
      </c>
      <c r="E87" s="199">
        <v>1</v>
      </c>
      <c r="F87" s="269">
        <v>0</v>
      </c>
      <c r="G87" s="270">
        <f t="shared" si="2"/>
        <v>0</v>
      </c>
    </row>
    <row r="88" spans="2:7" ht="60" x14ac:dyDescent="0.2">
      <c r="B88" s="129"/>
      <c r="C88" s="311" t="s">
        <v>756</v>
      </c>
      <c r="D88" s="207" t="s">
        <v>98</v>
      </c>
      <c r="E88" s="199">
        <v>1</v>
      </c>
      <c r="F88" s="269">
        <v>0</v>
      </c>
      <c r="G88" s="270">
        <f t="shared" si="2"/>
        <v>0</v>
      </c>
    </row>
    <row r="89" spans="2:7" ht="48" x14ac:dyDescent="0.2">
      <c r="B89" s="129"/>
      <c r="C89" s="197" t="s">
        <v>757</v>
      </c>
      <c r="D89" s="207" t="s">
        <v>123</v>
      </c>
      <c r="E89" s="199">
        <v>1</v>
      </c>
      <c r="F89" s="269">
        <v>0</v>
      </c>
      <c r="G89" s="270">
        <f t="shared" si="2"/>
        <v>0</v>
      </c>
    </row>
    <row r="90" spans="2:7" ht="108" x14ac:dyDescent="0.2">
      <c r="B90" s="129"/>
      <c r="C90" s="197" t="s">
        <v>619</v>
      </c>
      <c r="D90" s="207" t="s">
        <v>123</v>
      </c>
      <c r="E90" s="199">
        <v>1</v>
      </c>
      <c r="F90" s="269">
        <v>0</v>
      </c>
      <c r="G90" s="270">
        <f t="shared" si="2"/>
        <v>0</v>
      </c>
    </row>
    <row r="91" spans="2:7" ht="36" x14ac:dyDescent="0.2">
      <c r="B91" s="129"/>
      <c r="C91" s="197" t="s">
        <v>758</v>
      </c>
      <c r="D91" s="207" t="s">
        <v>123</v>
      </c>
      <c r="E91" s="199">
        <v>40</v>
      </c>
      <c r="F91" s="269">
        <v>0</v>
      </c>
      <c r="G91" s="270">
        <f t="shared" si="2"/>
        <v>0</v>
      </c>
    </row>
    <row r="92" spans="2:7" ht="36" x14ac:dyDescent="0.2">
      <c r="B92" s="129"/>
      <c r="C92" s="197" t="s">
        <v>759</v>
      </c>
      <c r="D92" s="207" t="s">
        <v>123</v>
      </c>
      <c r="E92" s="199">
        <v>10</v>
      </c>
      <c r="F92" s="269">
        <v>0</v>
      </c>
      <c r="G92" s="270">
        <f t="shared" si="2"/>
        <v>0</v>
      </c>
    </row>
    <row r="93" spans="2:7" ht="36" x14ac:dyDescent="0.2">
      <c r="B93" s="129"/>
      <c r="C93" s="197" t="s">
        <v>760</v>
      </c>
      <c r="D93" s="207" t="s">
        <v>123</v>
      </c>
      <c r="E93" s="199">
        <v>2</v>
      </c>
      <c r="F93" s="269">
        <v>0</v>
      </c>
      <c r="G93" s="270">
        <f t="shared" si="2"/>
        <v>0</v>
      </c>
    </row>
    <row r="94" spans="2:7" ht="36" x14ac:dyDescent="0.2">
      <c r="B94" s="129"/>
      <c r="C94" s="197" t="s">
        <v>761</v>
      </c>
      <c r="D94" s="207" t="s">
        <v>123</v>
      </c>
      <c r="E94" s="199">
        <v>12</v>
      </c>
      <c r="F94" s="269">
        <v>0</v>
      </c>
      <c r="G94" s="270">
        <f t="shared" si="2"/>
        <v>0</v>
      </c>
    </row>
    <row r="95" spans="2:7" ht="36" x14ac:dyDescent="0.2">
      <c r="B95" s="129"/>
      <c r="C95" s="197" t="s">
        <v>762</v>
      </c>
      <c r="D95" s="207" t="s">
        <v>123</v>
      </c>
      <c r="E95" s="199">
        <v>1</v>
      </c>
      <c r="F95" s="269">
        <v>0</v>
      </c>
      <c r="G95" s="270">
        <f t="shared" si="2"/>
        <v>0</v>
      </c>
    </row>
    <row r="96" spans="2:7" ht="48" x14ac:dyDescent="0.2">
      <c r="B96" s="129"/>
      <c r="C96" s="197" t="s">
        <v>763</v>
      </c>
      <c r="D96" s="207" t="s">
        <v>123</v>
      </c>
      <c r="E96" s="199">
        <v>1</v>
      </c>
      <c r="F96" s="269">
        <v>0</v>
      </c>
      <c r="G96" s="270">
        <f t="shared" si="2"/>
        <v>0</v>
      </c>
    </row>
    <row r="97" spans="2:8" ht="48" x14ac:dyDescent="0.2">
      <c r="B97" s="129"/>
      <c r="C97" s="197" t="s">
        <v>764</v>
      </c>
      <c r="D97" s="207" t="s">
        <v>123</v>
      </c>
      <c r="E97" s="199">
        <v>3</v>
      </c>
      <c r="F97" s="269">
        <v>0</v>
      </c>
      <c r="G97" s="270">
        <f t="shared" si="2"/>
        <v>0</v>
      </c>
    </row>
    <row r="98" spans="2:8" ht="48" x14ac:dyDescent="0.2">
      <c r="B98" s="129"/>
      <c r="C98" s="197" t="s">
        <v>765</v>
      </c>
      <c r="D98" s="207" t="s">
        <v>123</v>
      </c>
      <c r="E98" s="199">
        <v>3</v>
      </c>
      <c r="F98" s="269">
        <v>0</v>
      </c>
      <c r="G98" s="270">
        <f t="shared" si="2"/>
        <v>0</v>
      </c>
    </row>
    <row r="99" spans="2:8" ht="48" x14ac:dyDescent="0.2">
      <c r="B99" s="129"/>
      <c r="C99" s="197" t="s">
        <v>766</v>
      </c>
      <c r="D99" s="207" t="s">
        <v>123</v>
      </c>
      <c r="E99" s="199">
        <v>3</v>
      </c>
      <c r="F99" s="269">
        <v>0</v>
      </c>
      <c r="G99" s="270">
        <f t="shared" si="2"/>
        <v>0</v>
      </c>
    </row>
    <row r="100" spans="2:8" ht="48" x14ac:dyDescent="0.2">
      <c r="B100" s="129"/>
      <c r="C100" s="197" t="s">
        <v>767</v>
      </c>
      <c r="D100" s="207" t="s">
        <v>98</v>
      </c>
      <c r="E100" s="199">
        <v>1</v>
      </c>
      <c r="F100" s="269">
        <v>0</v>
      </c>
      <c r="G100" s="270">
        <f t="shared" si="2"/>
        <v>0</v>
      </c>
    </row>
    <row r="101" spans="2:8" ht="60" x14ac:dyDescent="0.2">
      <c r="B101" s="129"/>
      <c r="C101" s="197" t="s">
        <v>768</v>
      </c>
      <c r="D101" s="207" t="s">
        <v>123</v>
      </c>
      <c r="E101" s="199">
        <v>1</v>
      </c>
      <c r="F101" s="269">
        <v>0</v>
      </c>
      <c r="G101" s="270">
        <f t="shared" si="2"/>
        <v>0</v>
      </c>
    </row>
    <row r="102" spans="2:8" ht="84" x14ac:dyDescent="0.2">
      <c r="B102" s="129"/>
      <c r="C102" s="197" t="s">
        <v>620</v>
      </c>
      <c r="D102" s="207" t="s">
        <v>123</v>
      </c>
      <c r="E102" s="199">
        <v>1</v>
      </c>
      <c r="F102" s="269">
        <v>0</v>
      </c>
      <c r="G102" s="270">
        <f t="shared" si="2"/>
        <v>0</v>
      </c>
    </row>
    <row r="103" spans="2:8" x14ac:dyDescent="0.2">
      <c r="B103" s="153">
        <v>2</v>
      </c>
      <c r="C103" s="357" t="s">
        <v>769</v>
      </c>
      <c r="D103" s="207"/>
      <c r="E103" s="199"/>
      <c r="F103" s="269"/>
      <c r="G103" s="270"/>
    </row>
    <row r="104" spans="2:8" s="121" customFormat="1" ht="387.75" customHeight="1" x14ac:dyDescent="0.2">
      <c r="B104" s="2743"/>
      <c r="C104" s="2744"/>
      <c r="D104" s="2745"/>
      <c r="E104" s="2746"/>
      <c r="F104" s="2747"/>
      <c r="G104" s="2736"/>
      <c r="H104" s="122"/>
    </row>
    <row r="105" spans="2:8" s="121" customFormat="1" ht="24.75" customHeight="1" x14ac:dyDescent="0.2">
      <c r="B105" s="2743"/>
      <c r="C105" s="2744" t="s">
        <v>2465</v>
      </c>
      <c r="D105" s="2748" t="s">
        <v>98</v>
      </c>
      <c r="E105" s="2746">
        <v>1</v>
      </c>
      <c r="F105" s="2747">
        <v>0</v>
      </c>
      <c r="G105" s="2736">
        <f t="shared" ref="G105" si="3">E105*F105</f>
        <v>0</v>
      </c>
      <c r="H105" s="122"/>
    </row>
    <row r="106" spans="2:8" ht="60" x14ac:dyDescent="0.2">
      <c r="B106" s="129"/>
      <c r="C106" s="197" t="s">
        <v>772</v>
      </c>
      <c r="D106" s="207" t="s">
        <v>123</v>
      </c>
      <c r="E106" s="199">
        <v>1</v>
      </c>
      <c r="F106" s="269">
        <v>0</v>
      </c>
      <c r="G106" s="270">
        <f t="shared" ref="G106:G113" si="4">E106*F106</f>
        <v>0</v>
      </c>
    </row>
    <row r="107" spans="2:8" ht="48" x14ac:dyDescent="0.2">
      <c r="B107" s="129"/>
      <c r="C107" s="197" t="s">
        <v>625</v>
      </c>
      <c r="D107" s="207" t="s">
        <v>123</v>
      </c>
      <c r="E107" s="199">
        <v>1</v>
      </c>
      <c r="F107" s="269">
        <v>0</v>
      </c>
      <c r="G107" s="270">
        <f t="shared" si="4"/>
        <v>0</v>
      </c>
    </row>
    <row r="108" spans="2:8" ht="48" x14ac:dyDescent="0.2">
      <c r="B108" s="362"/>
      <c r="C108" s="311" t="s">
        <v>771</v>
      </c>
      <c r="D108" s="207" t="s">
        <v>123</v>
      </c>
      <c r="E108" s="199">
        <v>1</v>
      </c>
      <c r="F108" s="269">
        <v>0</v>
      </c>
      <c r="G108" s="270">
        <f t="shared" si="4"/>
        <v>0</v>
      </c>
    </row>
    <row r="109" spans="2:8" ht="48" x14ac:dyDescent="0.2">
      <c r="B109" s="362"/>
      <c r="C109" s="311" t="s">
        <v>943</v>
      </c>
      <c r="D109" s="207" t="s">
        <v>123</v>
      </c>
      <c r="E109" s="199">
        <v>1</v>
      </c>
      <c r="F109" s="269">
        <v>0</v>
      </c>
      <c r="G109" s="270">
        <f t="shared" si="4"/>
        <v>0</v>
      </c>
    </row>
    <row r="110" spans="2:8" ht="180" x14ac:dyDescent="0.2">
      <c r="B110" s="153"/>
      <c r="C110" s="311" t="s">
        <v>773</v>
      </c>
      <c r="D110" s="207" t="s">
        <v>123</v>
      </c>
      <c r="E110" s="199">
        <v>1</v>
      </c>
      <c r="F110" s="269">
        <v>0</v>
      </c>
      <c r="G110" s="270">
        <f t="shared" si="4"/>
        <v>0</v>
      </c>
    </row>
    <row r="111" spans="2:8" ht="60" x14ac:dyDescent="0.2">
      <c r="B111" s="153"/>
      <c r="C111" s="311" t="s">
        <v>944</v>
      </c>
      <c r="D111" s="207" t="s">
        <v>98</v>
      </c>
      <c r="E111" s="199">
        <v>1</v>
      </c>
      <c r="F111" s="269">
        <v>0</v>
      </c>
      <c r="G111" s="270">
        <f t="shared" si="4"/>
        <v>0</v>
      </c>
    </row>
    <row r="112" spans="2:8" ht="36" x14ac:dyDescent="0.2">
      <c r="B112" s="129"/>
      <c r="C112" s="197" t="s">
        <v>603</v>
      </c>
      <c r="D112" s="207" t="s">
        <v>123</v>
      </c>
      <c r="E112" s="199">
        <v>1</v>
      </c>
      <c r="F112" s="269">
        <v>0</v>
      </c>
      <c r="G112" s="270">
        <f t="shared" si="4"/>
        <v>0</v>
      </c>
    </row>
    <row r="113" spans="2:8" ht="288" x14ac:dyDescent="0.2">
      <c r="B113" s="129"/>
      <c r="C113" s="197" t="s">
        <v>630</v>
      </c>
      <c r="D113" s="207" t="s">
        <v>98</v>
      </c>
      <c r="E113" s="199">
        <v>2</v>
      </c>
      <c r="F113" s="269">
        <v>0</v>
      </c>
      <c r="G113" s="270">
        <f t="shared" si="4"/>
        <v>0</v>
      </c>
    </row>
    <row r="114" spans="2:8" x14ac:dyDescent="0.2">
      <c r="B114" s="153">
        <v>3</v>
      </c>
      <c r="C114" s="357" t="s">
        <v>775</v>
      </c>
      <c r="D114" s="207"/>
      <c r="E114" s="199"/>
      <c r="F114" s="269">
        <v>0</v>
      </c>
      <c r="G114" s="270"/>
    </row>
    <row r="115" spans="2:8" ht="276" x14ac:dyDescent="0.2">
      <c r="B115" s="129"/>
      <c r="C115" s="197" t="s">
        <v>776</v>
      </c>
      <c r="D115" s="207" t="s">
        <v>98</v>
      </c>
      <c r="E115" s="199">
        <v>1</v>
      </c>
      <c r="F115" s="269">
        <v>0</v>
      </c>
      <c r="G115" s="270">
        <f>E115*F115</f>
        <v>0</v>
      </c>
    </row>
    <row r="116" spans="2:8" ht="72" x14ac:dyDescent="0.2">
      <c r="B116" s="129"/>
      <c r="C116" s="197" t="s">
        <v>777</v>
      </c>
      <c r="D116" s="207" t="s">
        <v>98</v>
      </c>
      <c r="E116" s="199">
        <v>1</v>
      </c>
      <c r="F116" s="269">
        <v>0</v>
      </c>
      <c r="G116" s="270">
        <f>E116*F116</f>
        <v>0</v>
      </c>
    </row>
    <row r="117" spans="2:8" ht="84" x14ac:dyDescent="0.2">
      <c r="B117" s="129"/>
      <c r="C117" s="197" t="s">
        <v>778</v>
      </c>
      <c r="D117" s="207" t="s">
        <v>98</v>
      </c>
      <c r="E117" s="199">
        <v>1</v>
      </c>
      <c r="F117" s="269">
        <v>0</v>
      </c>
      <c r="G117" s="270">
        <f>E117*F117</f>
        <v>0</v>
      </c>
    </row>
    <row r="118" spans="2:8" x14ac:dyDescent="0.2">
      <c r="B118" s="153">
        <v>4</v>
      </c>
      <c r="C118" s="357" t="s">
        <v>779</v>
      </c>
      <c r="D118" s="207"/>
      <c r="E118" s="199"/>
      <c r="F118" s="269"/>
      <c r="G118" s="270"/>
    </row>
    <row r="119" spans="2:8" ht="60" x14ac:dyDescent="0.2">
      <c r="B119" s="153"/>
      <c r="C119" s="311" t="s">
        <v>780</v>
      </c>
      <c r="D119" s="207" t="s">
        <v>98</v>
      </c>
      <c r="E119" s="199">
        <v>2</v>
      </c>
      <c r="F119" s="269">
        <v>0</v>
      </c>
      <c r="G119" s="270">
        <f t="shared" ref="G119:G125" si="5">E119*F119</f>
        <v>0</v>
      </c>
    </row>
    <row r="120" spans="2:8" ht="60" x14ac:dyDescent="0.2">
      <c r="B120" s="129"/>
      <c r="C120" s="197" t="s">
        <v>781</v>
      </c>
      <c r="D120" s="207" t="s">
        <v>98</v>
      </c>
      <c r="E120" s="199">
        <v>2</v>
      </c>
      <c r="F120" s="269">
        <v>0</v>
      </c>
      <c r="G120" s="270">
        <f t="shared" si="5"/>
        <v>0</v>
      </c>
    </row>
    <row r="121" spans="2:8" ht="60" x14ac:dyDescent="0.2">
      <c r="B121" s="153"/>
      <c r="C121" s="311" t="s">
        <v>945</v>
      </c>
      <c r="D121" s="207" t="s">
        <v>98</v>
      </c>
      <c r="E121" s="199">
        <v>2</v>
      </c>
      <c r="F121" s="269">
        <v>0</v>
      </c>
      <c r="G121" s="270">
        <f t="shared" si="5"/>
        <v>0</v>
      </c>
    </row>
    <row r="122" spans="2:8" ht="72" x14ac:dyDescent="0.2">
      <c r="B122" s="153"/>
      <c r="C122" s="311" t="s">
        <v>533</v>
      </c>
      <c r="D122" s="207" t="s">
        <v>123</v>
      </c>
      <c r="E122" s="199">
        <v>2</v>
      </c>
      <c r="F122" s="269">
        <v>0</v>
      </c>
      <c r="G122" s="270">
        <f t="shared" si="5"/>
        <v>0</v>
      </c>
    </row>
    <row r="123" spans="2:8" ht="36" x14ac:dyDescent="0.2">
      <c r="B123" s="129"/>
      <c r="C123" s="197" t="s">
        <v>782</v>
      </c>
      <c r="D123" s="207" t="s">
        <v>123</v>
      </c>
      <c r="E123" s="199">
        <v>1</v>
      </c>
      <c r="F123" s="269">
        <v>0</v>
      </c>
      <c r="G123" s="270">
        <f t="shared" si="5"/>
        <v>0</v>
      </c>
    </row>
    <row r="124" spans="2:8" ht="132" x14ac:dyDescent="0.2">
      <c r="B124" s="153"/>
      <c r="C124" s="311" t="s">
        <v>508</v>
      </c>
      <c r="D124" s="207" t="s">
        <v>123</v>
      </c>
      <c r="E124" s="199">
        <v>1</v>
      </c>
      <c r="F124" s="269">
        <v>0</v>
      </c>
      <c r="G124" s="270">
        <f t="shared" si="5"/>
        <v>0</v>
      </c>
      <c r="H124" s="122"/>
    </row>
    <row r="125" spans="2:8" ht="96" x14ac:dyDescent="0.2">
      <c r="B125" s="129"/>
      <c r="C125" s="197" t="s">
        <v>783</v>
      </c>
      <c r="D125" s="207" t="s">
        <v>123</v>
      </c>
      <c r="E125" s="199">
        <v>1</v>
      </c>
      <c r="F125" s="269">
        <v>0</v>
      </c>
      <c r="G125" s="270">
        <f t="shared" si="5"/>
        <v>0</v>
      </c>
      <c r="H125" s="122"/>
    </row>
    <row r="126" spans="2:8" x14ac:dyDescent="0.2">
      <c r="B126" s="153">
        <v>5</v>
      </c>
      <c r="C126" s="357" t="s">
        <v>784</v>
      </c>
      <c r="D126" s="207"/>
      <c r="E126" s="199"/>
      <c r="F126" s="269"/>
      <c r="G126" s="270"/>
      <c r="H126" s="122"/>
    </row>
    <row r="127" spans="2:8" x14ac:dyDescent="0.2">
      <c r="B127" s="153"/>
      <c r="C127" s="311" t="s">
        <v>643</v>
      </c>
      <c r="D127" s="207" t="s">
        <v>644</v>
      </c>
      <c r="E127" s="199">
        <v>20</v>
      </c>
      <c r="F127" s="269">
        <v>0</v>
      </c>
      <c r="G127" s="270">
        <f t="shared" ref="G127:G135" si="6">E127*F127</f>
        <v>0</v>
      </c>
      <c r="H127" s="122"/>
    </row>
    <row r="128" spans="2:8" x14ac:dyDescent="0.2">
      <c r="B128" s="153"/>
      <c r="C128" s="311" t="s">
        <v>645</v>
      </c>
      <c r="D128" s="207" t="s">
        <v>644</v>
      </c>
      <c r="E128" s="199">
        <v>30</v>
      </c>
      <c r="F128" s="269">
        <v>0</v>
      </c>
      <c r="G128" s="270">
        <f t="shared" si="6"/>
        <v>0</v>
      </c>
      <c r="H128" s="122"/>
    </row>
    <row r="129" spans="2:8" x14ac:dyDescent="0.2">
      <c r="B129" s="153"/>
      <c r="C129" s="311" t="s">
        <v>646</v>
      </c>
      <c r="D129" s="207" t="s">
        <v>644</v>
      </c>
      <c r="E129" s="199">
        <v>100</v>
      </c>
      <c r="F129" s="269">
        <v>0</v>
      </c>
      <c r="G129" s="270">
        <f t="shared" si="6"/>
        <v>0</v>
      </c>
      <c r="H129" s="122"/>
    </row>
    <row r="130" spans="2:8" x14ac:dyDescent="0.2">
      <c r="B130" s="153"/>
      <c r="C130" s="311" t="s">
        <v>647</v>
      </c>
      <c r="D130" s="207" t="s">
        <v>644</v>
      </c>
      <c r="E130" s="199">
        <v>50</v>
      </c>
      <c r="F130" s="269">
        <v>0</v>
      </c>
      <c r="G130" s="270">
        <f t="shared" si="6"/>
        <v>0</v>
      </c>
      <c r="H130" s="122"/>
    </row>
    <row r="131" spans="2:8" x14ac:dyDescent="0.2">
      <c r="B131" s="153"/>
      <c r="C131" s="311" t="s">
        <v>648</v>
      </c>
      <c r="D131" s="207" t="s">
        <v>644</v>
      </c>
      <c r="E131" s="199">
        <v>30</v>
      </c>
      <c r="F131" s="269">
        <v>0</v>
      </c>
      <c r="G131" s="270">
        <f t="shared" si="6"/>
        <v>0</v>
      </c>
      <c r="H131" s="122"/>
    </row>
    <row r="132" spans="2:8" x14ac:dyDescent="0.2">
      <c r="B132" s="153"/>
      <c r="C132" s="311" t="s">
        <v>650</v>
      </c>
      <c r="D132" s="207" t="s">
        <v>123</v>
      </c>
      <c r="E132" s="199">
        <v>2</v>
      </c>
      <c r="F132" s="269">
        <v>0</v>
      </c>
      <c r="G132" s="270">
        <f t="shared" si="6"/>
        <v>0</v>
      </c>
      <c r="H132" s="122"/>
    </row>
    <row r="133" spans="2:8" x14ac:dyDescent="0.2">
      <c r="B133" s="153"/>
      <c r="C133" s="311" t="s">
        <v>651</v>
      </c>
      <c r="D133" s="207" t="s">
        <v>644</v>
      </c>
      <c r="E133" s="199">
        <v>50</v>
      </c>
      <c r="F133" s="269">
        <v>0</v>
      </c>
      <c r="G133" s="270">
        <f t="shared" si="6"/>
        <v>0</v>
      </c>
      <c r="H133" s="122"/>
    </row>
    <row r="134" spans="2:8" x14ac:dyDescent="0.2">
      <c r="B134" s="153"/>
      <c r="C134" s="311" t="s">
        <v>652</v>
      </c>
      <c r="D134" s="207" t="s">
        <v>644</v>
      </c>
      <c r="E134" s="199">
        <v>30</v>
      </c>
      <c r="F134" s="269">
        <v>0</v>
      </c>
      <c r="G134" s="270">
        <f t="shared" si="6"/>
        <v>0</v>
      </c>
      <c r="H134" s="122"/>
    </row>
    <row r="135" spans="2:8" x14ac:dyDescent="0.2">
      <c r="B135" s="129"/>
      <c r="C135" s="311" t="s">
        <v>632</v>
      </c>
      <c r="D135" s="207" t="s">
        <v>98</v>
      </c>
      <c r="E135" s="199">
        <v>1</v>
      </c>
      <c r="F135" s="269">
        <v>0</v>
      </c>
      <c r="G135" s="270">
        <f t="shared" si="6"/>
        <v>0</v>
      </c>
      <c r="H135" s="122"/>
    </row>
    <row r="136" spans="2:8" s="11" customFormat="1" x14ac:dyDescent="0.2">
      <c r="B136" s="59">
        <v>6</v>
      </c>
      <c r="C136" s="357" t="s">
        <v>785</v>
      </c>
      <c r="D136" s="15"/>
      <c r="E136" s="419"/>
      <c r="F136" s="14"/>
      <c r="G136" s="13"/>
      <c r="H136" s="12"/>
    </row>
    <row r="137" spans="2:8" s="11" customFormat="1" ht="24" x14ac:dyDescent="0.2">
      <c r="B137" s="59"/>
      <c r="C137" s="311" t="s">
        <v>666</v>
      </c>
      <c r="D137" s="207" t="s">
        <v>644</v>
      </c>
      <c r="E137" s="199">
        <v>20</v>
      </c>
      <c r="F137" s="269">
        <v>0</v>
      </c>
      <c r="G137" s="270">
        <f t="shared" ref="G137:G144" si="7">E137*F137</f>
        <v>0</v>
      </c>
      <c r="H137" s="12"/>
    </row>
    <row r="138" spans="2:8" s="11" customFormat="1" x14ac:dyDescent="0.2">
      <c r="B138" s="59"/>
      <c r="C138" s="311" t="s">
        <v>667</v>
      </c>
      <c r="D138" s="207" t="s">
        <v>644</v>
      </c>
      <c r="E138" s="199">
        <v>50</v>
      </c>
      <c r="F138" s="269">
        <v>0</v>
      </c>
      <c r="G138" s="270">
        <f t="shared" si="7"/>
        <v>0</v>
      </c>
      <c r="H138" s="12"/>
    </row>
    <row r="139" spans="2:8" s="11" customFormat="1" x14ac:dyDescent="0.2">
      <c r="B139" s="59"/>
      <c r="C139" s="311" t="s">
        <v>668</v>
      </c>
      <c r="D139" s="207" t="s">
        <v>644</v>
      </c>
      <c r="E139" s="199">
        <v>20</v>
      </c>
      <c r="F139" s="269">
        <v>0</v>
      </c>
      <c r="G139" s="270">
        <f t="shared" si="7"/>
        <v>0</v>
      </c>
      <c r="H139" s="12"/>
    </row>
    <row r="140" spans="2:8" s="11" customFormat="1" x14ac:dyDescent="0.2">
      <c r="B140" s="59"/>
      <c r="C140" s="311" t="s">
        <v>673</v>
      </c>
      <c r="D140" s="207" t="s">
        <v>123</v>
      </c>
      <c r="E140" s="199">
        <v>2</v>
      </c>
      <c r="F140" s="269">
        <v>0</v>
      </c>
      <c r="G140" s="270">
        <f t="shared" si="7"/>
        <v>0</v>
      </c>
      <c r="H140" s="12"/>
    </row>
    <row r="141" spans="2:8" s="11" customFormat="1" x14ac:dyDescent="0.2">
      <c r="B141" s="59"/>
      <c r="C141" s="311" t="s">
        <v>787</v>
      </c>
      <c r="D141" s="207" t="s">
        <v>123</v>
      </c>
      <c r="E141" s="199">
        <v>1</v>
      </c>
      <c r="F141" s="269">
        <v>0</v>
      </c>
      <c r="G141" s="270">
        <f t="shared" si="7"/>
        <v>0</v>
      </c>
      <c r="H141" s="12"/>
    </row>
    <row r="142" spans="2:8" s="11" customFormat="1" x14ac:dyDescent="0.2">
      <c r="B142" s="59"/>
      <c r="C142" s="311" t="s">
        <v>675</v>
      </c>
      <c r="D142" s="207" t="s">
        <v>123</v>
      </c>
      <c r="E142" s="199">
        <v>3</v>
      </c>
      <c r="F142" s="269">
        <v>0</v>
      </c>
      <c r="G142" s="270">
        <f t="shared" si="7"/>
        <v>0</v>
      </c>
      <c r="H142" s="12"/>
    </row>
    <row r="143" spans="2:8" s="11" customFormat="1" x14ac:dyDescent="0.2">
      <c r="B143" s="59"/>
      <c r="C143" s="311" t="s">
        <v>676</v>
      </c>
      <c r="D143" s="207" t="s">
        <v>123</v>
      </c>
      <c r="E143" s="199">
        <v>2</v>
      </c>
      <c r="F143" s="269">
        <v>0</v>
      </c>
      <c r="G143" s="270">
        <f t="shared" si="7"/>
        <v>0</v>
      </c>
      <c r="H143" s="12"/>
    </row>
    <row r="144" spans="2:8" s="11" customFormat="1" ht="24" x14ac:dyDescent="0.2">
      <c r="B144" s="59"/>
      <c r="C144" s="311" t="s">
        <v>677</v>
      </c>
      <c r="D144" s="207" t="s">
        <v>123</v>
      </c>
      <c r="E144" s="199">
        <v>1</v>
      </c>
      <c r="F144" s="269">
        <v>0</v>
      </c>
      <c r="G144" s="270">
        <f t="shared" si="7"/>
        <v>0</v>
      </c>
      <c r="H144" s="12"/>
    </row>
    <row r="145" spans="2:8" x14ac:dyDescent="0.2">
      <c r="B145" s="153">
        <v>7</v>
      </c>
      <c r="C145" s="357" t="s">
        <v>788</v>
      </c>
      <c r="D145" s="207"/>
      <c r="E145" s="199"/>
      <c r="F145" s="269"/>
      <c r="G145" s="270"/>
      <c r="H145" s="122"/>
    </row>
    <row r="146" spans="2:8" x14ac:dyDescent="0.2">
      <c r="B146" s="153"/>
      <c r="C146" s="197" t="s">
        <v>655</v>
      </c>
      <c r="D146" s="207" t="s">
        <v>644</v>
      </c>
      <c r="E146" s="199">
        <v>40</v>
      </c>
      <c r="F146" s="200">
        <v>0</v>
      </c>
      <c r="G146" s="270">
        <f>E146*F146</f>
        <v>0</v>
      </c>
      <c r="H146" s="122"/>
    </row>
    <row r="147" spans="2:8" ht="36" x14ac:dyDescent="0.2">
      <c r="B147" s="153"/>
      <c r="C147" s="197" t="s">
        <v>656</v>
      </c>
      <c r="D147" s="207" t="s">
        <v>98</v>
      </c>
      <c r="E147" s="199">
        <v>2</v>
      </c>
      <c r="F147" s="200">
        <v>0</v>
      </c>
      <c r="G147" s="270">
        <f>E147*F147</f>
        <v>0</v>
      </c>
      <c r="H147" s="122"/>
    </row>
    <row r="148" spans="2:8" ht="24" x14ac:dyDescent="0.2">
      <c r="B148" s="153"/>
      <c r="C148" s="197" t="s">
        <v>657</v>
      </c>
      <c r="D148" s="207" t="s">
        <v>98</v>
      </c>
      <c r="E148" s="199">
        <v>1</v>
      </c>
      <c r="F148" s="200">
        <v>0</v>
      </c>
      <c r="G148" s="270">
        <f>E148*F148</f>
        <v>0</v>
      </c>
      <c r="H148" s="122"/>
    </row>
    <row r="149" spans="2:8" x14ac:dyDescent="0.2">
      <c r="B149" s="153"/>
      <c r="C149" s="197" t="s">
        <v>663</v>
      </c>
      <c r="D149" s="207" t="s">
        <v>98</v>
      </c>
      <c r="E149" s="199">
        <v>1</v>
      </c>
      <c r="F149" s="200">
        <v>0</v>
      </c>
      <c r="G149" s="270">
        <f>E149*F149</f>
        <v>0</v>
      </c>
      <c r="H149" s="122"/>
    </row>
    <row r="150" spans="2:8" x14ac:dyDescent="0.2">
      <c r="B150" s="153">
        <v>8</v>
      </c>
      <c r="C150" s="357" t="s">
        <v>679</v>
      </c>
      <c r="D150" s="207"/>
      <c r="E150" s="199"/>
      <c r="F150" s="269"/>
      <c r="G150" s="270"/>
      <c r="H150" s="122"/>
    </row>
    <row r="151" spans="2:8" ht="48" x14ac:dyDescent="0.2">
      <c r="B151" s="129"/>
      <c r="C151" s="197" t="s">
        <v>789</v>
      </c>
      <c r="D151" s="207" t="s">
        <v>98</v>
      </c>
      <c r="E151" s="199">
        <v>1</v>
      </c>
      <c r="F151" s="200">
        <v>0</v>
      </c>
      <c r="G151" s="270">
        <f>E151*F151</f>
        <v>0</v>
      </c>
      <c r="H151" s="122"/>
    </row>
    <row r="152" spans="2:8" ht="36" x14ac:dyDescent="0.2">
      <c r="B152" s="129"/>
      <c r="C152" s="197" t="s">
        <v>790</v>
      </c>
      <c r="D152" s="207" t="s">
        <v>98</v>
      </c>
      <c r="E152" s="199">
        <v>1</v>
      </c>
      <c r="F152" s="200">
        <v>0</v>
      </c>
      <c r="G152" s="270">
        <f>E152*F152</f>
        <v>0</v>
      </c>
      <c r="H152" s="122"/>
    </row>
    <row r="153" spans="2:8" ht="36" x14ac:dyDescent="0.2">
      <c r="B153" s="129"/>
      <c r="C153" s="197" t="s">
        <v>791</v>
      </c>
      <c r="D153" s="207" t="s">
        <v>98</v>
      </c>
      <c r="E153" s="199">
        <v>1</v>
      </c>
      <c r="F153" s="200">
        <v>0</v>
      </c>
      <c r="G153" s="270">
        <f>E153*F153</f>
        <v>0</v>
      </c>
      <c r="H153" s="122"/>
    </row>
    <row r="154" spans="2:8" ht="36" x14ac:dyDescent="0.2">
      <c r="B154" s="153"/>
      <c r="C154" s="311" t="s">
        <v>792</v>
      </c>
      <c r="D154" s="207" t="s">
        <v>98</v>
      </c>
      <c r="E154" s="199">
        <v>1</v>
      </c>
      <c r="F154" s="200">
        <v>0</v>
      </c>
      <c r="G154" s="270">
        <f>E154*F154</f>
        <v>0</v>
      </c>
      <c r="H154" s="122"/>
    </row>
    <row r="155" spans="2:8" x14ac:dyDescent="0.2">
      <c r="B155" s="293" t="s">
        <v>18</v>
      </c>
      <c r="C155" s="294" t="s">
        <v>794</v>
      </c>
      <c r="D155" s="218"/>
      <c r="E155" s="203"/>
      <c r="F155" s="204"/>
      <c r="G155" s="290">
        <f>SUM(G82:G154)</f>
        <v>0</v>
      </c>
      <c r="H155" s="122"/>
    </row>
  </sheetData>
  <mergeCells count="8">
    <mergeCell ref="B78:G78"/>
    <mergeCell ref="B79:G79"/>
    <mergeCell ref="B80:G80"/>
    <mergeCell ref="B26:G26"/>
    <mergeCell ref="B74:G74"/>
    <mergeCell ref="B75:G75"/>
    <mergeCell ref="B76:G76"/>
    <mergeCell ref="B77:G77"/>
  </mergeCells>
  <pageMargins left="0.7" right="0.7" top="0.75" bottom="0.75" header="0.3" footer="0.3"/>
  <pageSetup paperSize="9" scale="85" orientation="portrait" horizontalDpi="4294967295" verticalDpi="4294967295" r:id="rId1"/>
  <headerFooter alignWithMargins="0">
    <oddFooter>&amp;C&amp;8&amp;P/&amp;N</oddFooter>
  </headerFooter>
  <rowBreaks count="2" manualBreakCount="2">
    <brk id="18" max="16383" man="1"/>
    <brk id="5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5BC91-BA2A-4E23-A4C4-81EF48092C8E}">
  <sheetPr codeName="Sheet26">
    <tabColor rgb="FF92D05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944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10"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10"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B772-B575-427D-B5A5-5936DA1DE638}">
  <sheetPr codeName="Sheet27">
    <tabColor rgb="FF92D05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944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10"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10"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4CAB-F86F-4ACC-B78D-A0B62264B561}">
  <sheetPr codeName="Sheet28">
    <tabColor rgb="FF92D05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10"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369A-E7A9-4689-B6FD-5FAA64492E59}">
  <sheetPr codeName="Sheet15">
    <tabColor rgb="FF92D050"/>
  </sheetPr>
  <dimension ref="A2:L136"/>
  <sheetViews>
    <sheetView showZeros="0" topLeftCell="A51" zoomScale="110" zoomScaleNormal="110" workbookViewId="0">
      <selection activeCell="B64" sqref="B64:G64"/>
    </sheetView>
  </sheetViews>
  <sheetFormatPr defaultColWidth="10.42578125" defaultRowHeight="12.75" x14ac:dyDescent="0.2"/>
  <cols>
    <col min="1" max="1" width="4.42578125" style="1" customWidth="1"/>
    <col min="2" max="2" width="7.42578125" style="8" customWidth="1"/>
    <col min="3" max="3" width="52.85546875" style="7" customWidth="1"/>
    <col min="4" max="4" width="10.42578125" style="6" customWidth="1"/>
    <col min="5" max="5" width="9.28515625" style="5" customWidth="1"/>
    <col min="6" max="6" width="12.140625" style="4" customWidth="1"/>
    <col min="7" max="7" width="13.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G54</f>
        <v>0</v>
      </c>
      <c r="H15" s="18"/>
      <c r="I15" s="331"/>
      <c r="J15" s="331"/>
      <c r="K15" s="331"/>
      <c r="L15" s="331"/>
    </row>
    <row r="16" spans="1:12" s="17" customFormat="1" ht="18.75" customHeight="1" x14ac:dyDescent="0.25">
      <c r="A16" s="331"/>
      <c r="B16" s="332" t="s">
        <v>18</v>
      </c>
      <c r="C16" s="340" t="s">
        <v>367</v>
      </c>
      <c r="D16" s="341"/>
      <c r="E16" s="342"/>
      <c r="F16" s="58"/>
      <c r="G16" s="20">
        <f>G136</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00">
        <v>0</v>
      </c>
      <c r="G30" s="201"/>
      <c r="H30" s="122"/>
    </row>
    <row r="31" spans="1:8" s="34" customFormat="1" ht="14.25" customHeight="1" x14ac:dyDescent="0.2">
      <c r="A31" s="136"/>
      <c r="B31" s="292" t="s">
        <v>1014</v>
      </c>
      <c r="C31" s="46"/>
      <c r="D31" s="198"/>
      <c r="E31" s="348"/>
      <c r="F31" s="351"/>
      <c r="G31" s="352"/>
      <c r="H31" s="122"/>
    </row>
    <row r="32" spans="1:8" s="34" customFormat="1" ht="14.25" customHeight="1" x14ac:dyDescent="0.2">
      <c r="A32" s="136"/>
      <c r="B32" s="135"/>
      <c r="C32" s="217" t="s">
        <v>1015</v>
      </c>
      <c r="D32" s="198" t="s">
        <v>149</v>
      </c>
      <c r="E32" s="348">
        <v>2</v>
      </c>
      <c r="F32" s="351">
        <v>0</v>
      </c>
      <c r="G32" s="352">
        <f t="shared" ref="G32:G44" si="0">E32*F32</f>
        <v>0</v>
      </c>
      <c r="H32" s="122"/>
    </row>
    <row r="33" spans="2:8" s="34" customFormat="1" ht="14.25" customHeight="1" x14ac:dyDescent="0.2">
      <c r="B33" s="135"/>
      <c r="C33" s="217" t="s">
        <v>1016</v>
      </c>
      <c r="D33" s="198" t="s">
        <v>149</v>
      </c>
      <c r="E33" s="348">
        <v>1</v>
      </c>
      <c r="F33" s="351">
        <v>0</v>
      </c>
      <c r="G33" s="352">
        <f t="shared" si="0"/>
        <v>0</v>
      </c>
      <c r="H33" s="122"/>
    </row>
    <row r="34" spans="2:8" s="34" customFormat="1" ht="14.25" customHeight="1" x14ac:dyDescent="0.2">
      <c r="B34" s="135"/>
      <c r="C34" s="217" t="s">
        <v>1017</v>
      </c>
      <c r="D34" s="198" t="s">
        <v>149</v>
      </c>
      <c r="E34" s="348">
        <v>1</v>
      </c>
      <c r="F34" s="351">
        <v>0</v>
      </c>
      <c r="G34" s="352">
        <f t="shared" si="0"/>
        <v>0</v>
      </c>
      <c r="H34" s="122"/>
    </row>
    <row r="35" spans="2:8" s="34" customFormat="1" ht="14.25" customHeight="1" x14ac:dyDescent="0.2">
      <c r="B35" s="135"/>
      <c r="C35" s="217" t="s">
        <v>1018</v>
      </c>
      <c r="D35" s="198" t="s">
        <v>149</v>
      </c>
      <c r="E35" s="348">
        <v>4</v>
      </c>
      <c r="F35" s="351">
        <v>0</v>
      </c>
      <c r="G35" s="352">
        <f t="shared" si="0"/>
        <v>0</v>
      </c>
      <c r="H35" s="122"/>
    </row>
    <row r="36" spans="2:8" s="34" customFormat="1" ht="14.25" customHeight="1" x14ac:dyDescent="0.2">
      <c r="B36" s="135"/>
      <c r="C36" s="217" t="s">
        <v>1019</v>
      </c>
      <c r="D36" s="198" t="s">
        <v>149</v>
      </c>
      <c r="E36" s="348">
        <v>3</v>
      </c>
      <c r="F36" s="351">
        <v>0</v>
      </c>
      <c r="G36" s="352">
        <f t="shared" si="0"/>
        <v>0</v>
      </c>
      <c r="H36" s="122"/>
    </row>
    <row r="37" spans="2:8" s="34" customFormat="1" ht="14.25" customHeight="1" x14ac:dyDescent="0.2">
      <c r="B37" s="135"/>
      <c r="C37" s="217" t="s">
        <v>1020</v>
      </c>
      <c r="D37" s="198" t="s">
        <v>149</v>
      </c>
      <c r="E37" s="348">
        <v>5</v>
      </c>
      <c r="F37" s="351">
        <v>0</v>
      </c>
      <c r="G37" s="352">
        <f t="shared" si="0"/>
        <v>0</v>
      </c>
      <c r="H37" s="122"/>
    </row>
    <row r="38" spans="2:8" s="34" customFormat="1" ht="14.25" customHeight="1" x14ac:dyDescent="0.2">
      <c r="B38" s="135"/>
      <c r="C38" s="217" t="s">
        <v>956</v>
      </c>
      <c r="D38" s="198" t="s">
        <v>149</v>
      </c>
      <c r="E38" s="348">
        <v>5</v>
      </c>
      <c r="F38" s="351">
        <v>0</v>
      </c>
      <c r="G38" s="352">
        <f t="shared" si="0"/>
        <v>0</v>
      </c>
      <c r="H38" s="122"/>
    </row>
    <row r="39" spans="2:8" s="34" customFormat="1" ht="14.25" customHeight="1" x14ac:dyDescent="0.2">
      <c r="B39" s="135"/>
      <c r="C39" s="217" t="s">
        <v>1021</v>
      </c>
      <c r="D39" s="198" t="s">
        <v>149</v>
      </c>
      <c r="E39" s="348">
        <v>2</v>
      </c>
      <c r="F39" s="351">
        <v>0</v>
      </c>
      <c r="G39" s="352">
        <f t="shared" si="0"/>
        <v>0</v>
      </c>
      <c r="H39" s="122"/>
    </row>
    <row r="40" spans="2:8" s="34" customFormat="1" ht="14.25" customHeight="1" x14ac:dyDescent="0.2">
      <c r="B40" s="135"/>
      <c r="C40" s="217" t="s">
        <v>1022</v>
      </c>
      <c r="D40" s="198" t="s">
        <v>149</v>
      </c>
      <c r="E40" s="348">
        <v>3</v>
      </c>
      <c r="F40" s="351">
        <v>0</v>
      </c>
      <c r="G40" s="352">
        <f t="shared" si="0"/>
        <v>0</v>
      </c>
      <c r="H40" s="122"/>
    </row>
    <row r="41" spans="2:8" s="34" customFormat="1" ht="14.25" customHeight="1" x14ac:dyDescent="0.2">
      <c r="B41" s="135"/>
      <c r="C41" s="217" t="s">
        <v>1023</v>
      </c>
      <c r="D41" s="198" t="s">
        <v>149</v>
      </c>
      <c r="E41" s="348">
        <v>1</v>
      </c>
      <c r="F41" s="351">
        <v>0</v>
      </c>
      <c r="G41" s="352">
        <f t="shared" si="0"/>
        <v>0</v>
      </c>
      <c r="H41" s="122"/>
    </row>
    <row r="42" spans="2:8" s="34" customFormat="1" ht="14.25" customHeight="1" x14ac:dyDescent="0.2">
      <c r="B42" s="135"/>
      <c r="C42" s="217" t="s">
        <v>1024</v>
      </c>
      <c r="D42" s="198" t="s">
        <v>149</v>
      </c>
      <c r="E42" s="348">
        <v>2</v>
      </c>
      <c r="F42" s="351">
        <v>0</v>
      </c>
      <c r="G42" s="352">
        <f t="shared" si="0"/>
        <v>0</v>
      </c>
      <c r="H42" s="122"/>
    </row>
    <row r="43" spans="2:8" s="34" customFormat="1" ht="14.25" customHeight="1" x14ac:dyDescent="0.2">
      <c r="B43" s="135"/>
      <c r="C43" s="217" t="s">
        <v>1025</v>
      </c>
      <c r="D43" s="198" t="s">
        <v>928</v>
      </c>
      <c r="E43" s="348">
        <v>4</v>
      </c>
      <c r="F43" s="351">
        <v>0</v>
      </c>
      <c r="G43" s="352">
        <f t="shared" si="0"/>
        <v>0</v>
      </c>
      <c r="H43" s="122"/>
    </row>
    <row r="44" spans="2:8" s="34" customFormat="1" ht="14.25" customHeight="1" x14ac:dyDescent="0.2">
      <c r="B44" s="135"/>
      <c r="C44" s="217" t="s">
        <v>1026</v>
      </c>
      <c r="D44" s="198" t="s">
        <v>98</v>
      </c>
      <c r="E44" s="348">
        <v>1</v>
      </c>
      <c r="F44" s="351">
        <v>0</v>
      </c>
      <c r="G44" s="352">
        <f t="shared" si="0"/>
        <v>0</v>
      </c>
      <c r="H44" s="122"/>
    </row>
    <row r="45" spans="2:8" s="34" customFormat="1" ht="15.75" customHeight="1" x14ac:dyDescent="0.2">
      <c r="B45" s="292" t="s">
        <v>917</v>
      </c>
      <c r="C45" s="57" t="s">
        <v>910</v>
      </c>
      <c r="D45" s="56"/>
      <c r="E45" s="55"/>
      <c r="F45" s="54"/>
      <c r="G45" s="53"/>
      <c r="H45" s="122"/>
    </row>
    <row r="46" spans="2:8" s="136" customFormat="1" ht="96" customHeight="1" x14ac:dyDescent="0.2">
      <c r="B46" s="2731"/>
      <c r="C46" s="2732"/>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96" customHeight="1" x14ac:dyDescent="0.2">
      <c r="B49" s="2737"/>
      <c r="C49" s="2738"/>
      <c r="D49" s="2733"/>
      <c r="E49" s="2734"/>
      <c r="F49" s="2735"/>
      <c r="G49" s="2736"/>
      <c r="H49" s="122"/>
    </row>
    <row r="50" spans="2:8" s="136" customFormat="1" ht="96" customHeight="1" x14ac:dyDescent="0.2">
      <c r="B50" s="2737"/>
      <c r="C50" s="2738"/>
      <c r="D50" s="2733"/>
      <c r="E50" s="2734"/>
      <c r="F50" s="2735"/>
      <c r="G50" s="2736"/>
      <c r="H50" s="122"/>
    </row>
    <row r="51" spans="2:8" s="136" customFormat="1" ht="96" customHeight="1" x14ac:dyDescent="0.2">
      <c r="B51" s="2737"/>
      <c r="C51" s="2738"/>
      <c r="D51" s="2733"/>
      <c r="E51" s="2734"/>
      <c r="F51" s="2735"/>
      <c r="G51" s="2736"/>
      <c r="H51" s="122"/>
    </row>
    <row r="52" spans="2:8" s="136" customFormat="1" ht="125.25" customHeight="1" x14ac:dyDescent="0.2">
      <c r="B52" s="2737"/>
      <c r="C52" s="2738"/>
      <c r="D52" s="2733"/>
      <c r="E52" s="2734"/>
      <c r="F52" s="2735"/>
      <c r="G52" s="2736"/>
      <c r="H52" s="122"/>
    </row>
    <row r="53" spans="2:8" s="136" customFormat="1" ht="14.25" customHeight="1" x14ac:dyDescent="0.2">
      <c r="B53" s="2737"/>
      <c r="C53" s="2732" t="s">
        <v>2464</v>
      </c>
      <c r="D53" s="2739" t="s">
        <v>98</v>
      </c>
      <c r="E53" s="2740">
        <v>1</v>
      </c>
      <c r="F53" s="2741">
        <v>0</v>
      </c>
      <c r="G53" s="2742">
        <f t="shared" ref="G53" si="1">E53*F53</f>
        <v>0</v>
      </c>
      <c r="H53" s="122"/>
    </row>
    <row r="54" spans="2:8" s="9" customFormat="1" ht="25.5" customHeight="1" x14ac:dyDescent="0.25">
      <c r="B54" s="293" t="s">
        <v>17</v>
      </c>
      <c r="C54" s="294" t="s">
        <v>302</v>
      </c>
      <c r="D54" s="218"/>
      <c r="E54" s="203"/>
      <c r="F54" s="204"/>
      <c r="G54" s="290">
        <f>SUM(G27:G53)</f>
        <v>0</v>
      </c>
      <c r="H54" s="150"/>
    </row>
    <row r="55" spans="2:8" x14ac:dyDescent="0.2">
      <c r="B55" s="129"/>
      <c r="C55" s="197"/>
      <c r="D55" s="207"/>
      <c r="E55" s="199"/>
      <c r="F55" s="200"/>
      <c r="G55" s="201"/>
      <c r="H55" s="122"/>
    </row>
    <row r="56" spans="2:8" ht="24" x14ac:dyDescent="0.2">
      <c r="B56" s="128" t="s">
        <v>83</v>
      </c>
      <c r="C56" s="192" t="s">
        <v>89</v>
      </c>
      <c r="D56" s="192" t="s">
        <v>90</v>
      </c>
      <c r="E56" s="194" t="s">
        <v>91</v>
      </c>
      <c r="F56" s="195" t="s">
        <v>92</v>
      </c>
      <c r="G56" s="196" t="s">
        <v>93</v>
      </c>
      <c r="H56" s="122"/>
    </row>
    <row r="57" spans="2:8" x14ac:dyDescent="0.2">
      <c r="B57" s="51"/>
      <c r="C57" s="50"/>
      <c r="D57" s="50"/>
      <c r="E57" s="359"/>
      <c r="F57" s="360"/>
      <c r="G57" s="361"/>
      <c r="H57" s="122"/>
    </row>
    <row r="58" spans="2:8" ht="20.25" x14ac:dyDescent="0.2">
      <c r="B58" s="296" t="s">
        <v>18</v>
      </c>
      <c r="C58" s="297" t="s">
        <v>367</v>
      </c>
      <c r="D58" s="298"/>
      <c r="E58" s="299"/>
      <c r="F58" s="300"/>
      <c r="G58" s="301"/>
      <c r="H58" s="122"/>
    </row>
    <row r="59" spans="2:8" x14ac:dyDescent="0.2">
      <c r="B59" s="3205" t="s">
        <v>539</v>
      </c>
      <c r="C59" s="3206"/>
      <c r="D59" s="3206"/>
      <c r="E59" s="3206"/>
      <c r="F59" s="3206"/>
      <c r="G59" s="3207"/>
    </row>
    <row r="60" spans="2:8" ht="25.5" customHeight="1" x14ac:dyDescent="0.2">
      <c r="B60" s="3205" t="s">
        <v>540</v>
      </c>
      <c r="C60" s="3206"/>
      <c r="D60" s="3206"/>
      <c r="E60" s="3206"/>
      <c r="F60" s="3206"/>
      <c r="G60" s="3207"/>
    </row>
    <row r="61" spans="2:8" x14ac:dyDescent="0.2">
      <c r="B61" s="3205" t="s">
        <v>541</v>
      </c>
      <c r="C61" s="3206"/>
      <c r="D61" s="3206"/>
      <c r="E61" s="3206"/>
      <c r="F61" s="3206"/>
      <c r="G61" s="3207"/>
    </row>
    <row r="62" spans="2:8" ht="25.5" customHeight="1" x14ac:dyDescent="0.2">
      <c r="B62" s="3205" t="s">
        <v>542</v>
      </c>
      <c r="C62" s="3206"/>
      <c r="D62" s="3206"/>
      <c r="E62" s="3206"/>
      <c r="F62" s="3206"/>
      <c r="G62" s="3207"/>
    </row>
    <row r="63" spans="2:8" ht="25.5" customHeight="1" x14ac:dyDescent="0.2">
      <c r="B63" s="3205" t="s">
        <v>543</v>
      </c>
      <c r="C63" s="3206"/>
      <c r="D63" s="3206"/>
      <c r="E63" s="3206"/>
      <c r="F63" s="3206"/>
      <c r="G63" s="3207"/>
    </row>
    <row r="64" spans="2:8" ht="24.75" customHeight="1" x14ac:dyDescent="0.2">
      <c r="B64" s="3205" t="s">
        <v>544</v>
      </c>
      <c r="C64" s="3206"/>
      <c r="D64" s="3206"/>
      <c r="E64" s="3206"/>
      <c r="F64" s="3206"/>
      <c r="G64" s="3207"/>
    </row>
    <row r="65" spans="2:7" x14ac:dyDescent="0.2">
      <c r="B65" s="3205" t="s">
        <v>545</v>
      </c>
      <c r="C65" s="3206"/>
      <c r="D65" s="3206"/>
      <c r="E65" s="3206"/>
      <c r="F65" s="3206"/>
      <c r="G65" s="3207"/>
    </row>
    <row r="66" spans="2:7" x14ac:dyDescent="0.2">
      <c r="B66" s="153">
        <v>1</v>
      </c>
      <c r="C66" s="357" t="s">
        <v>550</v>
      </c>
      <c r="D66" s="207"/>
      <c r="E66" s="199"/>
      <c r="F66" s="269"/>
      <c r="G66" s="270"/>
    </row>
    <row r="67" spans="2:7" ht="108" x14ac:dyDescent="0.2">
      <c r="B67" s="129"/>
      <c r="C67" s="197" t="s">
        <v>815</v>
      </c>
      <c r="D67" s="207" t="s">
        <v>98</v>
      </c>
      <c r="E67" s="199">
        <v>1</v>
      </c>
      <c r="F67" s="351">
        <v>0</v>
      </c>
      <c r="G67" s="270">
        <f t="shared" ref="G67:G87" si="2">E67*F67</f>
        <v>0</v>
      </c>
    </row>
    <row r="68" spans="2:7" ht="60" x14ac:dyDescent="0.2">
      <c r="B68" s="129"/>
      <c r="C68" s="197" t="s">
        <v>751</v>
      </c>
      <c r="D68" s="207" t="s">
        <v>123</v>
      </c>
      <c r="E68" s="199">
        <v>1</v>
      </c>
      <c r="F68" s="351">
        <v>0</v>
      </c>
      <c r="G68" s="270">
        <f t="shared" si="2"/>
        <v>0</v>
      </c>
    </row>
    <row r="69" spans="2:7" ht="60" x14ac:dyDescent="0.2">
      <c r="B69" s="129"/>
      <c r="C69" s="197" t="s">
        <v>752</v>
      </c>
      <c r="D69" s="207" t="s">
        <v>123</v>
      </c>
      <c r="E69" s="199">
        <v>1</v>
      </c>
      <c r="F69" s="351">
        <v>0</v>
      </c>
      <c r="G69" s="270">
        <f t="shared" si="2"/>
        <v>0</v>
      </c>
    </row>
    <row r="70" spans="2:7" ht="60" x14ac:dyDescent="0.2">
      <c r="B70" s="129"/>
      <c r="C70" s="197" t="s">
        <v>753</v>
      </c>
      <c r="D70" s="207" t="s">
        <v>123</v>
      </c>
      <c r="E70" s="199">
        <v>2</v>
      </c>
      <c r="F70" s="351">
        <v>0</v>
      </c>
      <c r="G70" s="270">
        <f t="shared" si="2"/>
        <v>0</v>
      </c>
    </row>
    <row r="71" spans="2:7" ht="60" x14ac:dyDescent="0.2">
      <c r="B71" s="129"/>
      <c r="C71" s="197" t="s">
        <v>754</v>
      </c>
      <c r="D71" s="207" t="s">
        <v>123</v>
      </c>
      <c r="E71" s="199">
        <v>1</v>
      </c>
      <c r="F71" s="351">
        <v>0</v>
      </c>
      <c r="G71" s="270">
        <f t="shared" si="2"/>
        <v>0</v>
      </c>
    </row>
    <row r="72" spans="2:7" ht="48" x14ac:dyDescent="0.2">
      <c r="B72" s="129"/>
      <c r="C72" s="197" t="s">
        <v>755</v>
      </c>
      <c r="D72" s="207" t="s">
        <v>123</v>
      </c>
      <c r="E72" s="199">
        <v>1</v>
      </c>
      <c r="F72" s="351">
        <v>0</v>
      </c>
      <c r="G72" s="270">
        <f t="shared" si="2"/>
        <v>0</v>
      </c>
    </row>
    <row r="73" spans="2:7" ht="60" x14ac:dyDescent="0.2">
      <c r="B73" s="129"/>
      <c r="C73" s="311" t="s">
        <v>756</v>
      </c>
      <c r="D73" s="207" t="s">
        <v>98</v>
      </c>
      <c r="E73" s="199">
        <v>1</v>
      </c>
      <c r="F73" s="351">
        <v>0</v>
      </c>
      <c r="G73" s="270">
        <f t="shared" si="2"/>
        <v>0</v>
      </c>
    </row>
    <row r="74" spans="2:7" ht="48" x14ac:dyDescent="0.2">
      <c r="B74" s="129"/>
      <c r="C74" s="197" t="s">
        <v>757</v>
      </c>
      <c r="D74" s="207" t="s">
        <v>123</v>
      </c>
      <c r="E74" s="199">
        <v>1</v>
      </c>
      <c r="F74" s="351">
        <v>0</v>
      </c>
      <c r="G74" s="270">
        <f t="shared" si="2"/>
        <v>0</v>
      </c>
    </row>
    <row r="75" spans="2:7" ht="108" x14ac:dyDescent="0.2">
      <c r="B75" s="129"/>
      <c r="C75" s="197" t="s">
        <v>619</v>
      </c>
      <c r="D75" s="207" t="s">
        <v>123</v>
      </c>
      <c r="E75" s="199">
        <v>1</v>
      </c>
      <c r="F75" s="351">
        <v>0</v>
      </c>
      <c r="G75" s="270">
        <f t="shared" si="2"/>
        <v>0</v>
      </c>
    </row>
    <row r="76" spans="2:7" ht="36" x14ac:dyDescent="0.2">
      <c r="B76" s="129"/>
      <c r="C76" s="197" t="s">
        <v>758</v>
      </c>
      <c r="D76" s="207" t="s">
        <v>123</v>
      </c>
      <c r="E76" s="199">
        <v>40</v>
      </c>
      <c r="F76" s="351">
        <v>0</v>
      </c>
      <c r="G76" s="270">
        <f t="shared" si="2"/>
        <v>0</v>
      </c>
    </row>
    <row r="77" spans="2:7" ht="36" x14ac:dyDescent="0.2">
      <c r="B77" s="129"/>
      <c r="C77" s="197" t="s">
        <v>759</v>
      </c>
      <c r="D77" s="207" t="s">
        <v>123</v>
      </c>
      <c r="E77" s="199">
        <v>10</v>
      </c>
      <c r="F77" s="351">
        <v>0</v>
      </c>
      <c r="G77" s="270">
        <f t="shared" si="2"/>
        <v>0</v>
      </c>
    </row>
    <row r="78" spans="2:7" ht="36" x14ac:dyDescent="0.2">
      <c r="B78" s="129"/>
      <c r="C78" s="197" t="s">
        <v>760</v>
      </c>
      <c r="D78" s="207" t="s">
        <v>123</v>
      </c>
      <c r="E78" s="199">
        <v>2</v>
      </c>
      <c r="F78" s="351">
        <v>0</v>
      </c>
      <c r="G78" s="270">
        <f t="shared" si="2"/>
        <v>0</v>
      </c>
    </row>
    <row r="79" spans="2:7" ht="36" x14ac:dyDescent="0.2">
      <c r="B79" s="129"/>
      <c r="C79" s="197" t="s">
        <v>761</v>
      </c>
      <c r="D79" s="207" t="s">
        <v>123</v>
      </c>
      <c r="E79" s="199">
        <v>12</v>
      </c>
      <c r="F79" s="351">
        <v>0</v>
      </c>
      <c r="G79" s="270">
        <f t="shared" si="2"/>
        <v>0</v>
      </c>
    </row>
    <row r="80" spans="2:7" ht="36" x14ac:dyDescent="0.2">
      <c r="B80" s="129"/>
      <c r="C80" s="197" t="s">
        <v>762</v>
      </c>
      <c r="D80" s="207" t="s">
        <v>123</v>
      </c>
      <c r="E80" s="199">
        <v>1</v>
      </c>
      <c r="F80" s="351">
        <v>0</v>
      </c>
      <c r="G80" s="270">
        <f t="shared" si="2"/>
        <v>0</v>
      </c>
    </row>
    <row r="81" spans="2:8" ht="48" x14ac:dyDescent="0.2">
      <c r="B81" s="129"/>
      <c r="C81" s="197" t="s">
        <v>763</v>
      </c>
      <c r="D81" s="207" t="s">
        <v>123</v>
      </c>
      <c r="E81" s="199">
        <v>1</v>
      </c>
      <c r="F81" s="351">
        <v>0</v>
      </c>
      <c r="G81" s="270">
        <f t="shared" si="2"/>
        <v>0</v>
      </c>
    </row>
    <row r="82" spans="2:8" ht="48" x14ac:dyDescent="0.2">
      <c r="B82" s="129"/>
      <c r="C82" s="197" t="s">
        <v>764</v>
      </c>
      <c r="D82" s="207" t="s">
        <v>123</v>
      </c>
      <c r="E82" s="199">
        <v>3</v>
      </c>
      <c r="F82" s="351">
        <v>0</v>
      </c>
      <c r="G82" s="270">
        <f t="shared" si="2"/>
        <v>0</v>
      </c>
    </row>
    <row r="83" spans="2:8" ht="48" x14ac:dyDescent="0.2">
      <c r="B83" s="129"/>
      <c r="C83" s="197" t="s">
        <v>765</v>
      </c>
      <c r="D83" s="207" t="s">
        <v>123</v>
      </c>
      <c r="E83" s="199">
        <v>3</v>
      </c>
      <c r="F83" s="351">
        <v>0</v>
      </c>
      <c r="G83" s="270">
        <f t="shared" si="2"/>
        <v>0</v>
      </c>
    </row>
    <row r="84" spans="2:8" ht="48" x14ac:dyDescent="0.2">
      <c r="B84" s="129"/>
      <c r="C84" s="197" t="s">
        <v>766</v>
      </c>
      <c r="D84" s="207" t="s">
        <v>123</v>
      </c>
      <c r="E84" s="199">
        <v>3</v>
      </c>
      <c r="F84" s="351">
        <v>0</v>
      </c>
      <c r="G84" s="270">
        <f t="shared" si="2"/>
        <v>0</v>
      </c>
    </row>
    <row r="85" spans="2:8" ht="48" x14ac:dyDescent="0.2">
      <c r="B85" s="129"/>
      <c r="C85" s="197" t="s">
        <v>767</v>
      </c>
      <c r="D85" s="207" t="s">
        <v>98</v>
      </c>
      <c r="E85" s="199">
        <v>1</v>
      </c>
      <c r="F85" s="351">
        <v>0</v>
      </c>
      <c r="G85" s="270">
        <f t="shared" si="2"/>
        <v>0</v>
      </c>
    </row>
    <row r="86" spans="2:8" ht="60" x14ac:dyDescent="0.2">
      <c r="B86" s="129"/>
      <c r="C86" s="197" t="s">
        <v>768</v>
      </c>
      <c r="D86" s="207" t="s">
        <v>123</v>
      </c>
      <c r="E86" s="199">
        <v>1</v>
      </c>
      <c r="F86" s="351">
        <v>0</v>
      </c>
      <c r="G86" s="270">
        <f t="shared" si="2"/>
        <v>0</v>
      </c>
    </row>
    <row r="87" spans="2:8" ht="84" x14ac:dyDescent="0.2">
      <c r="B87" s="129"/>
      <c r="C87" s="197" t="s">
        <v>620</v>
      </c>
      <c r="D87" s="207" t="s">
        <v>123</v>
      </c>
      <c r="E87" s="199">
        <v>1</v>
      </c>
      <c r="F87" s="351">
        <v>0</v>
      </c>
      <c r="G87" s="270">
        <f t="shared" si="2"/>
        <v>0</v>
      </c>
    </row>
    <row r="88" spans="2:8" x14ac:dyDescent="0.2">
      <c r="B88" s="153">
        <v>2</v>
      </c>
      <c r="C88" s="357" t="s">
        <v>769</v>
      </c>
      <c r="D88" s="207"/>
      <c r="E88" s="199"/>
      <c r="F88" s="269"/>
      <c r="G88" s="270"/>
    </row>
    <row r="89" spans="2:8" s="121" customFormat="1" ht="387.75" customHeight="1" x14ac:dyDescent="0.2">
      <c r="B89" s="2743"/>
      <c r="C89" s="2744"/>
      <c r="D89" s="2745"/>
      <c r="E89" s="2746"/>
      <c r="F89" s="2747"/>
      <c r="G89" s="2736"/>
      <c r="H89" s="122"/>
    </row>
    <row r="90" spans="2:8" s="121" customFormat="1" ht="24.75" customHeight="1" x14ac:dyDescent="0.2">
      <c r="B90" s="2743"/>
      <c r="C90" s="2744" t="s">
        <v>2465</v>
      </c>
      <c r="D90" s="2748" t="s">
        <v>98</v>
      </c>
      <c r="E90" s="2746">
        <v>1</v>
      </c>
      <c r="F90" s="2747">
        <v>0</v>
      </c>
      <c r="G90" s="2736">
        <f t="shared" ref="G90" si="3">E90*F90</f>
        <v>0</v>
      </c>
      <c r="H90" s="122"/>
    </row>
    <row r="91" spans="2:8" ht="48" x14ac:dyDescent="0.2">
      <c r="B91" s="129"/>
      <c r="C91" s="197" t="s">
        <v>771</v>
      </c>
      <c r="D91" s="207" t="s">
        <v>123</v>
      </c>
      <c r="E91" s="199">
        <v>1</v>
      </c>
      <c r="F91" s="351">
        <v>0</v>
      </c>
      <c r="G91" s="270">
        <f t="shared" ref="G91:G96" si="4">E91*F91</f>
        <v>0</v>
      </c>
    </row>
    <row r="92" spans="2:8" ht="60" x14ac:dyDescent="0.2">
      <c r="B92" s="129"/>
      <c r="C92" s="197" t="s">
        <v>772</v>
      </c>
      <c r="D92" s="207" t="s">
        <v>123</v>
      </c>
      <c r="E92" s="199">
        <v>1</v>
      </c>
      <c r="F92" s="351">
        <v>0</v>
      </c>
      <c r="G92" s="270">
        <f t="shared" si="4"/>
        <v>0</v>
      </c>
    </row>
    <row r="93" spans="2:8" ht="180" x14ac:dyDescent="0.2">
      <c r="B93" s="153"/>
      <c r="C93" s="311" t="s">
        <v>773</v>
      </c>
      <c r="D93" s="207" t="s">
        <v>123</v>
      </c>
      <c r="E93" s="199">
        <v>1</v>
      </c>
      <c r="F93" s="351">
        <v>0</v>
      </c>
      <c r="G93" s="270">
        <f t="shared" si="4"/>
        <v>0</v>
      </c>
    </row>
    <row r="94" spans="2:8" ht="60" x14ac:dyDescent="0.2">
      <c r="B94" s="153"/>
      <c r="C94" s="311" t="s">
        <v>944</v>
      </c>
      <c r="D94" s="207" t="s">
        <v>98</v>
      </c>
      <c r="E94" s="199">
        <v>1</v>
      </c>
      <c r="F94" s="351">
        <v>0</v>
      </c>
      <c r="G94" s="270">
        <f t="shared" si="4"/>
        <v>0</v>
      </c>
    </row>
    <row r="95" spans="2:8" ht="36" x14ac:dyDescent="0.2">
      <c r="B95" s="129"/>
      <c r="C95" s="197" t="s">
        <v>603</v>
      </c>
      <c r="D95" s="207" t="s">
        <v>123</v>
      </c>
      <c r="E95" s="199">
        <v>1</v>
      </c>
      <c r="F95" s="351">
        <v>0</v>
      </c>
      <c r="G95" s="270">
        <f t="shared" si="4"/>
        <v>0</v>
      </c>
    </row>
    <row r="96" spans="2:8" ht="288" x14ac:dyDescent="0.2">
      <c r="B96" s="129"/>
      <c r="C96" s="197" t="s">
        <v>630</v>
      </c>
      <c r="D96" s="207" t="s">
        <v>98</v>
      </c>
      <c r="E96" s="199">
        <v>2</v>
      </c>
      <c r="F96" s="351">
        <v>0</v>
      </c>
      <c r="G96" s="270">
        <f t="shared" si="4"/>
        <v>0</v>
      </c>
    </row>
    <row r="97" spans="2:8" x14ac:dyDescent="0.2">
      <c r="B97" s="153">
        <v>3</v>
      </c>
      <c r="C97" s="357" t="s">
        <v>775</v>
      </c>
      <c r="D97" s="207"/>
      <c r="E97" s="199"/>
      <c r="F97" s="351">
        <v>0</v>
      </c>
      <c r="G97" s="270"/>
    </row>
    <row r="98" spans="2:8" ht="276" x14ac:dyDescent="0.2">
      <c r="B98" s="129"/>
      <c r="C98" s="197" t="s">
        <v>776</v>
      </c>
      <c r="D98" s="207" t="s">
        <v>98</v>
      </c>
      <c r="E98" s="199">
        <v>1</v>
      </c>
      <c r="F98" s="351">
        <v>0</v>
      </c>
      <c r="G98" s="270">
        <f>E98*F98</f>
        <v>0</v>
      </c>
    </row>
    <row r="99" spans="2:8" ht="72" x14ac:dyDescent="0.2">
      <c r="B99" s="129"/>
      <c r="C99" s="197" t="s">
        <v>777</v>
      </c>
      <c r="D99" s="207" t="s">
        <v>98</v>
      </c>
      <c r="E99" s="199">
        <v>1</v>
      </c>
      <c r="F99" s="351">
        <v>0</v>
      </c>
      <c r="G99" s="270">
        <f>E99*F99</f>
        <v>0</v>
      </c>
    </row>
    <row r="100" spans="2:8" ht="84" x14ac:dyDescent="0.2">
      <c r="B100" s="129"/>
      <c r="C100" s="197" t="s">
        <v>778</v>
      </c>
      <c r="D100" s="207" t="s">
        <v>98</v>
      </c>
      <c r="E100" s="199">
        <v>1</v>
      </c>
      <c r="F100" s="351">
        <v>0</v>
      </c>
      <c r="G100" s="270">
        <f>E100*F100</f>
        <v>0</v>
      </c>
    </row>
    <row r="101" spans="2:8" x14ac:dyDescent="0.2">
      <c r="B101" s="153">
        <v>4</v>
      </c>
      <c r="C101" s="357" t="s">
        <v>779</v>
      </c>
      <c r="D101" s="207"/>
      <c r="E101" s="199"/>
      <c r="F101" s="269"/>
      <c r="G101" s="270"/>
    </row>
    <row r="102" spans="2:8" ht="60" x14ac:dyDescent="0.2">
      <c r="B102" s="153"/>
      <c r="C102" s="311" t="s">
        <v>780</v>
      </c>
      <c r="D102" s="207" t="s">
        <v>98</v>
      </c>
      <c r="E102" s="199">
        <v>2</v>
      </c>
      <c r="F102" s="351">
        <v>0</v>
      </c>
      <c r="G102" s="270">
        <f>E102*F102</f>
        <v>0</v>
      </c>
    </row>
    <row r="103" spans="2:8" ht="60" x14ac:dyDescent="0.2">
      <c r="B103" s="129"/>
      <c r="C103" s="197" t="s">
        <v>781</v>
      </c>
      <c r="D103" s="207" t="s">
        <v>98</v>
      </c>
      <c r="E103" s="199">
        <v>2</v>
      </c>
      <c r="F103" s="351">
        <v>0</v>
      </c>
      <c r="G103" s="270">
        <f>E103*F103</f>
        <v>0</v>
      </c>
    </row>
    <row r="104" spans="2:8" ht="36" x14ac:dyDescent="0.2">
      <c r="B104" s="129"/>
      <c r="C104" s="197" t="s">
        <v>782</v>
      </c>
      <c r="D104" s="207" t="s">
        <v>123</v>
      </c>
      <c r="E104" s="199">
        <v>1</v>
      </c>
      <c r="F104" s="351">
        <v>0</v>
      </c>
      <c r="G104" s="270">
        <f>E104*F104</f>
        <v>0</v>
      </c>
    </row>
    <row r="105" spans="2:8" ht="132" x14ac:dyDescent="0.2">
      <c r="B105" s="153"/>
      <c r="C105" s="311" t="s">
        <v>508</v>
      </c>
      <c r="D105" s="207" t="s">
        <v>123</v>
      </c>
      <c r="E105" s="199">
        <v>1</v>
      </c>
      <c r="F105" s="351">
        <v>0</v>
      </c>
      <c r="G105" s="270">
        <f>E105*F105</f>
        <v>0</v>
      </c>
    </row>
    <row r="106" spans="2:8" ht="96" x14ac:dyDescent="0.2">
      <c r="B106" s="129"/>
      <c r="C106" s="197" t="s">
        <v>783</v>
      </c>
      <c r="D106" s="207" t="s">
        <v>123</v>
      </c>
      <c r="E106" s="199">
        <v>1</v>
      </c>
      <c r="F106" s="351">
        <v>0</v>
      </c>
      <c r="G106" s="270">
        <f>E106*F106</f>
        <v>0</v>
      </c>
    </row>
    <row r="107" spans="2:8" x14ac:dyDescent="0.2">
      <c r="B107" s="153">
        <v>5</v>
      </c>
      <c r="C107" s="357" t="s">
        <v>784</v>
      </c>
      <c r="D107" s="207"/>
      <c r="E107" s="199"/>
      <c r="F107" s="269"/>
      <c r="G107" s="270"/>
    </row>
    <row r="108" spans="2:8" x14ac:dyDescent="0.2">
      <c r="B108" s="153"/>
      <c r="C108" s="311" t="s">
        <v>643</v>
      </c>
      <c r="D108" s="207" t="s">
        <v>644</v>
      </c>
      <c r="E108" s="199">
        <v>20</v>
      </c>
      <c r="F108" s="351">
        <v>0</v>
      </c>
      <c r="G108" s="270">
        <f t="shared" ref="G108:G116" si="5">E108*F108</f>
        <v>0</v>
      </c>
      <c r="H108" s="122"/>
    </row>
    <row r="109" spans="2:8" x14ac:dyDescent="0.2">
      <c r="B109" s="153"/>
      <c r="C109" s="311" t="s">
        <v>645</v>
      </c>
      <c r="D109" s="207" t="s">
        <v>644</v>
      </c>
      <c r="E109" s="199">
        <v>30</v>
      </c>
      <c r="F109" s="351">
        <v>0</v>
      </c>
      <c r="G109" s="270">
        <f t="shared" si="5"/>
        <v>0</v>
      </c>
      <c r="H109" s="122"/>
    </row>
    <row r="110" spans="2:8" x14ac:dyDescent="0.2">
      <c r="B110" s="153"/>
      <c r="C110" s="311" t="s">
        <v>646</v>
      </c>
      <c r="D110" s="207" t="s">
        <v>644</v>
      </c>
      <c r="E110" s="199">
        <v>100</v>
      </c>
      <c r="F110" s="351">
        <v>0</v>
      </c>
      <c r="G110" s="270">
        <f t="shared" si="5"/>
        <v>0</v>
      </c>
      <c r="H110" s="122"/>
    </row>
    <row r="111" spans="2:8" x14ac:dyDescent="0.2">
      <c r="B111" s="153"/>
      <c r="C111" s="311" t="s">
        <v>647</v>
      </c>
      <c r="D111" s="207" t="s">
        <v>644</v>
      </c>
      <c r="E111" s="199">
        <v>50</v>
      </c>
      <c r="F111" s="351">
        <v>0</v>
      </c>
      <c r="G111" s="270">
        <f t="shared" si="5"/>
        <v>0</v>
      </c>
      <c r="H111" s="122"/>
    </row>
    <row r="112" spans="2:8" x14ac:dyDescent="0.2">
      <c r="B112" s="153"/>
      <c r="C112" s="311" t="s">
        <v>648</v>
      </c>
      <c r="D112" s="207" t="s">
        <v>644</v>
      </c>
      <c r="E112" s="199">
        <v>30</v>
      </c>
      <c r="F112" s="351">
        <v>0</v>
      </c>
      <c r="G112" s="270">
        <f t="shared" si="5"/>
        <v>0</v>
      </c>
      <c r="H112" s="122"/>
    </row>
    <row r="113" spans="2:8" x14ac:dyDescent="0.2">
      <c r="B113" s="153"/>
      <c r="C113" s="311" t="s">
        <v>650</v>
      </c>
      <c r="D113" s="207" t="s">
        <v>123</v>
      </c>
      <c r="E113" s="199">
        <v>2</v>
      </c>
      <c r="F113" s="351">
        <v>0</v>
      </c>
      <c r="G113" s="270">
        <f t="shared" si="5"/>
        <v>0</v>
      </c>
      <c r="H113" s="122"/>
    </row>
    <row r="114" spans="2:8" x14ac:dyDescent="0.2">
      <c r="B114" s="153"/>
      <c r="C114" s="311" t="s">
        <v>651</v>
      </c>
      <c r="D114" s="207" t="s">
        <v>644</v>
      </c>
      <c r="E114" s="199">
        <v>50</v>
      </c>
      <c r="F114" s="351">
        <v>0</v>
      </c>
      <c r="G114" s="270">
        <f t="shared" si="5"/>
        <v>0</v>
      </c>
      <c r="H114" s="122"/>
    </row>
    <row r="115" spans="2:8" x14ac:dyDescent="0.2">
      <c r="B115" s="153"/>
      <c r="C115" s="311" t="s">
        <v>652</v>
      </c>
      <c r="D115" s="207" t="s">
        <v>644</v>
      </c>
      <c r="E115" s="199">
        <v>30</v>
      </c>
      <c r="F115" s="351">
        <v>0</v>
      </c>
      <c r="G115" s="270">
        <f t="shared" si="5"/>
        <v>0</v>
      </c>
      <c r="H115" s="122"/>
    </row>
    <row r="116" spans="2:8" x14ac:dyDescent="0.2">
      <c r="B116" s="129"/>
      <c r="C116" s="311" t="s">
        <v>632</v>
      </c>
      <c r="D116" s="207" t="s">
        <v>98</v>
      </c>
      <c r="E116" s="199">
        <v>1</v>
      </c>
      <c r="F116" s="351">
        <v>0</v>
      </c>
      <c r="G116" s="270">
        <f t="shared" si="5"/>
        <v>0</v>
      </c>
      <c r="H116" s="122"/>
    </row>
    <row r="117" spans="2:8" s="11" customFormat="1" x14ac:dyDescent="0.2">
      <c r="B117" s="59">
        <v>6</v>
      </c>
      <c r="C117" s="357" t="s">
        <v>785</v>
      </c>
      <c r="D117" s="15"/>
      <c r="E117" s="419"/>
      <c r="F117" s="14"/>
      <c r="G117" s="13"/>
      <c r="H117" s="12"/>
    </row>
    <row r="118" spans="2:8" s="11" customFormat="1" ht="24" x14ac:dyDescent="0.2">
      <c r="B118" s="59"/>
      <c r="C118" s="311" t="s">
        <v>666</v>
      </c>
      <c r="D118" s="207" t="s">
        <v>644</v>
      </c>
      <c r="E118" s="199">
        <v>20</v>
      </c>
      <c r="F118" s="351">
        <v>0</v>
      </c>
      <c r="G118" s="270">
        <f t="shared" ref="G118:G125" si="6">E118*F118</f>
        <v>0</v>
      </c>
      <c r="H118" s="12"/>
    </row>
    <row r="119" spans="2:8" s="11" customFormat="1" x14ac:dyDescent="0.2">
      <c r="B119" s="59"/>
      <c r="C119" s="311" t="s">
        <v>667</v>
      </c>
      <c r="D119" s="207" t="s">
        <v>644</v>
      </c>
      <c r="E119" s="199">
        <v>50</v>
      </c>
      <c r="F119" s="351">
        <v>0</v>
      </c>
      <c r="G119" s="270">
        <f t="shared" si="6"/>
        <v>0</v>
      </c>
      <c r="H119" s="12"/>
    </row>
    <row r="120" spans="2:8" s="11" customFormat="1" x14ac:dyDescent="0.2">
      <c r="B120" s="59"/>
      <c r="C120" s="311" t="s">
        <v>668</v>
      </c>
      <c r="D120" s="207" t="s">
        <v>644</v>
      </c>
      <c r="E120" s="199">
        <v>20</v>
      </c>
      <c r="F120" s="351">
        <v>0</v>
      </c>
      <c r="G120" s="270">
        <f t="shared" si="6"/>
        <v>0</v>
      </c>
      <c r="H120" s="12"/>
    </row>
    <row r="121" spans="2:8" s="11" customFormat="1" ht="24" x14ac:dyDescent="0.2">
      <c r="B121" s="59"/>
      <c r="C121" s="311" t="s">
        <v>673</v>
      </c>
      <c r="D121" s="207" t="s">
        <v>123</v>
      </c>
      <c r="E121" s="199">
        <v>2</v>
      </c>
      <c r="F121" s="351">
        <v>0</v>
      </c>
      <c r="G121" s="270">
        <f t="shared" si="6"/>
        <v>0</v>
      </c>
      <c r="H121" s="12"/>
    </row>
    <row r="122" spans="2:8" s="11" customFormat="1" x14ac:dyDescent="0.2">
      <c r="B122" s="59"/>
      <c r="C122" s="311" t="s">
        <v>787</v>
      </c>
      <c r="D122" s="207" t="s">
        <v>123</v>
      </c>
      <c r="E122" s="199">
        <v>1</v>
      </c>
      <c r="F122" s="351">
        <v>0</v>
      </c>
      <c r="G122" s="270">
        <f t="shared" si="6"/>
        <v>0</v>
      </c>
      <c r="H122" s="12"/>
    </row>
    <row r="123" spans="2:8" s="11" customFormat="1" x14ac:dyDescent="0.2">
      <c r="B123" s="59"/>
      <c r="C123" s="311" t="s">
        <v>675</v>
      </c>
      <c r="D123" s="207" t="s">
        <v>123</v>
      </c>
      <c r="E123" s="199">
        <v>3</v>
      </c>
      <c r="F123" s="351">
        <v>0</v>
      </c>
      <c r="G123" s="270">
        <f t="shared" si="6"/>
        <v>0</v>
      </c>
      <c r="H123" s="12"/>
    </row>
    <row r="124" spans="2:8" s="11" customFormat="1" x14ac:dyDescent="0.2">
      <c r="B124" s="59"/>
      <c r="C124" s="311" t="s">
        <v>676</v>
      </c>
      <c r="D124" s="207" t="s">
        <v>123</v>
      </c>
      <c r="E124" s="199">
        <v>2</v>
      </c>
      <c r="F124" s="351">
        <v>0</v>
      </c>
      <c r="G124" s="270">
        <f t="shared" si="6"/>
        <v>0</v>
      </c>
      <c r="H124" s="12"/>
    </row>
    <row r="125" spans="2:8" s="11" customFormat="1" ht="24" x14ac:dyDescent="0.2">
      <c r="B125" s="59"/>
      <c r="C125" s="311" t="s">
        <v>677</v>
      </c>
      <c r="D125" s="207" t="s">
        <v>123</v>
      </c>
      <c r="E125" s="199">
        <v>1</v>
      </c>
      <c r="F125" s="351">
        <v>0</v>
      </c>
      <c r="G125" s="270">
        <f t="shared" si="6"/>
        <v>0</v>
      </c>
      <c r="H125" s="12"/>
    </row>
    <row r="126" spans="2:8" x14ac:dyDescent="0.2">
      <c r="B126" s="153">
        <v>7</v>
      </c>
      <c r="C126" s="357" t="s">
        <v>788</v>
      </c>
      <c r="D126" s="207"/>
      <c r="E126" s="199"/>
      <c r="F126" s="269"/>
      <c r="G126" s="270"/>
      <c r="H126" s="122"/>
    </row>
    <row r="127" spans="2:8" x14ac:dyDescent="0.2">
      <c r="B127" s="153"/>
      <c r="C127" s="197" t="s">
        <v>655</v>
      </c>
      <c r="D127" s="207" t="s">
        <v>644</v>
      </c>
      <c r="E127" s="199">
        <v>40</v>
      </c>
      <c r="F127" s="351">
        <v>0</v>
      </c>
      <c r="G127" s="270">
        <f>E127*F127</f>
        <v>0</v>
      </c>
      <c r="H127" s="122"/>
    </row>
    <row r="128" spans="2:8" ht="36" x14ac:dyDescent="0.2">
      <c r="B128" s="153"/>
      <c r="C128" s="197" t="s">
        <v>656</v>
      </c>
      <c r="D128" s="207" t="s">
        <v>98</v>
      </c>
      <c r="E128" s="199">
        <v>2</v>
      </c>
      <c r="F128" s="351">
        <v>0</v>
      </c>
      <c r="G128" s="270">
        <f>E128*F128</f>
        <v>0</v>
      </c>
      <c r="H128" s="122"/>
    </row>
    <row r="129" spans="2:8" ht="24" x14ac:dyDescent="0.2">
      <c r="B129" s="153"/>
      <c r="C129" s="197" t="s">
        <v>657</v>
      </c>
      <c r="D129" s="207" t="s">
        <v>98</v>
      </c>
      <c r="E129" s="199">
        <v>1</v>
      </c>
      <c r="F129" s="351">
        <v>0</v>
      </c>
      <c r="G129" s="270">
        <f>E129*F129</f>
        <v>0</v>
      </c>
      <c r="H129" s="122"/>
    </row>
    <row r="130" spans="2:8" x14ac:dyDescent="0.2">
      <c r="B130" s="153"/>
      <c r="C130" s="197" t="s">
        <v>663</v>
      </c>
      <c r="D130" s="207" t="s">
        <v>98</v>
      </c>
      <c r="E130" s="199">
        <v>1</v>
      </c>
      <c r="F130" s="351">
        <v>0</v>
      </c>
      <c r="G130" s="270">
        <f>E130*F130</f>
        <v>0</v>
      </c>
      <c r="H130" s="122"/>
    </row>
    <row r="131" spans="2:8" x14ac:dyDescent="0.2">
      <c r="B131" s="153">
        <v>8</v>
      </c>
      <c r="C131" s="357" t="s">
        <v>679</v>
      </c>
      <c r="D131" s="207"/>
      <c r="E131" s="199"/>
      <c r="F131" s="269"/>
      <c r="G131" s="270"/>
      <c r="H131" s="122"/>
    </row>
    <row r="132" spans="2:8" ht="48" x14ac:dyDescent="0.2">
      <c r="B132" s="129"/>
      <c r="C132" s="197" t="s">
        <v>789</v>
      </c>
      <c r="D132" s="207" t="s">
        <v>98</v>
      </c>
      <c r="E132" s="199">
        <v>1</v>
      </c>
      <c r="F132" s="351">
        <v>0</v>
      </c>
      <c r="G132" s="270">
        <f>E132*F132</f>
        <v>0</v>
      </c>
      <c r="H132" s="122"/>
    </row>
    <row r="133" spans="2:8" ht="36" x14ac:dyDescent="0.2">
      <c r="B133" s="129"/>
      <c r="C133" s="197" t="s">
        <v>790</v>
      </c>
      <c r="D133" s="207" t="s">
        <v>98</v>
      </c>
      <c r="E133" s="199">
        <v>1</v>
      </c>
      <c r="F133" s="351">
        <v>0</v>
      </c>
      <c r="G133" s="270">
        <f>E133*F133</f>
        <v>0</v>
      </c>
      <c r="H133" s="122"/>
    </row>
    <row r="134" spans="2:8" ht="36" x14ac:dyDescent="0.2">
      <c r="B134" s="129"/>
      <c r="C134" s="197" t="s">
        <v>791</v>
      </c>
      <c r="D134" s="207" t="s">
        <v>98</v>
      </c>
      <c r="E134" s="199">
        <v>1</v>
      </c>
      <c r="F134" s="351">
        <v>0</v>
      </c>
      <c r="G134" s="270">
        <f>E134*F134</f>
        <v>0</v>
      </c>
      <c r="H134" s="122"/>
    </row>
    <row r="135" spans="2:8" ht="36" x14ac:dyDescent="0.2">
      <c r="B135" s="153"/>
      <c r="C135" s="311" t="s">
        <v>792</v>
      </c>
      <c r="D135" s="207" t="s">
        <v>98</v>
      </c>
      <c r="E135" s="199">
        <v>1</v>
      </c>
      <c r="F135" s="351">
        <v>0</v>
      </c>
      <c r="G135" s="270">
        <f>E135*F135</f>
        <v>0</v>
      </c>
      <c r="H135" s="122"/>
    </row>
    <row r="136" spans="2:8" x14ac:dyDescent="0.2">
      <c r="B136" s="293" t="s">
        <v>18</v>
      </c>
      <c r="C136" s="294" t="s">
        <v>794</v>
      </c>
      <c r="D136" s="218"/>
      <c r="E136" s="203"/>
      <c r="F136" s="204"/>
      <c r="G136" s="290">
        <f>SUM(G67:G135)</f>
        <v>0</v>
      </c>
      <c r="H136" s="122"/>
    </row>
  </sheetData>
  <mergeCells count="8">
    <mergeCell ref="B63:G63"/>
    <mergeCell ref="B64:G64"/>
    <mergeCell ref="B65:G65"/>
    <mergeCell ref="B26:G26"/>
    <mergeCell ref="B59:G59"/>
    <mergeCell ref="B60:G60"/>
    <mergeCell ref="B61:G61"/>
    <mergeCell ref="B62:G62"/>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596B-7112-41CC-82F5-EC034405943F}">
  <sheetPr codeName="Sheet29">
    <tabColor rgb="FF92D050"/>
  </sheetPr>
  <dimension ref="A2:L99"/>
  <sheetViews>
    <sheetView showZeros="0" topLeftCell="A7"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969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1027</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944</v>
      </c>
      <c r="D57" s="207"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10"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18E2-4F88-4A63-A0DE-3D2050F74066}">
  <sheetPr codeName="Sheet49">
    <tabColor rgb="FFFFC000"/>
  </sheetPr>
  <dimension ref="A2:J275"/>
  <sheetViews>
    <sheetView showZeros="0" topLeftCell="A54" zoomScaleNormal="100" workbookViewId="0">
      <selection activeCell="C64" sqref="C6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425781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10" ht="16.5" customHeight="1" x14ac:dyDescent="0.2">
      <c r="B2" s="137"/>
      <c r="C2" s="108" t="s">
        <v>59</v>
      </c>
      <c r="D2" s="155"/>
      <c r="E2" s="156"/>
      <c r="F2" s="157"/>
      <c r="G2" s="363" t="s">
        <v>60</v>
      </c>
      <c r="H2" s="122"/>
    </row>
    <row r="4" spans="1:10" s="119" customFormat="1" x14ac:dyDescent="0.2">
      <c r="B4" s="146" t="s">
        <v>7</v>
      </c>
      <c r="C4" s="330" t="s">
        <v>63</v>
      </c>
      <c r="D4" s="158"/>
      <c r="E4" s="159"/>
      <c r="F4" s="160"/>
      <c r="G4" s="161"/>
    </row>
    <row r="5" spans="1:10" s="119" customFormat="1" ht="12" customHeight="1" x14ac:dyDescent="0.2">
      <c r="B5" s="145"/>
      <c r="C5" s="162"/>
      <c r="D5" s="163"/>
      <c r="E5" s="164"/>
      <c r="F5" s="165"/>
      <c r="G5" s="166"/>
    </row>
    <row r="6" spans="1:10" s="125" customFormat="1" ht="21" customHeight="1" x14ac:dyDescent="0.2">
      <c r="B6" s="328" t="s">
        <v>80</v>
      </c>
      <c r="C6" s="473" t="s">
        <v>81</v>
      </c>
      <c r="D6" s="158"/>
      <c r="E6" s="159"/>
      <c r="F6" s="160"/>
      <c r="G6" s="161"/>
      <c r="H6" s="124"/>
      <c r="I6" s="124"/>
      <c r="J6" s="124"/>
    </row>
    <row r="7" spans="1:10" s="125" customFormat="1" ht="14.25" x14ac:dyDescent="0.2">
      <c r="B7" s="145"/>
      <c r="C7" s="162"/>
      <c r="D7" s="163"/>
      <c r="E7" s="164"/>
      <c r="F7" s="165"/>
      <c r="G7" s="167"/>
      <c r="H7" s="124"/>
      <c r="I7" s="124"/>
      <c r="J7" s="124"/>
    </row>
    <row r="8" spans="1:10" s="139" customFormat="1" ht="18" customHeight="1" x14ac:dyDescent="0.2">
      <c r="A8" s="140"/>
      <c r="B8" s="143" t="s">
        <v>1</v>
      </c>
      <c r="C8" s="168"/>
      <c r="D8" s="170"/>
      <c r="E8" s="170"/>
      <c r="F8" s="170"/>
      <c r="G8" s="169"/>
    </row>
    <row r="9" spans="1:10" s="139" customFormat="1" ht="18" customHeight="1" x14ac:dyDescent="0.25">
      <c r="A9" s="141"/>
      <c r="B9" s="144" t="s">
        <v>2</v>
      </c>
      <c r="C9" s="171"/>
      <c r="D9" s="172"/>
      <c r="E9" s="173"/>
      <c r="F9" s="173"/>
      <c r="G9" s="172"/>
    </row>
    <row r="10" spans="1:10" s="139" customFormat="1" ht="18" customHeight="1" x14ac:dyDescent="0.2">
      <c r="A10" s="140"/>
      <c r="B10" s="143" t="s">
        <v>3</v>
      </c>
      <c r="C10" s="168"/>
      <c r="D10" s="170"/>
      <c r="E10" s="170"/>
      <c r="F10" s="170"/>
      <c r="G10" s="169"/>
    </row>
    <row r="11" spans="1:10" s="139" customFormat="1" ht="18" customHeight="1" x14ac:dyDescent="0.25">
      <c r="A11" s="141"/>
      <c r="B11" s="144" t="s">
        <v>4</v>
      </c>
      <c r="C11" s="171"/>
      <c r="D11" s="173"/>
      <c r="E11" s="173"/>
      <c r="F11" s="173"/>
      <c r="G11" s="172"/>
    </row>
    <row r="12" spans="1:10" s="125" customFormat="1" ht="14.25" x14ac:dyDescent="0.2">
      <c r="B12" s="142"/>
      <c r="C12" s="174"/>
      <c r="D12" s="175"/>
      <c r="E12" s="176"/>
      <c r="F12" s="177"/>
      <c r="G12" s="178"/>
      <c r="H12" s="124"/>
      <c r="I12" s="124"/>
      <c r="J12" s="124"/>
    </row>
    <row r="13" spans="1:10" s="125" customFormat="1" ht="18.75" customHeight="1" x14ac:dyDescent="0.2">
      <c r="B13" s="138"/>
      <c r="C13" s="334" t="s">
        <v>82</v>
      </c>
      <c r="D13" s="179"/>
      <c r="E13" s="180"/>
      <c r="F13" s="181"/>
      <c r="G13" s="182"/>
      <c r="H13" s="124"/>
      <c r="I13" s="124"/>
      <c r="J13" s="124"/>
    </row>
    <row r="14" spans="1:10" s="126" customFormat="1" ht="18.75" customHeight="1" x14ac:dyDescent="0.2">
      <c r="B14" s="315" t="s">
        <v>83</v>
      </c>
      <c r="C14" s="335" t="s">
        <v>84</v>
      </c>
      <c r="D14" s="336"/>
      <c r="E14" s="337"/>
      <c r="F14" s="338"/>
      <c r="G14" s="339" t="s">
        <v>64</v>
      </c>
    </row>
    <row r="15" spans="1:10" s="331" customFormat="1" ht="18.75" customHeight="1" x14ac:dyDescent="0.25">
      <c r="B15" s="332" t="s">
        <v>10</v>
      </c>
      <c r="C15" s="340" t="s">
        <v>85</v>
      </c>
      <c r="D15" s="341"/>
      <c r="E15" s="342"/>
      <c r="F15" s="343"/>
      <c r="G15" s="474">
        <f>G36</f>
        <v>0</v>
      </c>
    </row>
    <row r="16" spans="1:10" s="331" customFormat="1" ht="18.75" customHeight="1" x14ac:dyDescent="0.25">
      <c r="B16" s="332" t="s">
        <v>12</v>
      </c>
      <c r="C16" s="340" t="s">
        <v>86</v>
      </c>
      <c r="D16" s="341"/>
      <c r="E16" s="342"/>
      <c r="F16" s="343"/>
      <c r="G16" s="474">
        <f>G80</f>
        <v>0</v>
      </c>
    </row>
    <row r="17" spans="2:7" s="331" customFormat="1" ht="18.75" customHeight="1" x14ac:dyDescent="0.25">
      <c r="B17" s="332" t="s">
        <v>17</v>
      </c>
      <c r="C17" s="340" t="s">
        <v>87</v>
      </c>
      <c r="D17" s="341"/>
      <c r="E17" s="342"/>
      <c r="F17" s="343"/>
      <c r="G17" s="474">
        <f>G275</f>
        <v>0</v>
      </c>
    </row>
    <row r="18" spans="2:7" s="331" customFormat="1" ht="18.75" customHeight="1" x14ac:dyDescent="0.25">
      <c r="B18" s="333"/>
      <c r="C18" s="344" t="s">
        <v>88</v>
      </c>
      <c r="D18" s="345"/>
      <c r="E18" s="346"/>
      <c r="F18" s="347"/>
      <c r="G18" s="475">
        <f>SUM(G15:G17)</f>
        <v>0</v>
      </c>
    </row>
    <row r="19" spans="2:7" x14ac:dyDescent="0.2">
      <c r="B19" s="127"/>
      <c r="C19" s="183"/>
      <c r="D19" s="184"/>
      <c r="E19" s="461"/>
      <c r="F19" s="462"/>
    </row>
    <row r="20" spans="2:7" x14ac:dyDescent="0.2">
      <c r="G20" s="466"/>
    </row>
    <row r="21" spans="2:7" ht="24" x14ac:dyDescent="0.2">
      <c r="B21" s="128" t="s">
        <v>83</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ht="27.75" customHeight="1" x14ac:dyDescent="0.2">
      <c r="B24" s="129">
        <v>1</v>
      </c>
      <c r="C24" s="206" t="s">
        <v>94</v>
      </c>
      <c r="D24" s="207" t="s">
        <v>95</v>
      </c>
      <c r="E24" s="353">
        <v>2640</v>
      </c>
      <c r="F24" s="467">
        <v>0</v>
      </c>
      <c r="G24" s="352">
        <f>E24*F24</f>
        <v>0</v>
      </c>
    </row>
    <row r="25" spans="2:7" x14ac:dyDescent="0.2">
      <c r="B25" s="129">
        <v>2</v>
      </c>
      <c r="C25" s="206" t="s">
        <v>96</v>
      </c>
      <c r="D25" s="207" t="s">
        <v>95</v>
      </c>
      <c r="E25" s="353">
        <v>2640</v>
      </c>
      <c r="F25" s="467">
        <v>0</v>
      </c>
      <c r="G25" s="352">
        <f>E25*F25</f>
        <v>0</v>
      </c>
    </row>
    <row r="26" spans="2:7" ht="53.25" customHeight="1" x14ac:dyDescent="0.2">
      <c r="B26" s="129">
        <v>3</v>
      </c>
      <c r="C26" s="206" t="s">
        <v>97</v>
      </c>
      <c r="D26" s="207" t="s">
        <v>98</v>
      </c>
      <c r="E26" s="353">
        <v>1</v>
      </c>
      <c r="F26" s="467">
        <v>0</v>
      </c>
      <c r="G26" s="352">
        <f t="shared" ref="G26:G35" si="0">E26*F26</f>
        <v>0</v>
      </c>
    </row>
    <row r="27" spans="2:7" ht="127.5" customHeight="1" x14ac:dyDescent="0.2">
      <c r="B27" s="129">
        <v>4</v>
      </c>
      <c r="C27" s="208" t="s">
        <v>99</v>
      </c>
      <c r="D27" s="209" t="s">
        <v>98</v>
      </c>
      <c r="E27" s="353">
        <v>1</v>
      </c>
      <c r="F27" s="467">
        <v>0</v>
      </c>
      <c r="G27" s="352">
        <f t="shared" si="0"/>
        <v>0</v>
      </c>
    </row>
    <row r="28" spans="2:7" ht="30.75" customHeight="1" x14ac:dyDescent="0.2">
      <c r="B28" s="129">
        <v>5</v>
      </c>
      <c r="C28" s="208" t="s">
        <v>100</v>
      </c>
      <c r="D28" s="210" t="s">
        <v>98</v>
      </c>
      <c r="E28" s="353">
        <v>1</v>
      </c>
      <c r="F28" s="467">
        <v>0</v>
      </c>
      <c r="G28" s="352">
        <f t="shared" si="0"/>
        <v>0</v>
      </c>
    </row>
    <row r="29" spans="2:7" ht="27" customHeight="1" x14ac:dyDescent="0.2">
      <c r="B29" s="129">
        <v>6</v>
      </c>
      <c r="C29" s="211" t="s">
        <v>101</v>
      </c>
      <c r="D29" s="210" t="s">
        <v>98</v>
      </c>
      <c r="E29" s="353">
        <v>1</v>
      </c>
      <c r="F29" s="467">
        <v>0</v>
      </c>
      <c r="G29" s="352">
        <f t="shared" si="0"/>
        <v>0</v>
      </c>
    </row>
    <row r="30" spans="2:7" ht="52.5" customHeight="1" x14ac:dyDescent="0.2">
      <c r="B30" s="129">
        <v>7</v>
      </c>
      <c r="C30" s="211" t="s">
        <v>102</v>
      </c>
      <c r="D30" s="210" t="s">
        <v>98</v>
      </c>
      <c r="E30" s="353">
        <v>1</v>
      </c>
      <c r="F30" s="467">
        <v>0</v>
      </c>
      <c r="G30" s="352">
        <f t="shared" si="0"/>
        <v>0</v>
      </c>
    </row>
    <row r="31" spans="2:7" ht="39.75" customHeight="1" x14ac:dyDescent="0.2">
      <c r="B31" s="129">
        <v>8</v>
      </c>
      <c r="C31" s="3165" t="s">
        <v>2590</v>
      </c>
      <c r="D31" s="210" t="s">
        <v>95</v>
      </c>
      <c r="E31" s="353">
        <v>2740</v>
      </c>
      <c r="F31" s="467">
        <v>0</v>
      </c>
      <c r="G31" s="352">
        <f>E31*F31</f>
        <v>0</v>
      </c>
    </row>
    <row r="32" spans="2:7" ht="27.75" customHeight="1" x14ac:dyDescent="0.2">
      <c r="B32" s="129">
        <v>9</v>
      </c>
      <c r="C32" s="3165" t="s">
        <v>2591</v>
      </c>
      <c r="D32" s="210" t="s">
        <v>98</v>
      </c>
      <c r="E32" s="353">
        <v>1</v>
      </c>
      <c r="F32" s="467">
        <v>0</v>
      </c>
      <c r="G32" s="352">
        <f t="shared" si="0"/>
        <v>0</v>
      </c>
    </row>
    <row r="33" spans="2:10" ht="14.25" customHeight="1" x14ac:dyDescent="0.2">
      <c r="B33" s="129">
        <v>10</v>
      </c>
      <c r="C33" s="211" t="s">
        <v>105</v>
      </c>
      <c r="D33" s="210" t="s">
        <v>98</v>
      </c>
      <c r="E33" s="353">
        <v>1</v>
      </c>
      <c r="F33" s="467">
        <v>0</v>
      </c>
      <c r="G33" s="352">
        <f t="shared" si="0"/>
        <v>0</v>
      </c>
    </row>
    <row r="34" spans="2:10" ht="38.25" customHeight="1" x14ac:dyDescent="0.2">
      <c r="B34" s="129">
        <v>11</v>
      </c>
      <c r="C34" s="212" t="s">
        <v>106</v>
      </c>
      <c r="D34" s="210" t="s">
        <v>98</v>
      </c>
      <c r="E34" s="468">
        <v>1</v>
      </c>
      <c r="F34" s="467">
        <v>0</v>
      </c>
      <c r="G34" s="352">
        <f t="shared" si="0"/>
        <v>0</v>
      </c>
    </row>
    <row r="35" spans="2:10" ht="39.75" customHeight="1" x14ac:dyDescent="0.2">
      <c r="B35" s="129">
        <v>12</v>
      </c>
      <c r="C35" s="307" t="s">
        <v>107</v>
      </c>
      <c r="D35" s="210" t="s">
        <v>98</v>
      </c>
      <c r="E35" s="468">
        <v>1</v>
      </c>
      <c r="F35" s="467">
        <v>0</v>
      </c>
      <c r="G35" s="352">
        <f t="shared" si="0"/>
        <v>0</v>
      </c>
    </row>
    <row r="36" spans="2:10" s="147" customFormat="1" ht="23.25" customHeight="1" x14ac:dyDescent="0.25">
      <c r="B36" s="327" t="s">
        <v>10</v>
      </c>
      <c r="C36" s="214" t="s">
        <v>108</v>
      </c>
      <c r="D36" s="214"/>
      <c r="E36" s="215"/>
      <c r="F36" s="216"/>
      <c r="G36" s="290">
        <f>SUM(G24:G35)</f>
        <v>0</v>
      </c>
    </row>
    <row r="37" spans="2:10" x14ac:dyDescent="0.2">
      <c r="B37" s="129"/>
      <c r="C37" s="197"/>
      <c r="D37" s="198"/>
      <c r="E37" s="353"/>
      <c r="F37" s="358"/>
      <c r="G37" s="350"/>
    </row>
    <row r="38" spans="2:10" ht="24" x14ac:dyDescent="0.2">
      <c r="B38" s="128" t="s">
        <v>83</v>
      </c>
      <c r="C38" s="192" t="s">
        <v>89</v>
      </c>
      <c r="D38" s="193" t="s">
        <v>90</v>
      </c>
      <c r="E38" s="194" t="s">
        <v>91</v>
      </c>
      <c r="F38" s="195" t="s">
        <v>92</v>
      </c>
      <c r="G38" s="196" t="s">
        <v>93</v>
      </c>
    </row>
    <row r="39" spans="2:10" x14ac:dyDescent="0.2">
      <c r="B39" s="129"/>
      <c r="C39" s="217"/>
      <c r="D39" s="207"/>
      <c r="E39" s="353"/>
      <c r="F39" s="358"/>
      <c r="G39" s="350"/>
    </row>
    <row r="40" spans="2:10" s="295" customFormat="1" ht="20.25" x14ac:dyDescent="0.3">
      <c r="B40" s="303" t="s">
        <v>12</v>
      </c>
      <c r="C40" s="304" t="s">
        <v>109</v>
      </c>
      <c r="D40" s="298"/>
      <c r="E40" s="299"/>
      <c r="F40" s="300"/>
      <c r="G40" s="301"/>
    </row>
    <row r="41" spans="2:10" s="130" customFormat="1" ht="71.25" customHeight="1" x14ac:dyDescent="0.2">
      <c r="B41" s="3184" t="s">
        <v>110</v>
      </c>
      <c r="C41" s="3185"/>
      <c r="D41" s="3185"/>
      <c r="E41" s="3185"/>
      <c r="F41" s="3185"/>
      <c r="G41" s="3186"/>
    </row>
    <row r="42" spans="2:10" ht="27.75" customHeight="1" x14ac:dyDescent="0.2">
      <c r="B42" s="131">
        <v>1</v>
      </c>
      <c r="C42" s="206" t="s">
        <v>111</v>
      </c>
      <c r="D42" s="207" t="s">
        <v>112</v>
      </c>
      <c r="E42" s="353">
        <v>54.8</v>
      </c>
      <c r="F42" s="467">
        <v>0</v>
      </c>
      <c r="G42" s="352">
        <f>E42*F42</f>
        <v>0</v>
      </c>
    </row>
    <row r="43" spans="2:10" ht="39" customHeight="1" x14ac:dyDescent="0.2">
      <c r="B43" s="131">
        <v>2</v>
      </c>
      <c r="C43" s="206" t="s">
        <v>113</v>
      </c>
      <c r="D43" s="207" t="s">
        <v>95</v>
      </c>
      <c r="E43" s="353">
        <v>1370</v>
      </c>
      <c r="F43" s="467">
        <v>0</v>
      </c>
      <c r="G43" s="352">
        <f t="shared" ref="G43:G76" si="1">E43*F43</f>
        <v>0</v>
      </c>
    </row>
    <row r="44" spans="2:10" ht="36" x14ac:dyDescent="0.2">
      <c r="B44" s="131">
        <v>3</v>
      </c>
      <c r="C44" s="206" t="s">
        <v>114</v>
      </c>
      <c r="D44" s="209" t="s">
        <v>112</v>
      </c>
      <c r="E44" s="353">
        <v>554.85</v>
      </c>
      <c r="F44" s="467">
        <v>0</v>
      </c>
      <c r="G44" s="352">
        <f t="shared" si="1"/>
        <v>0</v>
      </c>
      <c r="I44" s="134"/>
      <c r="J44" s="134"/>
    </row>
    <row r="45" spans="2:10" ht="39.75" customHeight="1" x14ac:dyDescent="0.2">
      <c r="B45" s="131">
        <v>4</v>
      </c>
      <c r="C45" s="206" t="s">
        <v>115</v>
      </c>
      <c r="D45" s="209" t="s">
        <v>112</v>
      </c>
      <c r="E45" s="353">
        <v>3144.15</v>
      </c>
      <c r="F45" s="467">
        <v>0</v>
      </c>
      <c r="G45" s="352">
        <f t="shared" si="1"/>
        <v>0</v>
      </c>
    </row>
    <row r="46" spans="2:10" ht="29.25" customHeight="1" x14ac:dyDescent="0.2">
      <c r="B46" s="131">
        <v>5</v>
      </c>
      <c r="C46" s="311" t="s">
        <v>116</v>
      </c>
      <c r="D46" s="219" t="s">
        <v>117</v>
      </c>
      <c r="E46" s="471">
        <v>2055</v>
      </c>
      <c r="F46" s="467">
        <v>0</v>
      </c>
      <c r="G46" s="352">
        <f t="shared" si="1"/>
        <v>0</v>
      </c>
    </row>
    <row r="47" spans="2:10" ht="29.25" customHeight="1" x14ac:dyDescent="0.2">
      <c r="B47" s="131">
        <v>6</v>
      </c>
      <c r="C47" s="206" t="s">
        <v>118</v>
      </c>
      <c r="D47" s="209" t="s">
        <v>117</v>
      </c>
      <c r="E47" s="353">
        <v>2740</v>
      </c>
      <c r="F47" s="467">
        <v>0</v>
      </c>
      <c r="G47" s="352">
        <f t="shared" si="1"/>
        <v>0</v>
      </c>
    </row>
    <row r="48" spans="2:10" ht="24" x14ac:dyDescent="0.2">
      <c r="B48" s="131">
        <v>8</v>
      </c>
      <c r="C48" s="206" t="s">
        <v>119</v>
      </c>
      <c r="D48" s="209" t="s">
        <v>112</v>
      </c>
      <c r="E48" s="353">
        <v>2712.6</v>
      </c>
      <c r="F48" s="467">
        <v>0</v>
      </c>
      <c r="G48" s="352">
        <f t="shared" si="1"/>
        <v>0</v>
      </c>
    </row>
    <row r="49" spans="2:7" ht="40.5" customHeight="1" x14ac:dyDescent="0.2">
      <c r="B49" s="131">
        <v>9</v>
      </c>
      <c r="C49" s="208" t="s">
        <v>120</v>
      </c>
      <c r="D49" s="209" t="s">
        <v>112</v>
      </c>
      <c r="E49" s="353">
        <v>104.4</v>
      </c>
      <c r="F49" s="467">
        <v>0</v>
      </c>
      <c r="G49" s="352">
        <f t="shared" si="1"/>
        <v>0</v>
      </c>
    </row>
    <row r="50" spans="2:7" s="130" customFormat="1" ht="39" customHeight="1" x14ac:dyDescent="0.2">
      <c r="B50" s="131">
        <v>10</v>
      </c>
      <c r="C50" s="314" t="s">
        <v>121</v>
      </c>
      <c r="D50" s="210" t="s">
        <v>112</v>
      </c>
      <c r="E50" s="353">
        <v>882</v>
      </c>
      <c r="F50" s="467">
        <v>0</v>
      </c>
      <c r="G50" s="352">
        <f t="shared" si="1"/>
        <v>0</v>
      </c>
    </row>
    <row r="51" spans="2:7" s="147" customFormat="1" ht="54" customHeight="1" x14ac:dyDescent="0.25">
      <c r="B51" s="3187">
        <v>11</v>
      </c>
      <c r="C51" s="308" t="s">
        <v>122</v>
      </c>
      <c r="D51" s="210"/>
      <c r="E51" s="353">
        <v>0</v>
      </c>
      <c r="F51" s="467"/>
      <c r="G51" s="352"/>
    </row>
    <row r="52" spans="2:7" s="147" customFormat="1" ht="15" customHeight="1" x14ac:dyDescent="0.25">
      <c r="B52" s="3188"/>
      <c r="C52" s="308" t="s">
        <v>124</v>
      </c>
      <c r="D52" s="207" t="s">
        <v>95</v>
      </c>
      <c r="E52" s="353">
        <v>50</v>
      </c>
      <c r="F52" s="467">
        <v>0</v>
      </c>
      <c r="G52" s="352">
        <f>E52*F52</f>
        <v>0</v>
      </c>
    </row>
    <row r="53" spans="2:7" ht="25.5" customHeight="1" x14ac:dyDescent="0.2">
      <c r="B53" s="131">
        <v>12</v>
      </c>
      <c r="C53" s="206" t="s">
        <v>125</v>
      </c>
      <c r="D53" s="209" t="s">
        <v>95</v>
      </c>
      <c r="E53" s="353">
        <v>2450</v>
      </c>
      <c r="F53" s="467">
        <v>0</v>
      </c>
      <c r="G53" s="352">
        <f t="shared" si="1"/>
        <v>0</v>
      </c>
    </row>
    <row r="54" spans="2:7" ht="16.5" customHeight="1" x14ac:dyDescent="0.2">
      <c r="B54" s="131">
        <v>13</v>
      </c>
      <c r="C54" s="206" t="s">
        <v>126</v>
      </c>
      <c r="D54" s="207" t="s">
        <v>117</v>
      </c>
      <c r="E54" s="353">
        <v>2940</v>
      </c>
      <c r="F54" s="467">
        <v>0</v>
      </c>
      <c r="G54" s="352">
        <f t="shared" si="1"/>
        <v>0</v>
      </c>
    </row>
    <row r="55" spans="2:7" ht="41.25" customHeight="1" x14ac:dyDescent="0.2">
      <c r="B55" s="131">
        <v>14</v>
      </c>
      <c r="C55" s="206" t="s">
        <v>127</v>
      </c>
      <c r="D55" s="207" t="s">
        <v>117</v>
      </c>
      <c r="E55" s="353">
        <v>2940</v>
      </c>
      <c r="F55" s="467">
        <v>0</v>
      </c>
      <c r="G55" s="352">
        <f t="shared" si="1"/>
        <v>0</v>
      </c>
    </row>
    <row r="56" spans="2:7" ht="51.75" customHeight="1" x14ac:dyDescent="0.2">
      <c r="B56" s="312" t="s">
        <v>128</v>
      </c>
      <c r="C56" s="208" t="s">
        <v>129</v>
      </c>
      <c r="D56" s="209" t="s">
        <v>117</v>
      </c>
      <c r="E56" s="353">
        <v>2940</v>
      </c>
      <c r="F56" s="467">
        <v>0</v>
      </c>
      <c r="G56" s="352">
        <f t="shared" si="1"/>
        <v>0</v>
      </c>
    </row>
    <row r="57" spans="2:7" ht="64.5" customHeight="1" x14ac:dyDescent="0.2">
      <c r="B57" s="312" t="s">
        <v>130</v>
      </c>
      <c r="C57" s="208" t="s">
        <v>131</v>
      </c>
      <c r="D57" s="209" t="s">
        <v>117</v>
      </c>
      <c r="E57" s="353">
        <v>4116</v>
      </c>
      <c r="F57" s="467">
        <v>0</v>
      </c>
      <c r="G57" s="352">
        <f t="shared" si="1"/>
        <v>0</v>
      </c>
    </row>
    <row r="58" spans="2:7" ht="38.25" customHeight="1" x14ac:dyDescent="0.2">
      <c r="B58" s="131">
        <v>16</v>
      </c>
      <c r="C58" s="206" t="s">
        <v>132</v>
      </c>
      <c r="D58" s="207" t="s">
        <v>117</v>
      </c>
      <c r="E58" s="353">
        <v>1176</v>
      </c>
      <c r="F58" s="467">
        <v>0</v>
      </c>
      <c r="G58" s="352">
        <f t="shared" si="1"/>
        <v>0</v>
      </c>
    </row>
    <row r="59" spans="2:7" ht="14.25" customHeight="1" x14ac:dyDescent="0.2">
      <c r="B59" s="131">
        <v>17</v>
      </c>
      <c r="C59" s="206" t="s">
        <v>133</v>
      </c>
      <c r="D59" s="209" t="s">
        <v>112</v>
      </c>
      <c r="E59" s="353">
        <v>54.8</v>
      </c>
      <c r="F59" s="467">
        <v>0</v>
      </c>
      <c r="G59" s="352">
        <f t="shared" si="1"/>
        <v>0</v>
      </c>
    </row>
    <row r="60" spans="2:7" ht="14.25" customHeight="1" x14ac:dyDescent="0.2">
      <c r="B60" s="131">
        <v>18</v>
      </c>
      <c r="C60" s="206" t="s">
        <v>134</v>
      </c>
      <c r="D60" s="209" t="s">
        <v>112</v>
      </c>
      <c r="E60" s="353">
        <v>2137.1999999999998</v>
      </c>
      <c r="F60" s="467">
        <v>0</v>
      </c>
      <c r="G60" s="352">
        <f t="shared" si="1"/>
        <v>0</v>
      </c>
    </row>
    <row r="61" spans="2:7" ht="15.75" customHeight="1" x14ac:dyDescent="0.2">
      <c r="B61" s="131">
        <v>19</v>
      </c>
      <c r="C61" s="206" t="s">
        <v>135</v>
      </c>
      <c r="D61" s="209" t="s">
        <v>112</v>
      </c>
      <c r="E61" s="353">
        <v>2137.1999999999998</v>
      </c>
      <c r="F61" s="467">
        <v>0</v>
      </c>
      <c r="G61" s="352">
        <f t="shared" si="1"/>
        <v>0</v>
      </c>
    </row>
    <row r="62" spans="2:7" ht="27.75" customHeight="1" x14ac:dyDescent="0.2">
      <c r="B62" s="131">
        <v>20</v>
      </c>
      <c r="C62" s="206" t="s">
        <v>136</v>
      </c>
      <c r="D62" s="209" t="s">
        <v>137</v>
      </c>
      <c r="E62" s="353">
        <v>588</v>
      </c>
      <c r="F62" s="467">
        <v>0</v>
      </c>
      <c r="G62" s="352">
        <f t="shared" si="1"/>
        <v>0</v>
      </c>
    </row>
    <row r="63" spans="2:7" ht="30" customHeight="1" x14ac:dyDescent="0.2">
      <c r="B63" s="131">
        <v>21</v>
      </c>
      <c r="C63" s="206" t="s">
        <v>138</v>
      </c>
      <c r="D63" s="207" t="s">
        <v>117</v>
      </c>
      <c r="E63" s="353">
        <v>1225</v>
      </c>
      <c r="F63" s="467">
        <v>0</v>
      </c>
      <c r="G63" s="352">
        <f t="shared" si="1"/>
        <v>0</v>
      </c>
    </row>
    <row r="64" spans="2:7" s="130" customFormat="1" ht="51.75" customHeight="1" x14ac:dyDescent="0.2">
      <c r="B64" s="3187">
        <v>22</v>
      </c>
      <c r="C64" s="408" t="s">
        <v>139</v>
      </c>
      <c r="D64" s="221"/>
      <c r="E64" s="353"/>
      <c r="F64" s="467"/>
      <c r="G64" s="352"/>
    </row>
    <row r="65" spans="2:7" s="130" customFormat="1" x14ac:dyDescent="0.2">
      <c r="B65" s="3188"/>
      <c r="C65" s="291" t="s">
        <v>140</v>
      </c>
      <c r="D65" s="221" t="s">
        <v>95</v>
      </c>
      <c r="E65" s="353">
        <v>18</v>
      </c>
      <c r="F65" s="467">
        <v>0</v>
      </c>
      <c r="G65" s="352">
        <f>E65*F65</f>
        <v>0</v>
      </c>
    </row>
    <row r="66" spans="2:7" s="130" customFormat="1" ht="60" x14ac:dyDescent="0.2">
      <c r="B66" s="2723"/>
      <c r="C66" s="291" t="s">
        <v>141</v>
      </c>
      <c r="D66" s="221" t="s">
        <v>95</v>
      </c>
      <c r="E66" s="353">
        <v>7</v>
      </c>
      <c r="F66" s="467">
        <v>0</v>
      </c>
      <c r="G66" s="352">
        <f t="shared" ref="G66" si="2">E66*F66</f>
        <v>0</v>
      </c>
    </row>
    <row r="67" spans="2:7" ht="39.75" customHeight="1" x14ac:dyDescent="0.2">
      <c r="B67" s="131">
        <v>24</v>
      </c>
      <c r="C67" s="409" t="s">
        <v>142</v>
      </c>
      <c r="D67" s="207" t="s">
        <v>117</v>
      </c>
      <c r="E67" s="353">
        <v>10</v>
      </c>
      <c r="F67" s="467">
        <v>0</v>
      </c>
      <c r="G67" s="352">
        <f t="shared" si="1"/>
        <v>0</v>
      </c>
    </row>
    <row r="68" spans="2:7" ht="25.5" customHeight="1" x14ac:dyDescent="0.2">
      <c r="B68" s="131">
        <v>25</v>
      </c>
      <c r="C68" s="409" t="s">
        <v>143</v>
      </c>
      <c r="D68" s="207" t="s">
        <v>95</v>
      </c>
      <c r="E68" s="353">
        <v>72</v>
      </c>
      <c r="F68" s="467">
        <v>0</v>
      </c>
      <c r="G68" s="352">
        <f t="shared" si="1"/>
        <v>0</v>
      </c>
    </row>
    <row r="69" spans="2:7" ht="25.5" customHeight="1" x14ac:dyDescent="0.2">
      <c r="B69" s="312"/>
      <c r="C69" s="409" t="s">
        <v>144</v>
      </c>
      <c r="D69" s="207" t="s">
        <v>95</v>
      </c>
      <c r="E69" s="353">
        <v>16</v>
      </c>
      <c r="F69" s="467">
        <v>0</v>
      </c>
      <c r="G69" s="352">
        <f t="shared" si="1"/>
        <v>0</v>
      </c>
    </row>
    <row r="70" spans="2:7" ht="52.5" customHeight="1" x14ac:dyDescent="0.2">
      <c r="B70" s="312"/>
      <c r="C70" s="409" t="s">
        <v>145</v>
      </c>
      <c r="D70" s="207" t="s">
        <v>95</v>
      </c>
      <c r="E70" s="353">
        <v>39</v>
      </c>
      <c r="F70" s="467">
        <v>0</v>
      </c>
      <c r="G70" s="352">
        <f t="shared" si="1"/>
        <v>0</v>
      </c>
    </row>
    <row r="71" spans="2:7" ht="75" customHeight="1" x14ac:dyDescent="0.2">
      <c r="B71" s="312"/>
      <c r="C71" s="409" t="s">
        <v>146</v>
      </c>
      <c r="D71" s="207" t="s">
        <v>117</v>
      </c>
      <c r="E71" s="353">
        <v>300</v>
      </c>
      <c r="F71" s="467">
        <v>0</v>
      </c>
      <c r="G71" s="352">
        <f t="shared" si="1"/>
        <v>0</v>
      </c>
    </row>
    <row r="72" spans="2:7" ht="25.5" customHeight="1" x14ac:dyDescent="0.2">
      <c r="B72" s="312"/>
      <c r="C72" s="409" t="s">
        <v>147</v>
      </c>
      <c r="D72" s="207" t="s">
        <v>117</v>
      </c>
      <c r="E72" s="353">
        <v>150</v>
      </c>
      <c r="F72" s="467">
        <v>0</v>
      </c>
      <c r="G72" s="352">
        <f t="shared" si="1"/>
        <v>0</v>
      </c>
    </row>
    <row r="73" spans="2:7" ht="186.75" customHeight="1" x14ac:dyDescent="0.2">
      <c r="B73" s="131">
        <v>28</v>
      </c>
      <c r="C73" s="410" t="s">
        <v>148</v>
      </c>
      <c r="D73" s="222" t="s">
        <v>149</v>
      </c>
      <c r="E73" s="472">
        <v>1</v>
      </c>
      <c r="F73" s="467">
        <v>0</v>
      </c>
      <c r="G73" s="352">
        <f t="shared" si="1"/>
        <v>0</v>
      </c>
    </row>
    <row r="74" spans="2:7" ht="168" x14ac:dyDescent="0.2">
      <c r="B74" s="131">
        <v>29</v>
      </c>
      <c r="C74" s="410" t="s">
        <v>150</v>
      </c>
      <c r="D74" s="222" t="s">
        <v>149</v>
      </c>
      <c r="E74" s="472">
        <v>2</v>
      </c>
      <c r="F74" s="467">
        <v>0</v>
      </c>
      <c r="G74" s="352">
        <f t="shared" si="1"/>
        <v>0</v>
      </c>
    </row>
    <row r="75" spans="2:7" ht="29.25" customHeight="1" x14ac:dyDescent="0.2">
      <c r="B75" s="411">
        <v>30</v>
      </c>
      <c r="C75" s="410" t="s">
        <v>151</v>
      </c>
      <c r="D75" s="222" t="s">
        <v>112</v>
      </c>
      <c r="E75" s="472">
        <v>10</v>
      </c>
      <c r="F75" s="467">
        <v>0</v>
      </c>
      <c r="G75" s="352">
        <f t="shared" si="1"/>
        <v>0</v>
      </c>
    </row>
    <row r="76" spans="2:7" ht="36.75" customHeight="1" x14ac:dyDescent="0.2">
      <c r="B76" s="131">
        <v>31</v>
      </c>
      <c r="C76" s="223" t="s">
        <v>152</v>
      </c>
      <c r="D76" s="222" t="s">
        <v>149</v>
      </c>
      <c r="E76" s="472">
        <v>55</v>
      </c>
      <c r="F76" s="467">
        <v>0</v>
      </c>
      <c r="G76" s="352">
        <f t="shared" si="1"/>
        <v>0</v>
      </c>
    </row>
    <row r="77" spans="2:7" ht="30" customHeight="1" x14ac:dyDescent="0.2">
      <c r="B77" s="411">
        <v>32</v>
      </c>
      <c r="C77" s="223" t="s">
        <v>153</v>
      </c>
      <c r="D77" s="222" t="s">
        <v>112</v>
      </c>
      <c r="E77" s="472">
        <v>14</v>
      </c>
      <c r="F77" s="467">
        <v>0</v>
      </c>
      <c r="G77" s="352">
        <f>E77*F77</f>
        <v>0</v>
      </c>
    </row>
    <row r="78" spans="2:7" ht="30" customHeight="1" x14ac:dyDescent="0.2">
      <c r="B78" s="411"/>
      <c r="C78" s="223" t="s">
        <v>154</v>
      </c>
      <c r="D78" s="222" t="s">
        <v>149</v>
      </c>
      <c r="E78" s="472">
        <v>1</v>
      </c>
      <c r="F78" s="467">
        <v>0</v>
      </c>
      <c r="G78" s="352">
        <f>E78*F78</f>
        <v>0</v>
      </c>
    </row>
    <row r="79" spans="2:7" ht="28.5" customHeight="1" x14ac:dyDescent="0.2">
      <c r="B79" s="131">
        <v>33</v>
      </c>
      <c r="C79" s="223" t="s">
        <v>155</v>
      </c>
      <c r="D79" s="222" t="s">
        <v>156</v>
      </c>
      <c r="E79" s="472">
        <v>20</v>
      </c>
      <c r="F79" s="467">
        <v>0</v>
      </c>
      <c r="G79" s="352">
        <f>E79*F79</f>
        <v>0</v>
      </c>
    </row>
    <row r="80" spans="2:7" s="147" customFormat="1" ht="21.75" customHeight="1" x14ac:dyDescent="0.25">
      <c r="B80" s="327" t="s">
        <v>12</v>
      </c>
      <c r="C80" s="214" t="s">
        <v>157</v>
      </c>
      <c r="D80" s="224"/>
      <c r="E80" s="215"/>
      <c r="F80" s="216"/>
      <c r="G80" s="290">
        <f>SUM(G42:G79)</f>
        <v>0</v>
      </c>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row>
    <row r="90" spans="1:9" s="130" customFormat="1" ht="18.75" customHeight="1" x14ac:dyDescent="0.2">
      <c r="B90" s="3184" t="s">
        <v>160</v>
      </c>
      <c r="C90" s="3185"/>
      <c r="D90" s="3185"/>
      <c r="E90" s="3185"/>
      <c r="F90" s="3185"/>
      <c r="G90" s="3186"/>
    </row>
    <row r="91" spans="1:9" s="130" customFormat="1" ht="18.75" customHeight="1" x14ac:dyDescent="0.2">
      <c r="B91" s="3184" t="s">
        <v>161</v>
      </c>
      <c r="C91" s="3185"/>
      <c r="D91" s="3185"/>
      <c r="E91" s="3185"/>
      <c r="F91" s="3185"/>
      <c r="G91" s="3186"/>
    </row>
    <row r="92" spans="1:9" ht="30" customHeight="1" x14ac:dyDescent="0.2">
      <c r="B92" s="153">
        <v>1</v>
      </c>
      <c r="C92" s="225" t="s">
        <v>162</v>
      </c>
      <c r="D92" s="226"/>
      <c r="E92" s="353"/>
      <c r="F92" s="358"/>
      <c r="G92" s="350"/>
    </row>
    <row r="93" spans="1:9" s="147" customFormat="1" ht="18.75" customHeight="1" x14ac:dyDescent="0.25">
      <c r="B93" s="148"/>
      <c r="C93" s="151" t="s">
        <v>163</v>
      </c>
      <c r="D93" s="226" t="s">
        <v>95</v>
      </c>
      <c r="E93" s="353">
        <v>2359.8000000000002</v>
      </c>
      <c r="F93" s="467">
        <v>0</v>
      </c>
      <c r="G93" s="352">
        <f t="shared" ref="G93:G101" si="3">E93*F93</f>
        <v>0</v>
      </c>
    </row>
    <row r="94" spans="1:9" s="147" customFormat="1" ht="24.75" customHeight="1" x14ac:dyDescent="0.25">
      <c r="B94" s="148"/>
      <c r="C94" s="151" t="s">
        <v>164</v>
      </c>
      <c r="D94" s="226" t="s">
        <v>95</v>
      </c>
      <c r="E94" s="353">
        <v>262.2</v>
      </c>
      <c r="F94" s="467">
        <v>0</v>
      </c>
      <c r="G94" s="352">
        <f t="shared" si="3"/>
        <v>0</v>
      </c>
    </row>
    <row r="95" spans="1:9" s="147" customFormat="1" ht="19.5" customHeight="1" x14ac:dyDescent="0.25">
      <c r="B95" s="148"/>
      <c r="C95" s="151" t="s">
        <v>165</v>
      </c>
      <c r="D95" s="226" t="s">
        <v>95</v>
      </c>
      <c r="E95" s="353">
        <v>90</v>
      </c>
      <c r="F95" s="467">
        <v>0</v>
      </c>
      <c r="G95" s="352">
        <f t="shared" si="3"/>
        <v>0</v>
      </c>
      <c r="I95" s="490"/>
    </row>
    <row r="96" spans="1:9" s="147" customFormat="1" ht="27.75" customHeight="1" x14ac:dyDescent="0.25">
      <c r="B96" s="148"/>
      <c r="C96" s="151" t="s">
        <v>166</v>
      </c>
      <c r="D96" s="226" t="s">
        <v>95</v>
      </c>
      <c r="E96" s="353">
        <v>10</v>
      </c>
      <c r="F96" s="467">
        <v>0</v>
      </c>
      <c r="G96" s="352">
        <f t="shared" si="3"/>
        <v>0</v>
      </c>
    </row>
    <row r="97" spans="2:9" s="130" customFormat="1" ht="40.5" customHeight="1" x14ac:dyDescent="0.2">
      <c r="B97" s="3181" t="s">
        <v>167</v>
      </c>
      <c r="C97" s="310" t="s">
        <v>168</v>
      </c>
      <c r="D97" s="221"/>
      <c r="E97" s="353"/>
      <c r="F97" s="467"/>
      <c r="G97" s="352"/>
      <c r="I97" s="1263"/>
    </row>
    <row r="98" spans="2:9" s="130" customFormat="1" x14ac:dyDescent="0.2">
      <c r="B98" s="3182"/>
      <c r="C98" s="291" t="s">
        <v>169</v>
      </c>
      <c r="D98" s="221" t="s">
        <v>95</v>
      </c>
      <c r="E98" s="353">
        <v>70</v>
      </c>
      <c r="F98" s="467">
        <v>0</v>
      </c>
      <c r="G98" s="352">
        <f>E98*F98</f>
        <v>0</v>
      </c>
    </row>
    <row r="99" spans="2:9" s="130" customFormat="1" x14ac:dyDescent="0.2">
      <c r="B99" s="3182"/>
      <c r="C99" s="291" t="s">
        <v>170</v>
      </c>
      <c r="D99" s="221" t="s">
        <v>95</v>
      </c>
      <c r="E99" s="353">
        <v>40</v>
      </c>
      <c r="F99" s="467">
        <v>0</v>
      </c>
      <c r="G99" s="352">
        <f>E99*F99</f>
        <v>0</v>
      </c>
    </row>
    <row r="100" spans="2:9" s="130" customFormat="1" x14ac:dyDescent="0.2">
      <c r="B100" s="3183"/>
      <c r="C100" s="291" t="s">
        <v>171</v>
      </c>
      <c r="D100" s="221" t="s">
        <v>95</v>
      </c>
      <c r="E100" s="353">
        <v>10</v>
      </c>
      <c r="F100" s="467">
        <v>0</v>
      </c>
      <c r="G100" s="352">
        <f>E100*F100</f>
        <v>0</v>
      </c>
    </row>
    <row r="101" spans="2:9" ht="40.5" customHeight="1" x14ac:dyDescent="0.2">
      <c r="B101" s="154">
        <v>2</v>
      </c>
      <c r="C101" s="227" t="s">
        <v>172</v>
      </c>
      <c r="D101" s="209" t="s">
        <v>95</v>
      </c>
      <c r="E101" s="348">
        <v>2740</v>
      </c>
      <c r="F101" s="467">
        <v>0</v>
      </c>
      <c r="G101" s="352">
        <f t="shared" si="3"/>
        <v>0</v>
      </c>
    </row>
    <row r="102" spans="2:9" ht="41.25" customHeight="1" x14ac:dyDescent="0.2">
      <c r="B102" s="309" t="s">
        <v>173</v>
      </c>
      <c r="C102" s="227" t="s">
        <v>174</v>
      </c>
      <c r="D102" s="209" t="s">
        <v>95</v>
      </c>
      <c r="E102" s="348">
        <v>2740</v>
      </c>
      <c r="F102" s="467">
        <v>0</v>
      </c>
      <c r="G102" s="352">
        <f>E102*F102</f>
        <v>0</v>
      </c>
    </row>
    <row r="103" spans="2:9" ht="27" customHeight="1" x14ac:dyDescent="0.2">
      <c r="B103" s="309" t="s">
        <v>175</v>
      </c>
      <c r="C103" s="227" t="s">
        <v>176</v>
      </c>
      <c r="D103" s="209" t="s">
        <v>95</v>
      </c>
      <c r="E103" s="348">
        <v>2740</v>
      </c>
      <c r="F103" s="467">
        <v>0</v>
      </c>
      <c r="G103" s="352">
        <f>E103*F103</f>
        <v>0</v>
      </c>
    </row>
    <row r="104" spans="2:9" ht="39" customHeight="1" x14ac:dyDescent="0.2">
      <c r="B104" s="309" t="s">
        <v>177</v>
      </c>
      <c r="C104" s="227" t="s">
        <v>178</v>
      </c>
      <c r="D104" s="209" t="s">
        <v>95</v>
      </c>
      <c r="E104" s="348">
        <v>2740</v>
      </c>
      <c r="F104" s="467">
        <v>0</v>
      </c>
      <c r="G104" s="352">
        <f>E104*F104</f>
        <v>0</v>
      </c>
    </row>
    <row r="105" spans="2:9" ht="27.75" customHeight="1" x14ac:dyDescent="0.2">
      <c r="B105" s="153">
        <v>3</v>
      </c>
      <c r="C105" s="229" t="s">
        <v>179</v>
      </c>
      <c r="D105" s="198"/>
      <c r="E105" s="353"/>
      <c r="F105" s="353"/>
      <c r="G105" s="350"/>
    </row>
    <row r="106" spans="2:9" x14ac:dyDescent="0.2">
      <c r="B106" s="292" t="s">
        <v>180</v>
      </c>
      <c r="C106" s="230" t="s">
        <v>181</v>
      </c>
      <c r="D106" s="231"/>
      <c r="E106" s="232"/>
      <c r="F106" s="1967"/>
      <c r="G106" s="1968"/>
    </row>
    <row r="107" spans="2:9" x14ac:dyDescent="0.2">
      <c r="B107" s="129"/>
      <c r="C107" s="230" t="s">
        <v>182</v>
      </c>
      <c r="D107" s="231"/>
      <c r="E107" s="232"/>
      <c r="F107" s="1967"/>
      <c r="G107" s="1968"/>
    </row>
    <row r="108" spans="2:9" s="147" customFormat="1" ht="18" customHeight="1" x14ac:dyDescent="0.25">
      <c r="B108" s="152"/>
      <c r="C108" s="235" t="s">
        <v>183</v>
      </c>
      <c r="D108" s="236" t="s">
        <v>149</v>
      </c>
      <c r="E108" s="232">
        <v>5</v>
      </c>
      <c r="F108" s="1969">
        <v>0</v>
      </c>
      <c r="G108" s="1970">
        <f>E108*F108</f>
        <v>0</v>
      </c>
    </row>
    <row r="109" spans="2:9" s="147" customFormat="1" ht="18" customHeight="1" x14ac:dyDescent="0.25">
      <c r="B109" s="152"/>
      <c r="C109" s="235" t="s">
        <v>184</v>
      </c>
      <c r="D109" s="236" t="s">
        <v>149</v>
      </c>
      <c r="E109" s="232">
        <v>2</v>
      </c>
      <c r="F109" s="1969">
        <v>0</v>
      </c>
      <c r="G109" s="1970">
        <f>E109*F109</f>
        <v>0</v>
      </c>
    </row>
    <row r="110" spans="2:9" x14ac:dyDescent="0.2">
      <c r="B110" s="129"/>
      <c r="C110" s="230" t="s">
        <v>185</v>
      </c>
      <c r="D110" s="231"/>
      <c r="E110" s="232"/>
      <c r="F110" s="1967"/>
      <c r="G110" s="1968"/>
    </row>
    <row r="111" spans="2:9" s="147" customFormat="1" ht="18" customHeight="1" x14ac:dyDescent="0.25">
      <c r="B111" s="152"/>
      <c r="C111" s="235" t="s">
        <v>186</v>
      </c>
      <c r="D111" s="236" t="s">
        <v>149</v>
      </c>
      <c r="E111" s="232">
        <v>1</v>
      </c>
      <c r="F111" s="1969">
        <v>0</v>
      </c>
      <c r="G111" s="1970">
        <f>E111*F111</f>
        <v>0</v>
      </c>
    </row>
    <row r="112" spans="2:9" s="147" customFormat="1" ht="18" customHeight="1" x14ac:dyDescent="0.25">
      <c r="B112" s="152"/>
      <c r="C112" s="235" t="s">
        <v>187</v>
      </c>
      <c r="D112" s="236" t="s">
        <v>149</v>
      </c>
      <c r="E112" s="232">
        <v>1</v>
      </c>
      <c r="F112" s="1969">
        <v>0</v>
      </c>
      <c r="G112" s="1970">
        <f>E112*F112</f>
        <v>0</v>
      </c>
    </row>
    <row r="113" spans="2:7" s="136" customFormat="1" x14ac:dyDescent="0.2">
      <c r="B113" s="292" t="s">
        <v>188</v>
      </c>
      <c r="C113" s="238" t="s">
        <v>189</v>
      </c>
      <c r="D113" s="239"/>
      <c r="E113" s="240"/>
      <c r="F113" s="1971">
        <v>0</v>
      </c>
      <c r="G113" s="1972"/>
    </row>
    <row r="114" spans="2:7" s="136" customFormat="1" x14ac:dyDescent="0.2">
      <c r="B114" s="135"/>
      <c r="C114" s="238" t="s">
        <v>190</v>
      </c>
      <c r="D114" s="476"/>
      <c r="E114" s="477"/>
      <c r="F114" s="1973"/>
      <c r="G114" s="1974"/>
    </row>
    <row r="115" spans="2:7" s="136" customFormat="1" x14ac:dyDescent="0.2">
      <c r="B115" s="135"/>
      <c r="C115" s="243" t="s">
        <v>191</v>
      </c>
      <c r="D115" s="239" t="s">
        <v>149</v>
      </c>
      <c r="E115" s="240">
        <v>5</v>
      </c>
      <c r="F115" s="1975">
        <v>0</v>
      </c>
      <c r="G115" s="1976">
        <f t="shared" ref="G115:G122" si="4">E115*F115</f>
        <v>0</v>
      </c>
    </row>
    <row r="116" spans="2:7" s="136" customFormat="1" ht="38.25" customHeight="1" x14ac:dyDescent="0.2">
      <c r="B116" s="135"/>
      <c r="C116" s="244" t="s">
        <v>192</v>
      </c>
      <c r="D116" s="239" t="s">
        <v>149</v>
      </c>
      <c r="E116" s="240">
        <v>5</v>
      </c>
      <c r="F116" s="1975">
        <v>0</v>
      </c>
      <c r="G116" s="1976">
        <f t="shared" si="4"/>
        <v>0</v>
      </c>
    </row>
    <row r="117" spans="2:7" s="136" customFormat="1" x14ac:dyDescent="0.2">
      <c r="B117" s="135"/>
      <c r="C117" s="244" t="s">
        <v>193</v>
      </c>
      <c r="D117" s="239" t="s">
        <v>149</v>
      </c>
      <c r="E117" s="240">
        <v>5</v>
      </c>
      <c r="F117" s="1975">
        <v>0</v>
      </c>
      <c r="G117" s="1976">
        <f t="shared" si="4"/>
        <v>0</v>
      </c>
    </row>
    <row r="118" spans="2:7" s="136" customFormat="1" x14ac:dyDescent="0.2">
      <c r="B118" s="135"/>
      <c r="C118" s="244" t="s">
        <v>194</v>
      </c>
      <c r="D118" s="239" t="s">
        <v>149</v>
      </c>
      <c r="E118" s="240">
        <v>5</v>
      </c>
      <c r="F118" s="1975">
        <v>0</v>
      </c>
      <c r="G118" s="1976">
        <f t="shared" si="4"/>
        <v>0</v>
      </c>
    </row>
    <row r="119" spans="2:7" s="136" customFormat="1" x14ac:dyDescent="0.2">
      <c r="B119" s="135"/>
      <c r="C119" s="244" t="s">
        <v>195</v>
      </c>
      <c r="D119" s="239" t="s">
        <v>149</v>
      </c>
      <c r="E119" s="240">
        <v>10</v>
      </c>
      <c r="F119" s="1975">
        <v>0</v>
      </c>
      <c r="G119" s="1976">
        <f t="shared" si="4"/>
        <v>0</v>
      </c>
    </row>
    <row r="120" spans="2:7" s="136" customFormat="1" x14ac:dyDescent="0.2">
      <c r="B120" s="135"/>
      <c r="C120" s="244" t="s">
        <v>196</v>
      </c>
      <c r="D120" s="239" t="s">
        <v>149</v>
      </c>
      <c r="E120" s="240">
        <v>10</v>
      </c>
      <c r="F120" s="1975">
        <v>0</v>
      </c>
      <c r="G120" s="1976">
        <f t="shared" si="4"/>
        <v>0</v>
      </c>
    </row>
    <row r="121" spans="2:7" s="136" customFormat="1" x14ac:dyDescent="0.2">
      <c r="B121" s="135"/>
      <c r="C121" s="244" t="s">
        <v>197</v>
      </c>
      <c r="D121" s="239" t="s">
        <v>149</v>
      </c>
      <c r="E121" s="240">
        <v>5</v>
      </c>
      <c r="F121" s="1975">
        <v>0</v>
      </c>
      <c r="G121" s="1976">
        <f t="shared" si="4"/>
        <v>0</v>
      </c>
    </row>
    <row r="122" spans="2:7" s="136" customFormat="1" x14ac:dyDescent="0.2">
      <c r="B122" s="135"/>
      <c r="C122" s="244" t="s">
        <v>198</v>
      </c>
      <c r="D122" s="239" t="s">
        <v>149</v>
      </c>
      <c r="E122" s="240">
        <v>5</v>
      </c>
      <c r="F122" s="1975">
        <v>0</v>
      </c>
      <c r="G122" s="1976">
        <f t="shared" si="4"/>
        <v>0</v>
      </c>
    </row>
    <row r="123" spans="2:7" s="136" customFormat="1" x14ac:dyDescent="0.2">
      <c r="B123" s="292" t="s">
        <v>199</v>
      </c>
      <c r="C123" s="247" t="s">
        <v>200</v>
      </c>
      <c r="D123" s="202"/>
      <c r="E123" s="248"/>
      <c r="F123" s="1977"/>
      <c r="G123" s="1978"/>
    </row>
    <row r="124" spans="2:7" s="136" customFormat="1" x14ac:dyDescent="0.2">
      <c r="B124" s="135"/>
      <c r="C124" s="247" t="s">
        <v>201</v>
      </c>
      <c r="D124" s="214"/>
      <c r="E124" s="480"/>
      <c r="F124" s="1979"/>
      <c r="G124" s="1980"/>
    </row>
    <row r="125" spans="2:7" s="136" customFormat="1" ht="27" customHeight="1" x14ac:dyDescent="0.2">
      <c r="B125" s="135"/>
      <c r="C125" s="250" t="s">
        <v>202</v>
      </c>
      <c r="D125" s="202" t="s">
        <v>149</v>
      </c>
      <c r="E125" s="248">
        <v>1</v>
      </c>
      <c r="F125" s="1981">
        <v>0</v>
      </c>
      <c r="G125" s="1982">
        <f>E125*F125</f>
        <v>0</v>
      </c>
    </row>
    <row r="126" spans="2:7" s="136" customFormat="1" x14ac:dyDescent="0.2">
      <c r="B126" s="135"/>
      <c r="C126" s="251" t="s">
        <v>203</v>
      </c>
      <c r="D126" s="202" t="s">
        <v>149</v>
      </c>
      <c r="E126" s="248">
        <v>1</v>
      </c>
      <c r="F126" s="1981">
        <v>0</v>
      </c>
      <c r="G126" s="1982">
        <f>E126*F126</f>
        <v>0</v>
      </c>
    </row>
    <row r="127" spans="2:7" s="136" customFormat="1" x14ac:dyDescent="0.2">
      <c r="B127" s="135"/>
      <c r="C127" s="252" t="s">
        <v>198</v>
      </c>
      <c r="D127" s="202" t="s">
        <v>149</v>
      </c>
      <c r="E127" s="248">
        <v>1</v>
      </c>
      <c r="F127" s="1981">
        <v>0</v>
      </c>
      <c r="G127" s="1982">
        <f>E127*F127</f>
        <v>0</v>
      </c>
    </row>
    <row r="128" spans="2:7" s="136" customFormat="1" x14ac:dyDescent="0.2">
      <c r="B128" s="292" t="s">
        <v>204</v>
      </c>
      <c r="C128" s="253" t="s">
        <v>205</v>
      </c>
      <c r="D128" s="254"/>
      <c r="E128" s="255"/>
      <c r="F128" s="1983"/>
      <c r="G128" s="1984"/>
    </row>
    <row r="129" spans="2:7" s="136" customFormat="1" x14ac:dyDescent="0.2">
      <c r="B129" s="135"/>
      <c r="C129" s="253" t="s">
        <v>206</v>
      </c>
      <c r="D129" s="482"/>
      <c r="E129" s="483"/>
      <c r="F129" s="1985"/>
      <c r="G129" s="1986"/>
    </row>
    <row r="130" spans="2:7" s="136" customFormat="1" x14ac:dyDescent="0.2">
      <c r="B130" s="135"/>
      <c r="C130" s="258" t="s">
        <v>207</v>
      </c>
      <c r="D130" s="254" t="s">
        <v>149</v>
      </c>
      <c r="E130" s="255">
        <v>3</v>
      </c>
      <c r="F130" s="1987">
        <v>0</v>
      </c>
      <c r="G130" s="1988">
        <f t="shared" ref="G130:G144" si="5">E130*F130</f>
        <v>0</v>
      </c>
    </row>
    <row r="131" spans="2:7" s="136" customFormat="1" x14ac:dyDescent="0.2">
      <c r="B131" s="135"/>
      <c r="C131" s="258" t="s">
        <v>208</v>
      </c>
      <c r="D131" s="254" t="s">
        <v>149</v>
      </c>
      <c r="E131" s="255">
        <v>6</v>
      </c>
      <c r="F131" s="1987">
        <v>0</v>
      </c>
      <c r="G131" s="1988">
        <f t="shared" si="5"/>
        <v>0</v>
      </c>
    </row>
    <row r="132" spans="2:7" s="136" customFormat="1" ht="12.75" customHeight="1" x14ac:dyDescent="0.2">
      <c r="B132" s="135"/>
      <c r="C132" s="259" t="s">
        <v>209</v>
      </c>
      <c r="D132" s="254" t="s">
        <v>149</v>
      </c>
      <c r="E132" s="255">
        <v>3</v>
      </c>
      <c r="F132" s="1987">
        <v>0</v>
      </c>
      <c r="G132" s="1988">
        <f t="shared" si="5"/>
        <v>0</v>
      </c>
    </row>
    <row r="133" spans="2:7" s="136" customFormat="1" x14ac:dyDescent="0.2">
      <c r="B133" s="135"/>
      <c r="C133" s="259" t="s">
        <v>210</v>
      </c>
      <c r="D133" s="254" t="s">
        <v>149</v>
      </c>
      <c r="E133" s="255">
        <v>3</v>
      </c>
      <c r="F133" s="1987">
        <v>0</v>
      </c>
      <c r="G133" s="1988">
        <f t="shared" si="5"/>
        <v>0</v>
      </c>
    </row>
    <row r="134" spans="2:7" s="136" customFormat="1" x14ac:dyDescent="0.2">
      <c r="B134" s="135"/>
      <c r="C134" s="259" t="s">
        <v>211</v>
      </c>
      <c r="D134" s="254" t="s">
        <v>149</v>
      </c>
      <c r="E134" s="255">
        <v>3</v>
      </c>
      <c r="F134" s="1987">
        <v>0</v>
      </c>
      <c r="G134" s="1988">
        <f t="shared" si="5"/>
        <v>0</v>
      </c>
    </row>
    <row r="135" spans="2:7" s="136" customFormat="1" x14ac:dyDescent="0.2">
      <c r="B135" s="135"/>
      <c r="C135" s="259" t="s">
        <v>212</v>
      </c>
      <c r="D135" s="254" t="s">
        <v>149</v>
      </c>
      <c r="E135" s="255">
        <v>3</v>
      </c>
      <c r="F135" s="1987">
        <v>0</v>
      </c>
      <c r="G135" s="1988">
        <f t="shared" si="5"/>
        <v>0</v>
      </c>
    </row>
    <row r="136" spans="2:7" s="136" customFormat="1" x14ac:dyDescent="0.2">
      <c r="B136" s="135"/>
      <c r="C136" s="259" t="s">
        <v>213</v>
      </c>
      <c r="D136" s="254" t="s">
        <v>149</v>
      </c>
      <c r="E136" s="255">
        <v>3</v>
      </c>
      <c r="F136" s="1987">
        <v>0</v>
      </c>
      <c r="G136" s="1988">
        <f t="shared" si="5"/>
        <v>0</v>
      </c>
    </row>
    <row r="137" spans="2:7" s="136" customFormat="1" x14ac:dyDescent="0.2">
      <c r="B137" s="135"/>
      <c r="C137" s="259" t="s">
        <v>214</v>
      </c>
      <c r="D137" s="254" t="s">
        <v>149</v>
      </c>
      <c r="E137" s="255">
        <v>3</v>
      </c>
      <c r="F137" s="1987">
        <v>0</v>
      </c>
      <c r="G137" s="1988">
        <f t="shared" si="5"/>
        <v>0</v>
      </c>
    </row>
    <row r="138" spans="2:7" s="136" customFormat="1" x14ac:dyDescent="0.2">
      <c r="B138" s="135"/>
      <c r="C138" s="259" t="s">
        <v>215</v>
      </c>
      <c r="D138" s="254" t="s">
        <v>149</v>
      </c>
      <c r="E138" s="255">
        <v>3</v>
      </c>
      <c r="F138" s="1987">
        <v>0</v>
      </c>
      <c r="G138" s="1988">
        <f t="shared" si="5"/>
        <v>0</v>
      </c>
    </row>
    <row r="139" spans="2:7" s="136" customFormat="1" x14ac:dyDescent="0.2">
      <c r="B139" s="135"/>
      <c r="C139" s="260" t="s">
        <v>216</v>
      </c>
      <c r="D139" s="254" t="s">
        <v>149</v>
      </c>
      <c r="E139" s="255">
        <v>3</v>
      </c>
      <c r="F139" s="1987">
        <v>0</v>
      </c>
      <c r="G139" s="1988">
        <f t="shared" si="5"/>
        <v>0</v>
      </c>
    </row>
    <row r="140" spans="2:7" s="136" customFormat="1" x14ac:dyDescent="0.2">
      <c r="B140" s="135"/>
      <c r="C140" s="260" t="s">
        <v>217</v>
      </c>
      <c r="D140" s="254" t="s">
        <v>149</v>
      </c>
      <c r="E140" s="255">
        <v>3</v>
      </c>
      <c r="F140" s="1987">
        <v>0</v>
      </c>
      <c r="G140" s="1988">
        <f t="shared" si="5"/>
        <v>0</v>
      </c>
    </row>
    <row r="141" spans="2:7" s="136" customFormat="1" x14ac:dyDescent="0.2">
      <c r="B141" s="135"/>
      <c r="C141" s="260" t="s">
        <v>195</v>
      </c>
      <c r="D141" s="254" t="s">
        <v>149</v>
      </c>
      <c r="E141" s="255">
        <v>6</v>
      </c>
      <c r="F141" s="1987">
        <v>0</v>
      </c>
      <c r="G141" s="1988">
        <f t="shared" si="5"/>
        <v>0</v>
      </c>
    </row>
    <row r="142" spans="2:7" s="136" customFormat="1" x14ac:dyDescent="0.2">
      <c r="B142" s="135"/>
      <c r="C142" s="260" t="s">
        <v>218</v>
      </c>
      <c r="D142" s="254" t="s">
        <v>149</v>
      </c>
      <c r="E142" s="255">
        <v>6</v>
      </c>
      <c r="F142" s="1987">
        <v>0</v>
      </c>
      <c r="G142" s="1988">
        <f t="shared" si="5"/>
        <v>0</v>
      </c>
    </row>
    <row r="143" spans="2:7" s="136" customFormat="1" x14ac:dyDescent="0.2">
      <c r="B143" s="135"/>
      <c r="C143" s="260" t="s">
        <v>219</v>
      </c>
      <c r="D143" s="254" t="s">
        <v>149</v>
      </c>
      <c r="E143" s="255">
        <v>3</v>
      </c>
      <c r="F143" s="1987">
        <v>0</v>
      </c>
      <c r="G143" s="1988">
        <f t="shared" si="5"/>
        <v>0</v>
      </c>
    </row>
    <row r="144" spans="2:7" s="136" customFormat="1" x14ac:dyDescent="0.2">
      <c r="B144" s="135"/>
      <c r="C144" s="261" t="s">
        <v>198</v>
      </c>
      <c r="D144" s="254" t="s">
        <v>149</v>
      </c>
      <c r="E144" s="255">
        <v>3</v>
      </c>
      <c r="F144" s="1987">
        <v>0</v>
      </c>
      <c r="G144" s="1988">
        <f t="shared" si="5"/>
        <v>0</v>
      </c>
    </row>
    <row r="145" spans="2:7" s="136" customFormat="1" x14ac:dyDescent="0.2">
      <c r="B145" s="292" t="s">
        <v>220</v>
      </c>
      <c r="C145" s="238" t="s">
        <v>221</v>
      </c>
      <c r="D145" s="239"/>
      <c r="E145" s="240"/>
      <c r="F145" s="1971"/>
      <c r="G145" s="1972"/>
    </row>
    <row r="146" spans="2:7" s="136" customFormat="1" x14ac:dyDescent="0.2">
      <c r="B146" s="135"/>
      <c r="C146" s="238" t="s">
        <v>222</v>
      </c>
      <c r="D146" s="476"/>
      <c r="E146" s="477"/>
      <c r="F146" s="1973"/>
      <c r="G146" s="1974"/>
    </row>
    <row r="147" spans="2:7" s="136" customFormat="1" x14ac:dyDescent="0.2">
      <c r="B147" s="135"/>
      <c r="C147" s="243" t="s">
        <v>207</v>
      </c>
      <c r="D147" s="239" t="s">
        <v>149</v>
      </c>
      <c r="E147" s="240">
        <v>4</v>
      </c>
      <c r="F147" s="1975">
        <v>0</v>
      </c>
      <c r="G147" s="1976">
        <f t="shared" ref="G147:G157" si="6">E147*F147</f>
        <v>0</v>
      </c>
    </row>
    <row r="148" spans="2:7" s="136" customFormat="1" ht="24" customHeight="1" x14ac:dyDescent="0.2">
      <c r="B148" s="135"/>
      <c r="C148" s="244" t="s">
        <v>223</v>
      </c>
      <c r="D148" s="239" t="s">
        <v>149</v>
      </c>
      <c r="E148" s="240">
        <v>4</v>
      </c>
      <c r="F148" s="1975">
        <v>0</v>
      </c>
      <c r="G148" s="1976">
        <f t="shared" si="6"/>
        <v>0</v>
      </c>
    </row>
    <row r="149" spans="2:7" s="136" customFormat="1" x14ac:dyDescent="0.2">
      <c r="B149" s="135"/>
      <c r="C149" s="244" t="s">
        <v>213</v>
      </c>
      <c r="D149" s="239" t="s">
        <v>149</v>
      </c>
      <c r="E149" s="240">
        <v>4</v>
      </c>
      <c r="F149" s="1975">
        <v>0</v>
      </c>
      <c r="G149" s="1976">
        <f t="shared" si="6"/>
        <v>0</v>
      </c>
    </row>
    <row r="150" spans="2:7" s="136" customFormat="1" x14ac:dyDescent="0.2">
      <c r="B150" s="135"/>
      <c r="C150" s="244" t="s">
        <v>224</v>
      </c>
      <c r="D150" s="239" t="s">
        <v>149</v>
      </c>
      <c r="E150" s="240">
        <v>4</v>
      </c>
      <c r="F150" s="1975">
        <v>0</v>
      </c>
      <c r="G150" s="1976">
        <f t="shared" si="6"/>
        <v>0</v>
      </c>
    </row>
    <row r="151" spans="2:7" s="136" customFormat="1" x14ac:dyDescent="0.2">
      <c r="B151" s="135"/>
      <c r="C151" s="244" t="s">
        <v>225</v>
      </c>
      <c r="D151" s="239" t="s">
        <v>149</v>
      </c>
      <c r="E151" s="240">
        <v>4</v>
      </c>
      <c r="F151" s="1975">
        <v>0</v>
      </c>
      <c r="G151" s="1976">
        <f t="shared" si="6"/>
        <v>0</v>
      </c>
    </row>
    <row r="152" spans="2:7" s="136" customFormat="1" x14ac:dyDescent="0.2">
      <c r="B152" s="135"/>
      <c r="C152" s="245" t="s">
        <v>226</v>
      </c>
      <c r="D152" s="239" t="s">
        <v>149</v>
      </c>
      <c r="E152" s="240">
        <v>4</v>
      </c>
      <c r="F152" s="1975">
        <v>0</v>
      </c>
      <c r="G152" s="1976">
        <f t="shared" si="6"/>
        <v>0</v>
      </c>
    </row>
    <row r="153" spans="2:7" s="136" customFormat="1" x14ac:dyDescent="0.2">
      <c r="B153" s="135"/>
      <c r="C153" s="245" t="s">
        <v>217</v>
      </c>
      <c r="D153" s="239" t="s">
        <v>149</v>
      </c>
      <c r="E153" s="240">
        <v>4</v>
      </c>
      <c r="F153" s="1975">
        <v>0</v>
      </c>
      <c r="G153" s="1976">
        <f t="shared" si="6"/>
        <v>0</v>
      </c>
    </row>
    <row r="154" spans="2:7" s="136" customFormat="1" x14ac:dyDescent="0.2">
      <c r="B154" s="135"/>
      <c r="C154" s="245" t="s">
        <v>195</v>
      </c>
      <c r="D154" s="239" t="s">
        <v>149</v>
      </c>
      <c r="E154" s="240">
        <v>8</v>
      </c>
      <c r="F154" s="1975">
        <v>0</v>
      </c>
      <c r="G154" s="1976">
        <f t="shared" si="6"/>
        <v>0</v>
      </c>
    </row>
    <row r="155" spans="2:7" s="136" customFormat="1" x14ac:dyDescent="0.2">
      <c r="B155" s="135"/>
      <c r="C155" s="245" t="s">
        <v>218</v>
      </c>
      <c r="D155" s="239" t="s">
        <v>149</v>
      </c>
      <c r="E155" s="240">
        <v>8</v>
      </c>
      <c r="F155" s="1975">
        <v>0</v>
      </c>
      <c r="G155" s="1976">
        <f t="shared" si="6"/>
        <v>0</v>
      </c>
    </row>
    <row r="156" spans="2:7" s="136" customFormat="1" x14ac:dyDescent="0.2">
      <c r="B156" s="135"/>
      <c r="C156" s="245" t="s">
        <v>227</v>
      </c>
      <c r="D156" s="239" t="s">
        <v>149</v>
      </c>
      <c r="E156" s="240">
        <v>4</v>
      </c>
      <c r="F156" s="1975">
        <v>0</v>
      </c>
      <c r="G156" s="1976">
        <f t="shared" si="6"/>
        <v>0</v>
      </c>
    </row>
    <row r="157" spans="2:7" s="136" customFormat="1" x14ac:dyDescent="0.2">
      <c r="B157" s="135"/>
      <c r="C157" s="246" t="s">
        <v>198</v>
      </c>
      <c r="D157" s="239" t="s">
        <v>149</v>
      </c>
      <c r="E157" s="240">
        <v>4</v>
      </c>
      <c r="F157" s="1975">
        <v>0</v>
      </c>
      <c r="G157" s="1976">
        <f t="shared" si="6"/>
        <v>0</v>
      </c>
    </row>
    <row r="158" spans="2:7" ht="30" customHeight="1" x14ac:dyDescent="0.2">
      <c r="B158" s="309" t="s">
        <v>228</v>
      </c>
      <c r="C158" s="238" t="s">
        <v>229</v>
      </c>
      <c r="D158" s="239" t="s">
        <v>149</v>
      </c>
      <c r="E158" s="240">
        <v>7</v>
      </c>
      <c r="F158" s="1975">
        <v>0</v>
      </c>
      <c r="G158" s="1976">
        <f>E158*F158</f>
        <v>0</v>
      </c>
    </row>
    <row r="159" spans="2:7" s="136" customFormat="1" x14ac:dyDescent="0.2">
      <c r="B159" s="292" t="s">
        <v>230</v>
      </c>
      <c r="C159" s="253" t="s">
        <v>231</v>
      </c>
      <c r="D159" s="254"/>
      <c r="E159" s="255"/>
      <c r="F159" s="1983"/>
      <c r="G159" s="1984"/>
    </row>
    <row r="160" spans="2:7" s="136" customFormat="1" x14ac:dyDescent="0.2">
      <c r="B160" s="135"/>
      <c r="C160" s="253" t="s">
        <v>232</v>
      </c>
      <c r="D160" s="482"/>
      <c r="E160" s="483"/>
      <c r="F160" s="1985"/>
      <c r="G160" s="1986"/>
    </row>
    <row r="161" spans="2:7" s="136" customFormat="1" ht="27.75" customHeight="1" x14ac:dyDescent="0.2">
      <c r="B161" s="135"/>
      <c r="C161" s="258" t="s">
        <v>233</v>
      </c>
      <c r="D161" s="254" t="s">
        <v>149</v>
      </c>
      <c r="E161" s="255">
        <v>1</v>
      </c>
      <c r="F161" s="1987">
        <v>0</v>
      </c>
      <c r="G161" s="1988">
        <f t="shared" ref="G161:G165" si="7">E161*F161</f>
        <v>0</v>
      </c>
    </row>
    <row r="162" spans="2:7" s="136" customFormat="1" x14ac:dyDescent="0.2">
      <c r="B162" s="135"/>
      <c r="C162" s="260" t="s">
        <v>195</v>
      </c>
      <c r="D162" s="254" t="s">
        <v>149</v>
      </c>
      <c r="E162" s="255">
        <v>3</v>
      </c>
      <c r="F162" s="1987">
        <v>0</v>
      </c>
      <c r="G162" s="1988">
        <f t="shared" si="7"/>
        <v>0</v>
      </c>
    </row>
    <row r="163" spans="2:7" s="136" customFormat="1" x14ac:dyDescent="0.2">
      <c r="B163" s="135"/>
      <c r="C163" s="260" t="s">
        <v>218</v>
      </c>
      <c r="D163" s="254" t="s">
        <v>149</v>
      </c>
      <c r="E163" s="255">
        <v>3</v>
      </c>
      <c r="F163" s="1987">
        <v>0</v>
      </c>
      <c r="G163" s="1988">
        <f t="shared" si="7"/>
        <v>0</v>
      </c>
    </row>
    <row r="164" spans="2:7" s="136" customFormat="1" x14ac:dyDescent="0.2">
      <c r="B164" s="135"/>
      <c r="C164" s="260" t="s">
        <v>227</v>
      </c>
      <c r="D164" s="254" t="s">
        <v>149</v>
      </c>
      <c r="E164" s="255">
        <v>1</v>
      </c>
      <c r="F164" s="1987">
        <v>0</v>
      </c>
      <c r="G164" s="1988">
        <f t="shared" si="7"/>
        <v>0</v>
      </c>
    </row>
    <row r="165" spans="2:7" s="136" customFormat="1" x14ac:dyDescent="0.2">
      <c r="B165" s="135"/>
      <c r="C165" s="261" t="s">
        <v>198</v>
      </c>
      <c r="D165" s="254" t="s">
        <v>149</v>
      </c>
      <c r="E165" s="255">
        <v>1</v>
      </c>
      <c r="F165" s="1987">
        <v>0</v>
      </c>
      <c r="G165" s="1988">
        <f t="shared" si="7"/>
        <v>0</v>
      </c>
    </row>
    <row r="166" spans="2:7" s="136" customFormat="1" x14ac:dyDescent="0.2">
      <c r="B166" s="135"/>
      <c r="C166" s="253" t="s">
        <v>234</v>
      </c>
      <c r="D166" s="482"/>
      <c r="E166" s="483"/>
      <c r="F166" s="1985"/>
      <c r="G166" s="1986"/>
    </row>
    <row r="167" spans="2:7" s="136" customFormat="1" ht="25.5" customHeight="1" x14ac:dyDescent="0.2">
      <c r="B167" s="135"/>
      <c r="C167" s="258" t="s">
        <v>233</v>
      </c>
      <c r="D167" s="254" t="s">
        <v>149</v>
      </c>
      <c r="E167" s="255">
        <v>1</v>
      </c>
      <c r="F167" s="1987">
        <v>0</v>
      </c>
      <c r="G167" s="1988">
        <f t="shared" ref="G167:G173" si="8">E167*F167</f>
        <v>0</v>
      </c>
    </row>
    <row r="168" spans="2:7" s="136" customFormat="1" x14ac:dyDescent="0.2">
      <c r="B168" s="135"/>
      <c r="C168" s="260" t="s">
        <v>195</v>
      </c>
      <c r="D168" s="254" t="s">
        <v>149</v>
      </c>
      <c r="E168" s="255">
        <v>2</v>
      </c>
      <c r="F168" s="1987">
        <v>0</v>
      </c>
      <c r="G168" s="1988">
        <f t="shared" si="8"/>
        <v>0</v>
      </c>
    </row>
    <row r="169" spans="2:7" s="136" customFormat="1" x14ac:dyDescent="0.2">
      <c r="B169" s="135"/>
      <c r="C169" s="260" t="s">
        <v>235</v>
      </c>
      <c r="D169" s="254" t="s">
        <v>149</v>
      </c>
      <c r="E169" s="255">
        <v>1</v>
      </c>
      <c r="F169" s="1987">
        <v>0</v>
      </c>
      <c r="G169" s="1988">
        <f t="shared" si="8"/>
        <v>0</v>
      </c>
    </row>
    <row r="170" spans="2:7" s="136" customFormat="1" x14ac:dyDescent="0.2">
      <c r="B170" s="135"/>
      <c r="C170" s="260" t="s">
        <v>218</v>
      </c>
      <c r="D170" s="254" t="s">
        <v>149</v>
      </c>
      <c r="E170" s="255">
        <v>2</v>
      </c>
      <c r="F170" s="1987">
        <v>0</v>
      </c>
      <c r="G170" s="1988">
        <f t="shared" si="8"/>
        <v>0</v>
      </c>
    </row>
    <row r="171" spans="2:7" s="136" customFormat="1" x14ac:dyDescent="0.2">
      <c r="B171" s="135"/>
      <c r="C171" s="260" t="s">
        <v>236</v>
      </c>
      <c r="D171" s="254" t="s">
        <v>149</v>
      </c>
      <c r="E171" s="255">
        <v>1</v>
      </c>
      <c r="F171" s="1987">
        <v>0</v>
      </c>
      <c r="G171" s="1988">
        <f t="shared" si="8"/>
        <v>0</v>
      </c>
    </row>
    <row r="172" spans="2:7" s="136" customFormat="1" x14ac:dyDescent="0.2">
      <c r="B172" s="135"/>
      <c r="C172" s="260" t="s">
        <v>227</v>
      </c>
      <c r="D172" s="254" t="s">
        <v>149</v>
      </c>
      <c r="E172" s="255">
        <v>1</v>
      </c>
      <c r="F172" s="1987">
        <v>0</v>
      </c>
      <c r="G172" s="1988">
        <f t="shared" si="8"/>
        <v>0</v>
      </c>
    </row>
    <row r="173" spans="2:7" s="136" customFormat="1" x14ac:dyDescent="0.2">
      <c r="B173" s="135"/>
      <c r="C173" s="261" t="s">
        <v>198</v>
      </c>
      <c r="D173" s="254" t="s">
        <v>149</v>
      </c>
      <c r="E173" s="255">
        <v>1</v>
      </c>
      <c r="F173" s="1987">
        <v>0</v>
      </c>
      <c r="G173" s="1988">
        <f t="shared" si="8"/>
        <v>0</v>
      </c>
    </row>
    <row r="174" spans="2:7" s="136" customFormat="1" x14ac:dyDescent="0.2">
      <c r="B174" s="135"/>
      <c r="C174" s="253" t="s">
        <v>237</v>
      </c>
      <c r="D174" s="482"/>
      <c r="E174" s="483"/>
      <c r="F174" s="1985"/>
      <c r="G174" s="1986"/>
    </row>
    <row r="175" spans="2:7" s="136" customFormat="1" ht="28.5" customHeight="1" x14ac:dyDescent="0.2">
      <c r="B175" s="135"/>
      <c r="C175" s="258" t="s">
        <v>238</v>
      </c>
      <c r="D175" s="254" t="s">
        <v>149</v>
      </c>
      <c r="E175" s="255">
        <v>2</v>
      </c>
      <c r="F175" s="1987">
        <v>0</v>
      </c>
      <c r="G175" s="1988">
        <f t="shared" ref="G175:G183" si="9">E175*F175</f>
        <v>0</v>
      </c>
    </row>
    <row r="176" spans="2:7" s="136" customFormat="1" x14ac:dyDescent="0.2">
      <c r="B176" s="135"/>
      <c r="C176" s="260" t="s">
        <v>195</v>
      </c>
      <c r="D176" s="254" t="s">
        <v>149</v>
      </c>
      <c r="E176" s="255">
        <v>4</v>
      </c>
      <c r="F176" s="1987">
        <v>0</v>
      </c>
      <c r="G176" s="1988">
        <f t="shared" si="9"/>
        <v>0</v>
      </c>
    </row>
    <row r="177" spans="2:7" s="136" customFormat="1" x14ac:dyDescent="0.2">
      <c r="B177" s="135"/>
      <c r="C177" s="260" t="s">
        <v>239</v>
      </c>
      <c r="D177" s="254" t="s">
        <v>149</v>
      </c>
      <c r="E177" s="255">
        <v>2</v>
      </c>
      <c r="F177" s="1987">
        <v>0</v>
      </c>
      <c r="G177" s="1988">
        <f t="shared" si="9"/>
        <v>0</v>
      </c>
    </row>
    <row r="178" spans="2:7" s="136" customFormat="1" x14ac:dyDescent="0.2">
      <c r="B178" s="135"/>
      <c r="C178" s="260" t="s">
        <v>218</v>
      </c>
      <c r="D178" s="254" t="s">
        <v>149</v>
      </c>
      <c r="E178" s="255">
        <v>4</v>
      </c>
      <c r="F178" s="1987">
        <v>0</v>
      </c>
      <c r="G178" s="1988">
        <f t="shared" si="9"/>
        <v>0</v>
      </c>
    </row>
    <row r="179" spans="2:7" s="136" customFormat="1" x14ac:dyDescent="0.2">
      <c r="B179" s="135"/>
      <c r="C179" s="260" t="s">
        <v>240</v>
      </c>
      <c r="D179" s="254" t="s">
        <v>149</v>
      </c>
      <c r="E179" s="255">
        <v>2</v>
      </c>
      <c r="F179" s="1987">
        <v>0</v>
      </c>
      <c r="G179" s="1988">
        <f t="shared" si="9"/>
        <v>0</v>
      </c>
    </row>
    <row r="180" spans="2:7" s="136" customFormat="1" x14ac:dyDescent="0.2">
      <c r="B180" s="135"/>
      <c r="C180" s="260" t="s">
        <v>241</v>
      </c>
      <c r="D180" s="254" t="s">
        <v>149</v>
      </c>
      <c r="E180" s="255">
        <v>2</v>
      </c>
      <c r="F180" s="1987">
        <v>0</v>
      </c>
      <c r="G180" s="1988">
        <f t="shared" si="9"/>
        <v>0</v>
      </c>
    </row>
    <row r="181" spans="2:7" s="136" customFormat="1" x14ac:dyDescent="0.2">
      <c r="B181" s="135"/>
      <c r="C181" s="260" t="s">
        <v>242</v>
      </c>
      <c r="D181" s="254" t="s">
        <v>149</v>
      </c>
      <c r="E181" s="255">
        <v>2</v>
      </c>
      <c r="F181" s="1987">
        <v>0</v>
      </c>
      <c r="G181" s="1988">
        <f t="shared" si="9"/>
        <v>0</v>
      </c>
    </row>
    <row r="182" spans="2:7" s="136" customFormat="1" x14ac:dyDescent="0.2">
      <c r="B182" s="135"/>
      <c r="C182" s="260" t="s">
        <v>227</v>
      </c>
      <c r="D182" s="254" t="s">
        <v>149</v>
      </c>
      <c r="E182" s="255">
        <v>2</v>
      </c>
      <c r="F182" s="1987">
        <v>0</v>
      </c>
      <c r="G182" s="1988">
        <f t="shared" si="9"/>
        <v>0</v>
      </c>
    </row>
    <row r="183" spans="2:7" s="136" customFormat="1" x14ac:dyDescent="0.2">
      <c r="B183" s="135"/>
      <c r="C183" s="261" t="s">
        <v>198</v>
      </c>
      <c r="D183" s="254" t="s">
        <v>149</v>
      </c>
      <c r="E183" s="255">
        <v>2</v>
      </c>
      <c r="F183" s="1987">
        <v>0</v>
      </c>
      <c r="G183" s="1988">
        <f t="shared" si="9"/>
        <v>0</v>
      </c>
    </row>
    <row r="184" spans="2:7" s="136" customFormat="1" x14ac:dyDescent="0.2">
      <c r="B184" s="292" t="s">
        <v>243</v>
      </c>
      <c r="C184" s="247" t="s">
        <v>244</v>
      </c>
      <c r="D184" s="202"/>
      <c r="E184" s="248"/>
      <c r="F184" s="1977"/>
      <c r="G184" s="1978"/>
    </row>
    <row r="185" spans="2:7" s="136" customFormat="1" x14ac:dyDescent="0.2">
      <c r="B185" s="135"/>
      <c r="C185" s="247" t="s">
        <v>245</v>
      </c>
      <c r="D185" s="214"/>
      <c r="E185" s="480"/>
      <c r="F185" s="1979"/>
      <c r="G185" s="1980"/>
    </row>
    <row r="186" spans="2:7" s="136" customFormat="1" ht="39" customHeight="1" x14ac:dyDescent="0.2">
      <c r="B186" s="135"/>
      <c r="C186" s="262" t="s">
        <v>246</v>
      </c>
      <c r="D186" s="202" t="s">
        <v>149</v>
      </c>
      <c r="E186" s="248">
        <v>1</v>
      </c>
      <c r="F186" s="1981">
        <v>0</v>
      </c>
      <c r="G186" s="1982">
        <f t="shared" ref="G186:G192" si="10">E186*F186</f>
        <v>0</v>
      </c>
    </row>
    <row r="187" spans="2:7" s="136" customFormat="1" x14ac:dyDescent="0.2">
      <c r="B187" s="135"/>
      <c r="C187" s="251" t="s">
        <v>247</v>
      </c>
      <c r="D187" s="202" t="s">
        <v>149</v>
      </c>
      <c r="E187" s="248">
        <v>1</v>
      </c>
      <c r="F187" s="1981">
        <v>0</v>
      </c>
      <c r="G187" s="1982">
        <f t="shared" si="10"/>
        <v>0</v>
      </c>
    </row>
    <row r="188" spans="2:7" s="136" customFormat="1" x14ac:dyDescent="0.2">
      <c r="B188" s="135"/>
      <c r="C188" s="263" t="s">
        <v>248</v>
      </c>
      <c r="D188" s="202" t="s">
        <v>149</v>
      </c>
      <c r="E188" s="248">
        <v>1</v>
      </c>
      <c r="F188" s="1981">
        <v>0</v>
      </c>
      <c r="G188" s="1982">
        <f t="shared" si="10"/>
        <v>0</v>
      </c>
    </row>
    <row r="189" spans="2:7" s="136" customFormat="1" x14ac:dyDescent="0.2">
      <c r="B189" s="135"/>
      <c r="C189" s="247" t="s">
        <v>249</v>
      </c>
      <c r="D189" s="214"/>
      <c r="E189" s="480"/>
      <c r="F189" s="1979"/>
      <c r="G189" s="1980"/>
    </row>
    <row r="190" spans="2:7" s="136" customFormat="1" ht="39.75" customHeight="1" x14ac:dyDescent="0.2">
      <c r="B190" s="135"/>
      <c r="C190" s="262" t="s">
        <v>250</v>
      </c>
      <c r="D190" s="202" t="s">
        <v>149</v>
      </c>
      <c r="E190" s="248">
        <v>21</v>
      </c>
      <c r="F190" s="1981">
        <v>0</v>
      </c>
      <c r="G190" s="1982">
        <f t="shared" si="10"/>
        <v>0</v>
      </c>
    </row>
    <row r="191" spans="2:7" s="136" customFormat="1" x14ac:dyDescent="0.2">
      <c r="B191" s="135"/>
      <c r="C191" s="251" t="s">
        <v>247</v>
      </c>
      <c r="D191" s="202" t="s">
        <v>149</v>
      </c>
      <c r="E191" s="248">
        <v>21</v>
      </c>
      <c r="F191" s="1981">
        <v>0</v>
      </c>
      <c r="G191" s="1982">
        <f t="shared" si="10"/>
        <v>0</v>
      </c>
    </row>
    <row r="192" spans="2:7" s="136" customFormat="1" x14ac:dyDescent="0.2">
      <c r="B192" s="135"/>
      <c r="C192" s="252" t="s">
        <v>198</v>
      </c>
      <c r="D192" s="202" t="s">
        <v>149</v>
      </c>
      <c r="E192" s="248">
        <v>21</v>
      </c>
      <c r="F192" s="1981">
        <v>0</v>
      </c>
      <c r="G192" s="1982">
        <f t="shared" si="10"/>
        <v>0</v>
      </c>
    </row>
    <row r="193" spans="2:7" s="136" customFormat="1" x14ac:dyDescent="0.2">
      <c r="B193" s="292" t="s">
        <v>251</v>
      </c>
      <c r="C193" s="253" t="s">
        <v>252</v>
      </c>
      <c r="D193" s="254"/>
      <c r="E193" s="255"/>
      <c r="F193" s="1983"/>
      <c r="G193" s="1984"/>
    </row>
    <row r="194" spans="2:7" s="136" customFormat="1" x14ac:dyDescent="0.2">
      <c r="B194" s="135"/>
      <c r="C194" s="253" t="s">
        <v>253</v>
      </c>
      <c r="D194" s="482" t="s">
        <v>149</v>
      </c>
      <c r="E194" s="483"/>
      <c r="F194" s="1985"/>
      <c r="G194" s="1986"/>
    </row>
    <row r="195" spans="2:7" s="136" customFormat="1" x14ac:dyDescent="0.2">
      <c r="B195" s="135"/>
      <c r="C195" s="258" t="s">
        <v>254</v>
      </c>
      <c r="D195" s="254" t="s">
        <v>149</v>
      </c>
      <c r="E195" s="255">
        <v>4</v>
      </c>
      <c r="F195" s="1987">
        <v>0</v>
      </c>
      <c r="G195" s="1988">
        <f t="shared" ref="G195:G213" si="11">E195*F195</f>
        <v>0</v>
      </c>
    </row>
    <row r="196" spans="2:7" s="136" customFormat="1" x14ac:dyDescent="0.2">
      <c r="B196" s="135"/>
      <c r="C196" s="258" t="s">
        <v>255</v>
      </c>
      <c r="D196" s="254" t="s">
        <v>149</v>
      </c>
      <c r="E196" s="255">
        <v>4</v>
      </c>
      <c r="F196" s="1987">
        <v>0</v>
      </c>
      <c r="G196" s="1988">
        <f t="shared" si="11"/>
        <v>0</v>
      </c>
    </row>
    <row r="197" spans="2:7" s="136" customFormat="1" x14ac:dyDescent="0.2">
      <c r="B197" s="135"/>
      <c r="C197" s="258" t="s">
        <v>256</v>
      </c>
      <c r="D197" s="254" t="s">
        <v>149</v>
      </c>
      <c r="E197" s="255">
        <v>4</v>
      </c>
      <c r="F197" s="1987">
        <v>0</v>
      </c>
      <c r="G197" s="1988">
        <f t="shared" si="11"/>
        <v>0</v>
      </c>
    </row>
    <row r="198" spans="2:7" s="136" customFormat="1" x14ac:dyDescent="0.2">
      <c r="B198" s="135"/>
      <c r="C198" s="258" t="s">
        <v>208</v>
      </c>
      <c r="D198" s="254" t="s">
        <v>149</v>
      </c>
      <c r="E198" s="255">
        <v>4</v>
      </c>
      <c r="F198" s="1987">
        <v>0</v>
      </c>
      <c r="G198" s="1988">
        <f t="shared" si="11"/>
        <v>0</v>
      </c>
    </row>
    <row r="199" spans="2:7" s="136" customFormat="1" x14ac:dyDescent="0.2">
      <c r="B199" s="135"/>
      <c r="C199" s="258" t="s">
        <v>257</v>
      </c>
      <c r="D199" s="254" t="s">
        <v>149</v>
      </c>
      <c r="E199" s="255">
        <v>4</v>
      </c>
      <c r="F199" s="1987">
        <v>0</v>
      </c>
      <c r="G199" s="1988">
        <f t="shared" si="11"/>
        <v>0</v>
      </c>
    </row>
    <row r="200" spans="2:7" s="136" customFormat="1" ht="12.75" customHeight="1" x14ac:dyDescent="0.2">
      <c r="B200" s="135"/>
      <c r="C200" s="258" t="s">
        <v>258</v>
      </c>
      <c r="D200" s="254" t="s">
        <v>149</v>
      </c>
      <c r="E200" s="255">
        <v>4</v>
      </c>
      <c r="F200" s="1987">
        <v>0</v>
      </c>
      <c r="G200" s="1988">
        <f t="shared" si="11"/>
        <v>0</v>
      </c>
    </row>
    <row r="201" spans="2:7" s="136" customFormat="1" ht="12.75" customHeight="1" x14ac:dyDescent="0.2">
      <c r="B201" s="135"/>
      <c r="C201" s="258" t="s">
        <v>259</v>
      </c>
      <c r="D201" s="254" t="s">
        <v>149</v>
      </c>
      <c r="E201" s="255">
        <v>2</v>
      </c>
      <c r="F201" s="1987">
        <v>0</v>
      </c>
      <c r="G201" s="1988">
        <f t="shared" si="11"/>
        <v>0</v>
      </c>
    </row>
    <row r="202" spans="2:7" s="136" customFormat="1" ht="12.75" customHeight="1" x14ac:dyDescent="0.2">
      <c r="B202" s="135"/>
      <c r="C202" s="259" t="s">
        <v>260</v>
      </c>
      <c r="D202" s="254" t="s">
        <v>149</v>
      </c>
      <c r="E202" s="255">
        <v>2</v>
      </c>
      <c r="F202" s="1987">
        <v>0</v>
      </c>
      <c r="G202" s="1988">
        <f t="shared" si="11"/>
        <v>0</v>
      </c>
    </row>
    <row r="203" spans="2:7" s="136" customFormat="1" x14ac:dyDescent="0.2">
      <c r="B203" s="135"/>
      <c r="C203" s="259" t="s">
        <v>261</v>
      </c>
      <c r="D203" s="254" t="s">
        <v>149</v>
      </c>
      <c r="E203" s="255">
        <v>2</v>
      </c>
      <c r="F203" s="1987">
        <v>0</v>
      </c>
      <c r="G203" s="1988">
        <f t="shared" si="11"/>
        <v>0</v>
      </c>
    </row>
    <row r="204" spans="2:7" s="136" customFormat="1" x14ac:dyDescent="0.2">
      <c r="B204" s="135"/>
      <c r="C204" s="259" t="s">
        <v>262</v>
      </c>
      <c r="D204" s="254" t="s">
        <v>149</v>
      </c>
      <c r="E204" s="255">
        <v>2</v>
      </c>
      <c r="F204" s="1987">
        <v>0</v>
      </c>
      <c r="G204" s="1988">
        <f t="shared" si="11"/>
        <v>0</v>
      </c>
    </row>
    <row r="205" spans="2:7" s="136" customFormat="1" ht="14.25" customHeight="1" x14ac:dyDescent="0.2">
      <c r="B205" s="135"/>
      <c r="C205" s="259" t="s">
        <v>263</v>
      </c>
      <c r="D205" s="254" t="s">
        <v>149</v>
      </c>
      <c r="E205" s="255">
        <v>2</v>
      </c>
      <c r="F205" s="1987">
        <v>0</v>
      </c>
      <c r="G205" s="1988">
        <f t="shared" si="11"/>
        <v>0</v>
      </c>
    </row>
    <row r="206" spans="2:7" s="136" customFormat="1" x14ac:dyDescent="0.2">
      <c r="B206" s="135"/>
      <c r="C206" s="259" t="s">
        <v>264</v>
      </c>
      <c r="D206" s="254" t="s">
        <v>149</v>
      </c>
      <c r="E206" s="255">
        <v>2</v>
      </c>
      <c r="F206" s="1987">
        <v>0</v>
      </c>
      <c r="G206" s="1988">
        <f t="shared" si="11"/>
        <v>0</v>
      </c>
    </row>
    <row r="207" spans="2:7" s="136" customFormat="1" x14ac:dyDescent="0.2">
      <c r="B207" s="135"/>
      <c r="C207" s="260" t="s">
        <v>265</v>
      </c>
      <c r="D207" s="254" t="s">
        <v>149</v>
      </c>
      <c r="E207" s="255">
        <v>2</v>
      </c>
      <c r="F207" s="1987">
        <v>0</v>
      </c>
      <c r="G207" s="1988">
        <f t="shared" si="11"/>
        <v>0</v>
      </c>
    </row>
    <row r="208" spans="2:7" s="136" customFormat="1" x14ac:dyDescent="0.2">
      <c r="B208" s="135"/>
      <c r="C208" s="260" t="s">
        <v>266</v>
      </c>
      <c r="D208" s="254" t="s">
        <v>149</v>
      </c>
      <c r="E208" s="255">
        <v>2</v>
      </c>
      <c r="F208" s="1987">
        <v>0</v>
      </c>
      <c r="G208" s="1988">
        <f t="shared" si="11"/>
        <v>0</v>
      </c>
    </row>
    <row r="209" spans="2:7" s="136" customFormat="1" x14ac:dyDescent="0.2">
      <c r="B209" s="135"/>
      <c r="C209" s="258" t="s">
        <v>267</v>
      </c>
      <c r="D209" s="254" t="s">
        <v>149</v>
      </c>
      <c r="E209" s="255">
        <v>2</v>
      </c>
      <c r="F209" s="1987">
        <v>0</v>
      </c>
      <c r="G209" s="1988">
        <f t="shared" si="11"/>
        <v>0</v>
      </c>
    </row>
    <row r="210" spans="2:7" s="136" customFormat="1" x14ac:dyDescent="0.2">
      <c r="B210" s="135"/>
      <c r="C210" s="260" t="s">
        <v>268</v>
      </c>
      <c r="D210" s="254" t="s">
        <v>149</v>
      </c>
      <c r="E210" s="255">
        <v>4</v>
      </c>
      <c r="F210" s="1987">
        <v>0</v>
      </c>
      <c r="G210" s="1988">
        <f t="shared" si="11"/>
        <v>0</v>
      </c>
    </row>
    <row r="211" spans="2:7" s="136" customFormat="1" x14ac:dyDescent="0.2">
      <c r="B211" s="135"/>
      <c r="C211" s="260" t="s">
        <v>269</v>
      </c>
      <c r="D211" s="254" t="s">
        <v>149</v>
      </c>
      <c r="E211" s="255">
        <v>8</v>
      </c>
      <c r="F211" s="1987">
        <v>0</v>
      </c>
      <c r="G211" s="1988">
        <f t="shared" si="11"/>
        <v>0</v>
      </c>
    </row>
    <row r="212" spans="2:7" s="136" customFormat="1" x14ac:dyDescent="0.2">
      <c r="B212" s="135"/>
      <c r="C212" s="260" t="s">
        <v>227</v>
      </c>
      <c r="D212" s="254" t="s">
        <v>149</v>
      </c>
      <c r="E212" s="255">
        <v>4</v>
      </c>
      <c r="F212" s="1987">
        <v>0</v>
      </c>
      <c r="G212" s="1988">
        <f t="shared" si="11"/>
        <v>0</v>
      </c>
    </row>
    <row r="213" spans="2:7" s="136" customFormat="1" x14ac:dyDescent="0.2">
      <c r="B213" s="135"/>
      <c r="C213" s="261" t="s">
        <v>198</v>
      </c>
      <c r="D213" s="254" t="s">
        <v>149</v>
      </c>
      <c r="E213" s="255">
        <v>2</v>
      </c>
      <c r="F213" s="1987">
        <v>0</v>
      </c>
      <c r="G213" s="1988">
        <f t="shared" si="11"/>
        <v>0</v>
      </c>
    </row>
    <row r="214" spans="2:7" s="136" customFormat="1" x14ac:dyDescent="0.2">
      <c r="B214" s="292" t="s">
        <v>270</v>
      </c>
      <c r="C214" s="264" t="s">
        <v>271</v>
      </c>
      <c r="D214" s="231"/>
      <c r="E214" s="265"/>
      <c r="F214" s="1989"/>
      <c r="G214" s="1968"/>
    </row>
    <row r="215" spans="2:7" s="136" customFormat="1" x14ac:dyDescent="0.2">
      <c r="B215" s="135"/>
      <c r="C215" s="264" t="s">
        <v>272</v>
      </c>
      <c r="D215" s="486"/>
      <c r="E215" s="487"/>
      <c r="F215" s="1990"/>
      <c r="G215" s="1991"/>
    </row>
    <row r="216" spans="2:7" s="136" customFormat="1" x14ac:dyDescent="0.2">
      <c r="B216" s="135"/>
      <c r="C216" s="267" t="s">
        <v>256</v>
      </c>
      <c r="D216" s="231" t="s">
        <v>149</v>
      </c>
      <c r="E216" s="265">
        <v>4</v>
      </c>
      <c r="F216" s="1992">
        <v>0</v>
      </c>
      <c r="G216" s="1970">
        <f t="shared" ref="G216:G241" si="12">E216*F216</f>
        <v>0</v>
      </c>
    </row>
    <row r="217" spans="2:7" s="136" customFormat="1" x14ac:dyDescent="0.2">
      <c r="B217" s="135"/>
      <c r="C217" s="267" t="s">
        <v>208</v>
      </c>
      <c r="D217" s="231" t="s">
        <v>149</v>
      </c>
      <c r="E217" s="265">
        <v>2</v>
      </c>
      <c r="F217" s="1992">
        <v>0</v>
      </c>
      <c r="G217" s="1970">
        <f t="shared" si="12"/>
        <v>0</v>
      </c>
    </row>
    <row r="218" spans="2:7" s="136" customFormat="1" x14ac:dyDescent="0.2">
      <c r="B218" s="135"/>
      <c r="C218" s="267" t="s">
        <v>257</v>
      </c>
      <c r="D218" s="231" t="s">
        <v>149</v>
      </c>
      <c r="E218" s="265">
        <v>2</v>
      </c>
      <c r="F218" s="1992">
        <v>0</v>
      </c>
      <c r="G218" s="1970">
        <f t="shared" si="12"/>
        <v>0</v>
      </c>
    </row>
    <row r="219" spans="2:7" s="136" customFormat="1" ht="15" customHeight="1" x14ac:dyDescent="0.2">
      <c r="B219" s="135"/>
      <c r="C219" s="267" t="s">
        <v>273</v>
      </c>
      <c r="D219" s="231" t="s">
        <v>149</v>
      </c>
      <c r="E219" s="265">
        <v>2</v>
      </c>
      <c r="F219" s="1992">
        <v>0</v>
      </c>
      <c r="G219" s="1970">
        <f t="shared" si="12"/>
        <v>0</v>
      </c>
    </row>
    <row r="220" spans="2:7" s="136" customFormat="1" ht="15" customHeight="1" x14ac:dyDescent="0.2">
      <c r="B220" s="135"/>
      <c r="C220" s="267" t="s">
        <v>274</v>
      </c>
      <c r="D220" s="231" t="s">
        <v>149</v>
      </c>
      <c r="E220" s="265">
        <v>2</v>
      </c>
      <c r="F220" s="1992">
        <v>0</v>
      </c>
      <c r="G220" s="1970">
        <f t="shared" si="12"/>
        <v>0</v>
      </c>
    </row>
    <row r="221" spans="2:7" s="136" customFormat="1" ht="15" customHeight="1" x14ac:dyDescent="0.2">
      <c r="B221" s="135"/>
      <c r="C221" s="267" t="s">
        <v>275</v>
      </c>
      <c r="D221" s="231" t="s">
        <v>149</v>
      </c>
      <c r="E221" s="265">
        <v>1</v>
      </c>
      <c r="F221" s="1992">
        <v>0</v>
      </c>
      <c r="G221" s="1970">
        <f t="shared" si="12"/>
        <v>0</v>
      </c>
    </row>
    <row r="222" spans="2:7" s="136" customFormat="1" ht="12" customHeight="1" x14ac:dyDescent="0.2">
      <c r="B222" s="135"/>
      <c r="C222" s="268" t="s">
        <v>276</v>
      </c>
      <c r="D222" s="231" t="s">
        <v>149</v>
      </c>
      <c r="E222" s="265">
        <v>2</v>
      </c>
      <c r="F222" s="1992">
        <v>0</v>
      </c>
      <c r="G222" s="1970">
        <f t="shared" si="12"/>
        <v>0</v>
      </c>
    </row>
    <row r="223" spans="2:7" s="136" customFormat="1" ht="12.75" customHeight="1" x14ac:dyDescent="0.2">
      <c r="B223" s="135"/>
      <c r="C223" s="268" t="s">
        <v>277</v>
      </c>
      <c r="D223" s="231" t="s">
        <v>149</v>
      </c>
      <c r="E223" s="265">
        <v>1</v>
      </c>
      <c r="F223" s="1992">
        <v>0</v>
      </c>
      <c r="G223" s="1970">
        <f t="shared" si="12"/>
        <v>0</v>
      </c>
    </row>
    <row r="224" spans="2:7" s="136" customFormat="1" ht="12.75" customHeight="1" x14ac:dyDescent="0.2">
      <c r="B224" s="135"/>
      <c r="C224" s="268" t="s">
        <v>278</v>
      </c>
      <c r="D224" s="231" t="s">
        <v>149</v>
      </c>
      <c r="E224" s="265">
        <v>1</v>
      </c>
      <c r="F224" s="1992">
        <v>0</v>
      </c>
      <c r="G224" s="1970">
        <f t="shared" si="12"/>
        <v>0</v>
      </c>
    </row>
    <row r="225" spans="2:7" s="136" customFormat="1" x14ac:dyDescent="0.2">
      <c r="B225" s="135"/>
      <c r="C225" s="268" t="s">
        <v>262</v>
      </c>
      <c r="D225" s="231" t="s">
        <v>149</v>
      </c>
      <c r="E225" s="265">
        <v>1</v>
      </c>
      <c r="F225" s="1992">
        <v>0</v>
      </c>
      <c r="G225" s="1970">
        <f t="shared" si="12"/>
        <v>0</v>
      </c>
    </row>
    <row r="226" spans="2:7" s="136" customFormat="1" ht="14.25" customHeight="1" x14ac:dyDescent="0.2">
      <c r="B226" s="135"/>
      <c r="C226" s="268" t="s">
        <v>279</v>
      </c>
      <c r="D226" s="231" t="s">
        <v>149</v>
      </c>
      <c r="E226" s="265">
        <v>1</v>
      </c>
      <c r="F226" s="1992">
        <v>0</v>
      </c>
      <c r="G226" s="1970">
        <f t="shared" si="12"/>
        <v>0</v>
      </c>
    </row>
    <row r="227" spans="2:7" s="136" customFormat="1" ht="14.25" customHeight="1" x14ac:dyDescent="0.2">
      <c r="B227" s="135"/>
      <c r="C227" s="268" t="s">
        <v>280</v>
      </c>
      <c r="D227" s="231" t="s">
        <v>149</v>
      </c>
      <c r="E227" s="265">
        <v>1</v>
      </c>
      <c r="F227" s="1992">
        <v>0</v>
      </c>
      <c r="G227" s="1970">
        <f t="shared" si="12"/>
        <v>0</v>
      </c>
    </row>
    <row r="228" spans="2:7" s="136" customFormat="1" ht="14.25" customHeight="1" x14ac:dyDescent="0.2">
      <c r="B228" s="135"/>
      <c r="C228" s="268" t="s">
        <v>281</v>
      </c>
      <c r="D228" s="231" t="s">
        <v>149</v>
      </c>
      <c r="E228" s="265">
        <v>1</v>
      </c>
      <c r="F228" s="1992">
        <v>0</v>
      </c>
      <c r="G228" s="1970">
        <f t="shared" si="12"/>
        <v>0</v>
      </c>
    </row>
    <row r="229" spans="2:7" s="136" customFormat="1" ht="14.25" customHeight="1" x14ac:dyDescent="0.2">
      <c r="B229" s="135"/>
      <c r="C229" s="268" t="s">
        <v>282</v>
      </c>
      <c r="D229" s="231" t="s">
        <v>149</v>
      </c>
      <c r="E229" s="265">
        <v>1</v>
      </c>
      <c r="F229" s="1992">
        <v>0</v>
      </c>
      <c r="G229" s="1970">
        <f t="shared" si="12"/>
        <v>0</v>
      </c>
    </row>
    <row r="230" spans="2:7" s="136" customFormat="1" x14ac:dyDescent="0.2">
      <c r="B230" s="135"/>
      <c r="C230" s="235" t="s">
        <v>283</v>
      </c>
      <c r="D230" s="231" t="s">
        <v>149</v>
      </c>
      <c r="E230" s="265">
        <v>2</v>
      </c>
      <c r="F230" s="1992">
        <v>0</v>
      </c>
      <c r="G230" s="1970">
        <f t="shared" si="12"/>
        <v>0</v>
      </c>
    </row>
    <row r="231" spans="2:7" s="136" customFormat="1" ht="48" customHeight="1" x14ac:dyDescent="0.2">
      <c r="B231" s="135"/>
      <c r="C231" s="235" t="s">
        <v>284</v>
      </c>
      <c r="D231" s="231" t="s">
        <v>149</v>
      </c>
      <c r="E231" s="265">
        <v>1</v>
      </c>
      <c r="F231" s="1992">
        <v>0</v>
      </c>
      <c r="G231" s="1970">
        <f t="shared" si="12"/>
        <v>0</v>
      </c>
    </row>
    <row r="232" spans="2:7" s="136" customFormat="1" ht="38.25" customHeight="1" x14ac:dyDescent="0.2">
      <c r="B232" s="135"/>
      <c r="C232" s="268" t="s">
        <v>285</v>
      </c>
      <c r="D232" s="231" t="s">
        <v>149</v>
      </c>
      <c r="E232" s="265">
        <v>1</v>
      </c>
      <c r="F232" s="1992">
        <v>0</v>
      </c>
      <c r="G232" s="1970">
        <f t="shared" si="12"/>
        <v>0</v>
      </c>
    </row>
    <row r="233" spans="2:7" s="136" customFormat="1" x14ac:dyDescent="0.2">
      <c r="B233" s="135"/>
      <c r="C233" s="267" t="s">
        <v>191</v>
      </c>
      <c r="D233" s="231" t="s">
        <v>149</v>
      </c>
      <c r="E233" s="265">
        <v>2</v>
      </c>
      <c r="F233" s="1992">
        <v>0</v>
      </c>
      <c r="G233" s="1970">
        <f t="shared" si="12"/>
        <v>0</v>
      </c>
    </row>
    <row r="234" spans="2:7" s="136" customFormat="1" x14ac:dyDescent="0.2">
      <c r="B234" s="135"/>
      <c r="C234" s="268" t="s">
        <v>193</v>
      </c>
      <c r="D234" s="231" t="s">
        <v>149</v>
      </c>
      <c r="E234" s="265">
        <v>1</v>
      </c>
      <c r="F234" s="1992">
        <v>0</v>
      </c>
      <c r="G234" s="1970">
        <f t="shared" si="12"/>
        <v>0</v>
      </c>
    </row>
    <row r="235" spans="2:7" s="136" customFormat="1" x14ac:dyDescent="0.2">
      <c r="B235" s="135"/>
      <c r="C235" s="268" t="s">
        <v>194</v>
      </c>
      <c r="D235" s="231" t="s">
        <v>149</v>
      </c>
      <c r="E235" s="265">
        <v>1</v>
      </c>
      <c r="F235" s="1992">
        <v>0</v>
      </c>
      <c r="G235" s="1970">
        <f t="shared" si="12"/>
        <v>0</v>
      </c>
    </row>
    <row r="236" spans="2:7" s="136" customFormat="1" x14ac:dyDescent="0.2">
      <c r="B236" s="135"/>
      <c r="C236" s="267" t="s">
        <v>286</v>
      </c>
      <c r="D236" s="231" t="s">
        <v>149</v>
      </c>
      <c r="E236" s="265">
        <v>1</v>
      </c>
      <c r="F236" s="1992">
        <v>0</v>
      </c>
      <c r="G236" s="1970">
        <f t="shared" si="12"/>
        <v>0</v>
      </c>
    </row>
    <row r="237" spans="2:7" s="136" customFormat="1" x14ac:dyDescent="0.2">
      <c r="B237" s="135"/>
      <c r="C237" s="235" t="s">
        <v>195</v>
      </c>
      <c r="D237" s="231" t="s">
        <v>149</v>
      </c>
      <c r="E237" s="265">
        <v>6</v>
      </c>
      <c r="F237" s="1992">
        <v>0</v>
      </c>
      <c r="G237" s="1970">
        <f t="shared" si="12"/>
        <v>0</v>
      </c>
    </row>
    <row r="238" spans="2:7" s="136" customFormat="1" x14ac:dyDescent="0.2">
      <c r="B238" s="135"/>
      <c r="C238" s="235" t="s">
        <v>218</v>
      </c>
      <c r="D238" s="231" t="s">
        <v>149</v>
      </c>
      <c r="E238" s="265">
        <v>6</v>
      </c>
      <c r="F238" s="1992">
        <v>0</v>
      </c>
      <c r="G238" s="1970">
        <f t="shared" si="12"/>
        <v>0</v>
      </c>
    </row>
    <row r="239" spans="2:7" s="136" customFormat="1" x14ac:dyDescent="0.2">
      <c r="B239" s="135"/>
      <c r="C239" s="235" t="s">
        <v>227</v>
      </c>
      <c r="D239" s="231" t="s">
        <v>149</v>
      </c>
      <c r="E239" s="265">
        <v>2</v>
      </c>
      <c r="F239" s="1992">
        <v>0</v>
      </c>
      <c r="G239" s="1970">
        <f t="shared" si="12"/>
        <v>0</v>
      </c>
    </row>
    <row r="240" spans="2:7" s="136" customFormat="1" x14ac:dyDescent="0.2">
      <c r="B240" s="135"/>
      <c r="C240" s="235" t="s">
        <v>197</v>
      </c>
      <c r="D240" s="231" t="s">
        <v>149</v>
      </c>
      <c r="E240" s="265">
        <v>1</v>
      </c>
      <c r="F240" s="1992">
        <v>0</v>
      </c>
      <c r="G240" s="1970">
        <f t="shared" si="12"/>
        <v>0</v>
      </c>
    </row>
    <row r="241" spans="2:7" s="136" customFormat="1" x14ac:dyDescent="0.2">
      <c r="B241" s="135"/>
      <c r="C241" s="237" t="s">
        <v>198</v>
      </c>
      <c r="D241" s="231" t="s">
        <v>149</v>
      </c>
      <c r="E241" s="265">
        <v>1</v>
      </c>
      <c r="F241" s="1992">
        <v>0</v>
      </c>
      <c r="G241" s="1970">
        <f t="shared" si="12"/>
        <v>0</v>
      </c>
    </row>
    <row r="242" spans="2:7" s="136" customFormat="1" x14ac:dyDescent="0.2">
      <c r="B242" s="135"/>
      <c r="C242" s="264" t="s">
        <v>287</v>
      </c>
      <c r="D242" s="486"/>
      <c r="E242" s="487"/>
      <c r="F242" s="1990"/>
      <c r="G242" s="1991"/>
    </row>
    <row r="243" spans="2:7" s="136" customFormat="1" x14ac:dyDescent="0.2">
      <c r="B243" s="135"/>
      <c r="C243" s="267" t="s">
        <v>256</v>
      </c>
      <c r="D243" s="231" t="s">
        <v>149</v>
      </c>
      <c r="E243" s="265">
        <v>2</v>
      </c>
      <c r="F243" s="1992">
        <v>0</v>
      </c>
      <c r="G243" s="1970">
        <f t="shared" ref="G243:G272" si="13">E243*F243</f>
        <v>0</v>
      </c>
    </row>
    <row r="244" spans="2:7" s="136" customFormat="1" x14ac:dyDescent="0.2">
      <c r="B244" s="135"/>
      <c r="C244" s="267" t="s">
        <v>288</v>
      </c>
      <c r="D244" s="231" t="s">
        <v>149</v>
      </c>
      <c r="E244" s="265">
        <v>2</v>
      </c>
      <c r="F244" s="1992">
        <v>0</v>
      </c>
      <c r="G244" s="1970">
        <f t="shared" si="13"/>
        <v>0</v>
      </c>
    </row>
    <row r="245" spans="2:7" s="136" customFormat="1" x14ac:dyDescent="0.2">
      <c r="B245" s="135"/>
      <c r="C245" s="267" t="s">
        <v>289</v>
      </c>
      <c r="D245" s="231" t="s">
        <v>149</v>
      </c>
      <c r="E245" s="265">
        <v>2</v>
      </c>
      <c r="F245" s="1992">
        <v>0</v>
      </c>
      <c r="G245" s="1970">
        <f t="shared" si="13"/>
        <v>0</v>
      </c>
    </row>
    <row r="246" spans="2:7" s="136" customFormat="1" x14ac:dyDescent="0.2">
      <c r="B246" s="135"/>
      <c r="C246" s="267" t="s">
        <v>213</v>
      </c>
      <c r="D246" s="231" t="s">
        <v>149</v>
      </c>
      <c r="E246" s="265">
        <v>2</v>
      </c>
      <c r="F246" s="1992">
        <v>0</v>
      </c>
      <c r="G246" s="1970">
        <f t="shared" si="13"/>
        <v>0</v>
      </c>
    </row>
    <row r="247" spans="2:7" s="136" customFormat="1" x14ac:dyDescent="0.2">
      <c r="B247" s="135"/>
      <c r="C247" s="267" t="s">
        <v>290</v>
      </c>
      <c r="D247" s="231" t="s">
        <v>149</v>
      </c>
      <c r="E247" s="265">
        <v>2</v>
      </c>
      <c r="F247" s="1992">
        <v>0</v>
      </c>
      <c r="G247" s="1970">
        <f t="shared" si="13"/>
        <v>0</v>
      </c>
    </row>
    <row r="248" spans="2:7" s="136" customFormat="1" ht="15" customHeight="1" x14ac:dyDescent="0.2">
      <c r="B248" s="135"/>
      <c r="C248" s="267" t="s">
        <v>291</v>
      </c>
      <c r="D248" s="231" t="s">
        <v>149</v>
      </c>
      <c r="E248" s="265">
        <v>2</v>
      </c>
      <c r="F248" s="1992">
        <v>0</v>
      </c>
      <c r="G248" s="1970">
        <f t="shared" si="13"/>
        <v>0</v>
      </c>
    </row>
    <row r="249" spans="2:7" s="136" customFormat="1" ht="15" customHeight="1" x14ac:dyDescent="0.2">
      <c r="B249" s="135"/>
      <c r="C249" s="267" t="s">
        <v>274</v>
      </c>
      <c r="D249" s="231" t="s">
        <v>149</v>
      </c>
      <c r="E249" s="265">
        <v>2</v>
      </c>
      <c r="F249" s="1992">
        <v>0</v>
      </c>
      <c r="G249" s="1970">
        <f t="shared" si="13"/>
        <v>0</v>
      </c>
    </row>
    <row r="250" spans="2:7" s="136" customFormat="1" ht="15" customHeight="1" x14ac:dyDescent="0.2">
      <c r="B250" s="135"/>
      <c r="C250" s="267" t="s">
        <v>292</v>
      </c>
      <c r="D250" s="231" t="s">
        <v>149</v>
      </c>
      <c r="E250" s="265">
        <v>1</v>
      </c>
      <c r="F250" s="1992">
        <v>0</v>
      </c>
      <c r="G250" s="1970">
        <f t="shared" si="13"/>
        <v>0</v>
      </c>
    </row>
    <row r="251" spans="2:7" s="136" customFormat="1" ht="12" customHeight="1" x14ac:dyDescent="0.2">
      <c r="B251" s="135"/>
      <c r="C251" s="268" t="s">
        <v>293</v>
      </c>
      <c r="D251" s="231" t="s">
        <v>149</v>
      </c>
      <c r="E251" s="265">
        <v>2</v>
      </c>
      <c r="F251" s="1992">
        <v>0</v>
      </c>
      <c r="G251" s="1970">
        <f t="shared" si="13"/>
        <v>0</v>
      </c>
    </row>
    <row r="252" spans="2:7" s="136" customFormat="1" ht="12.75" customHeight="1" x14ac:dyDescent="0.2">
      <c r="B252" s="135"/>
      <c r="C252" s="268" t="s">
        <v>294</v>
      </c>
      <c r="D252" s="231" t="s">
        <v>149</v>
      </c>
      <c r="E252" s="265">
        <v>1</v>
      </c>
      <c r="F252" s="1992">
        <v>0</v>
      </c>
      <c r="G252" s="1970">
        <f t="shared" si="13"/>
        <v>0</v>
      </c>
    </row>
    <row r="253" spans="2:7" s="136" customFormat="1" ht="12.75" customHeight="1" x14ac:dyDescent="0.2">
      <c r="B253" s="135"/>
      <c r="C253" s="268" t="s">
        <v>278</v>
      </c>
      <c r="D253" s="231" t="s">
        <v>149</v>
      </c>
      <c r="E253" s="265">
        <v>1</v>
      </c>
      <c r="F253" s="1992">
        <v>0</v>
      </c>
      <c r="G253" s="1970">
        <f t="shared" si="13"/>
        <v>0</v>
      </c>
    </row>
    <row r="254" spans="2:7" s="136" customFormat="1" x14ac:dyDescent="0.2">
      <c r="B254" s="135"/>
      <c r="C254" s="268" t="s">
        <v>295</v>
      </c>
      <c r="D254" s="231" t="s">
        <v>149</v>
      </c>
      <c r="E254" s="265">
        <v>1</v>
      </c>
      <c r="F254" s="1992">
        <v>0</v>
      </c>
      <c r="G254" s="1970">
        <f t="shared" si="13"/>
        <v>0</v>
      </c>
    </row>
    <row r="255" spans="2:7" s="136" customFormat="1" ht="14.25" customHeight="1" x14ac:dyDescent="0.2">
      <c r="B255" s="135"/>
      <c r="C255" s="268" t="s">
        <v>296</v>
      </c>
      <c r="D255" s="231" t="s">
        <v>149</v>
      </c>
      <c r="E255" s="265">
        <v>1</v>
      </c>
      <c r="F255" s="1992">
        <v>0</v>
      </c>
      <c r="G255" s="1970">
        <f t="shared" si="13"/>
        <v>0</v>
      </c>
    </row>
    <row r="256" spans="2:7" s="136" customFormat="1" ht="14.25" customHeight="1" x14ac:dyDescent="0.2">
      <c r="B256" s="135"/>
      <c r="C256" s="268" t="s">
        <v>297</v>
      </c>
      <c r="D256" s="231" t="s">
        <v>149</v>
      </c>
      <c r="E256" s="265">
        <v>1</v>
      </c>
      <c r="F256" s="1992">
        <v>0</v>
      </c>
      <c r="G256" s="1970">
        <f t="shared" si="13"/>
        <v>0</v>
      </c>
    </row>
    <row r="257" spans="2:7" s="136" customFormat="1" ht="14.25" customHeight="1" x14ac:dyDescent="0.2">
      <c r="B257" s="135"/>
      <c r="C257" s="268" t="s">
        <v>281</v>
      </c>
      <c r="D257" s="231" t="s">
        <v>149</v>
      </c>
      <c r="E257" s="265">
        <v>1</v>
      </c>
      <c r="F257" s="1992">
        <v>0</v>
      </c>
      <c r="G257" s="1970">
        <f t="shared" si="13"/>
        <v>0</v>
      </c>
    </row>
    <row r="258" spans="2:7" s="136" customFormat="1" ht="14.25" customHeight="1" x14ac:dyDescent="0.2">
      <c r="B258" s="135"/>
      <c r="C258" s="268" t="s">
        <v>282</v>
      </c>
      <c r="D258" s="231" t="s">
        <v>149</v>
      </c>
      <c r="E258" s="265">
        <v>1</v>
      </c>
      <c r="F258" s="1992">
        <v>0</v>
      </c>
      <c r="G258" s="1970">
        <f t="shared" si="13"/>
        <v>0</v>
      </c>
    </row>
    <row r="259" spans="2:7" s="136" customFormat="1" x14ac:dyDescent="0.2">
      <c r="B259" s="135"/>
      <c r="C259" s="235" t="s">
        <v>283</v>
      </c>
      <c r="D259" s="231" t="s">
        <v>149</v>
      </c>
      <c r="E259" s="265">
        <v>2</v>
      </c>
      <c r="F259" s="1992">
        <v>0</v>
      </c>
      <c r="G259" s="1970">
        <f t="shared" si="13"/>
        <v>0</v>
      </c>
    </row>
    <row r="260" spans="2:7" s="136" customFormat="1" ht="43.5" customHeight="1" x14ac:dyDescent="0.2">
      <c r="B260" s="135"/>
      <c r="C260" s="235" t="s">
        <v>284</v>
      </c>
      <c r="D260" s="231" t="s">
        <v>149</v>
      </c>
      <c r="E260" s="265">
        <v>1</v>
      </c>
      <c r="F260" s="1992">
        <v>0</v>
      </c>
      <c r="G260" s="1970">
        <f t="shared" si="13"/>
        <v>0</v>
      </c>
    </row>
    <row r="261" spans="2:7" s="136" customFormat="1" ht="38.25" customHeight="1" x14ac:dyDescent="0.2">
      <c r="B261" s="135"/>
      <c r="C261" s="268" t="s">
        <v>285</v>
      </c>
      <c r="D261" s="231" t="s">
        <v>149</v>
      </c>
      <c r="E261" s="265">
        <v>1</v>
      </c>
      <c r="F261" s="1992">
        <v>0</v>
      </c>
      <c r="G261" s="1970">
        <f t="shared" si="13"/>
        <v>0</v>
      </c>
    </row>
    <row r="262" spans="2:7" s="136" customFormat="1" x14ac:dyDescent="0.2">
      <c r="B262" s="135"/>
      <c r="C262" s="267" t="s">
        <v>298</v>
      </c>
      <c r="D262" s="231" t="s">
        <v>149</v>
      </c>
      <c r="E262" s="265">
        <v>2</v>
      </c>
      <c r="F262" s="1992">
        <v>0</v>
      </c>
      <c r="G262" s="1970">
        <f t="shared" si="13"/>
        <v>0</v>
      </c>
    </row>
    <row r="263" spans="2:7" s="136" customFormat="1" x14ac:dyDescent="0.2">
      <c r="B263" s="135"/>
      <c r="C263" s="268" t="s">
        <v>193</v>
      </c>
      <c r="D263" s="231" t="s">
        <v>149</v>
      </c>
      <c r="E263" s="265">
        <v>1</v>
      </c>
      <c r="F263" s="1992">
        <v>0</v>
      </c>
      <c r="G263" s="1970">
        <f t="shared" si="13"/>
        <v>0</v>
      </c>
    </row>
    <row r="264" spans="2:7" s="136" customFormat="1" x14ac:dyDescent="0.2">
      <c r="B264" s="135"/>
      <c r="C264" s="268" t="s">
        <v>194</v>
      </c>
      <c r="D264" s="231" t="s">
        <v>149</v>
      </c>
      <c r="E264" s="265">
        <v>1</v>
      </c>
      <c r="F264" s="1992">
        <v>0</v>
      </c>
      <c r="G264" s="1970">
        <f t="shared" si="13"/>
        <v>0</v>
      </c>
    </row>
    <row r="265" spans="2:7" s="136" customFormat="1" x14ac:dyDescent="0.2">
      <c r="B265" s="135"/>
      <c r="C265" s="267" t="s">
        <v>286</v>
      </c>
      <c r="D265" s="231" t="s">
        <v>149</v>
      </c>
      <c r="E265" s="265">
        <v>1</v>
      </c>
      <c r="F265" s="1992">
        <v>0</v>
      </c>
      <c r="G265" s="1970">
        <f t="shared" si="13"/>
        <v>0</v>
      </c>
    </row>
    <row r="266" spans="2:7" s="136" customFormat="1" x14ac:dyDescent="0.2">
      <c r="B266" s="135"/>
      <c r="C266" s="235" t="s">
        <v>235</v>
      </c>
      <c r="D266" s="231" t="s">
        <v>149</v>
      </c>
      <c r="E266" s="265">
        <v>2</v>
      </c>
      <c r="F266" s="1992">
        <v>0</v>
      </c>
      <c r="G266" s="1970">
        <f t="shared" si="13"/>
        <v>0</v>
      </c>
    </row>
    <row r="267" spans="2:7" s="136" customFormat="1" x14ac:dyDescent="0.2">
      <c r="B267" s="135"/>
      <c r="C267" s="235" t="s">
        <v>236</v>
      </c>
      <c r="D267" s="231" t="s">
        <v>149</v>
      </c>
      <c r="E267" s="265">
        <v>2</v>
      </c>
      <c r="F267" s="1992">
        <v>0</v>
      </c>
      <c r="G267" s="1970">
        <f t="shared" si="13"/>
        <v>0</v>
      </c>
    </row>
    <row r="268" spans="2:7" s="136" customFormat="1" x14ac:dyDescent="0.2">
      <c r="B268" s="135"/>
      <c r="C268" s="235" t="s">
        <v>239</v>
      </c>
      <c r="D268" s="231" t="s">
        <v>149</v>
      </c>
      <c r="E268" s="265">
        <v>4</v>
      </c>
      <c r="F268" s="1992">
        <v>0</v>
      </c>
      <c r="G268" s="1970">
        <f t="shared" si="13"/>
        <v>0</v>
      </c>
    </row>
    <row r="269" spans="2:7" s="136" customFormat="1" x14ac:dyDescent="0.2">
      <c r="B269" s="135"/>
      <c r="C269" s="235" t="s">
        <v>240</v>
      </c>
      <c r="D269" s="231" t="s">
        <v>149</v>
      </c>
      <c r="E269" s="265">
        <v>4</v>
      </c>
      <c r="F269" s="1992">
        <v>0</v>
      </c>
      <c r="G269" s="1970">
        <f t="shared" si="13"/>
        <v>0</v>
      </c>
    </row>
    <row r="270" spans="2:7" s="136" customFormat="1" x14ac:dyDescent="0.2">
      <c r="B270" s="135"/>
      <c r="C270" s="235" t="s">
        <v>227</v>
      </c>
      <c r="D270" s="231" t="s">
        <v>149</v>
      </c>
      <c r="E270" s="265">
        <v>2</v>
      </c>
      <c r="F270" s="1992">
        <v>0</v>
      </c>
      <c r="G270" s="1970">
        <f t="shared" si="13"/>
        <v>0</v>
      </c>
    </row>
    <row r="271" spans="2:7" s="136" customFormat="1" x14ac:dyDescent="0.2">
      <c r="B271" s="135"/>
      <c r="C271" s="235" t="s">
        <v>197</v>
      </c>
      <c r="D271" s="231" t="s">
        <v>149</v>
      </c>
      <c r="E271" s="265">
        <v>1</v>
      </c>
      <c r="F271" s="1992">
        <v>0</v>
      </c>
      <c r="G271" s="1970">
        <f t="shared" si="13"/>
        <v>0</v>
      </c>
    </row>
    <row r="272" spans="2:7" s="136" customFormat="1" x14ac:dyDescent="0.2">
      <c r="B272" s="135"/>
      <c r="C272" s="237" t="s">
        <v>198</v>
      </c>
      <c r="D272" s="231" t="s">
        <v>149</v>
      </c>
      <c r="E272" s="265">
        <v>1</v>
      </c>
      <c r="F272" s="1992">
        <v>0</v>
      </c>
      <c r="G272" s="1970">
        <f t="shared" si="13"/>
        <v>0</v>
      </c>
    </row>
    <row r="273" spans="2:7" x14ac:dyDescent="0.2">
      <c r="B273" s="292" t="s">
        <v>299</v>
      </c>
      <c r="C273" s="280" t="s">
        <v>300</v>
      </c>
      <c r="D273" s="281"/>
      <c r="E273" s="282"/>
      <c r="F273" s="1993"/>
      <c r="G273" s="1994"/>
    </row>
    <row r="274" spans="2:7" s="136" customFormat="1" ht="63" customHeight="1" x14ac:dyDescent="0.2">
      <c r="B274" s="135"/>
      <c r="C274" s="285" t="s">
        <v>301</v>
      </c>
      <c r="D274" s="286" t="s">
        <v>149</v>
      </c>
      <c r="E274" s="287">
        <v>23</v>
      </c>
      <c r="F274" s="1995">
        <v>0</v>
      </c>
      <c r="G274" s="1996">
        <f>E274*F274</f>
        <v>0</v>
      </c>
    </row>
    <row r="275" spans="2:7" s="147" customFormat="1" ht="25.5" customHeight="1" x14ac:dyDescent="0.25">
      <c r="B275" s="293" t="s">
        <v>17</v>
      </c>
      <c r="C275" s="294" t="s">
        <v>302</v>
      </c>
      <c r="D275" s="218"/>
      <c r="E275" s="203"/>
      <c r="F275" s="1997"/>
      <c r="G275" s="1980">
        <f>SUM(G92:G274)</f>
        <v>0</v>
      </c>
    </row>
  </sheetData>
  <mergeCells count="7">
    <mergeCell ref="B97:B100"/>
    <mergeCell ref="B41:G41"/>
    <mergeCell ref="B51:B52"/>
    <mergeCell ref="B64:B65"/>
    <mergeCell ref="B89:G89"/>
    <mergeCell ref="B90:G90"/>
    <mergeCell ref="B91:G91"/>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144E-3427-4691-82B6-3D08F0E7453C}">
  <sheetPr codeName="Sheet57">
    <tabColor rgb="FF00B050"/>
  </sheetPr>
  <dimension ref="B2:I17"/>
  <sheetViews>
    <sheetView showZeros="0" zoomScale="110" zoomScaleNormal="110" workbookViewId="0">
      <selection activeCell="G17" sqref="G17"/>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7" ht="15.75" x14ac:dyDescent="0.2">
      <c r="B2" s="137"/>
      <c r="C2" s="354" t="s">
        <v>59</v>
      </c>
      <c r="D2" s="155"/>
      <c r="E2" s="156"/>
      <c r="F2" s="157"/>
      <c r="G2" s="355"/>
    </row>
    <row r="4" spans="2:7" ht="15.75" customHeight="1" x14ac:dyDescent="0.2">
      <c r="B4" s="143" t="s">
        <v>1</v>
      </c>
      <c r="C4" s="168"/>
      <c r="D4" s="170"/>
      <c r="E4" s="170"/>
      <c r="F4" s="170"/>
      <c r="G4" s="169"/>
    </row>
    <row r="5" spans="2:7" ht="15.75" customHeight="1" x14ac:dyDescent="0.2">
      <c r="B5" s="144" t="s">
        <v>2</v>
      </c>
      <c r="C5" s="171"/>
      <c r="D5" s="172"/>
      <c r="E5" s="173"/>
      <c r="F5" s="173"/>
      <c r="G5" s="172"/>
    </row>
    <row r="6" spans="2:7" ht="15.75" customHeight="1" x14ac:dyDescent="0.2">
      <c r="B6" s="143" t="s">
        <v>3</v>
      </c>
      <c r="C6" s="168"/>
      <c r="D6" s="170"/>
      <c r="E6" s="170"/>
      <c r="F6" s="170"/>
      <c r="G6" s="169"/>
    </row>
    <row r="7" spans="2:7" ht="15.75" customHeight="1" x14ac:dyDescent="0.2">
      <c r="B7" s="144" t="s">
        <v>4</v>
      </c>
      <c r="C7" s="171"/>
      <c r="D7" s="173"/>
      <c r="E7" s="173"/>
      <c r="F7" s="173"/>
      <c r="G7" s="172"/>
    </row>
    <row r="8" spans="2:7" x14ac:dyDescent="0.2">
      <c r="B8" s="142"/>
      <c r="C8" s="174"/>
      <c r="D8" s="175"/>
      <c r="E8" s="176"/>
      <c r="F8" s="177"/>
      <c r="G8" s="178"/>
    </row>
    <row r="9" spans="2:7" ht="23.25" customHeight="1" x14ac:dyDescent="0.2">
      <c r="B9" s="33"/>
      <c r="C9" s="32" t="s">
        <v>61</v>
      </c>
      <c r="D9" s="323"/>
      <c r="E9" s="324"/>
      <c r="F9" s="325"/>
      <c r="G9" s="2794" t="s">
        <v>64</v>
      </c>
    </row>
    <row r="10" spans="2:7" ht="23.25" customHeight="1" x14ac:dyDescent="0.2">
      <c r="B10" s="1727" t="s">
        <v>6</v>
      </c>
      <c r="C10" s="575" t="s">
        <v>62</v>
      </c>
      <c r="D10" s="3179" t="s">
        <v>1028</v>
      </c>
      <c r="E10" s="3179"/>
      <c r="F10" s="3180"/>
      <c r="G10" s="576" t="s">
        <v>2523</v>
      </c>
    </row>
    <row r="11" spans="2:7" ht="23.25" customHeight="1" x14ac:dyDescent="0.2">
      <c r="B11" s="1728"/>
      <c r="C11" s="3175" t="s">
        <v>864</v>
      </c>
      <c r="D11" s="3170"/>
      <c r="E11" s="3170"/>
      <c r="F11" s="3171"/>
      <c r="G11" s="1964"/>
    </row>
    <row r="12" spans="2:7" ht="23.25" customHeight="1" x14ac:dyDescent="0.2">
      <c r="B12" s="1726">
        <v>1</v>
      </c>
      <c r="C12" s="322" t="s">
        <v>1029</v>
      </c>
      <c r="D12" s="318"/>
      <c r="E12" s="319"/>
      <c r="F12" s="317"/>
      <c r="G12" s="1724">
        <f>'Hodoš_VH Hodoš'!G17</f>
        <v>0</v>
      </c>
    </row>
    <row r="13" spans="2:7" ht="23.25" customHeight="1" x14ac:dyDescent="0.2">
      <c r="B13" s="1728"/>
      <c r="C13" s="3176" t="s">
        <v>11</v>
      </c>
      <c r="D13" s="3177"/>
      <c r="E13" s="3177"/>
      <c r="F13" s="3178"/>
      <c r="G13" s="2796">
        <f>SUM(G12)</f>
        <v>0</v>
      </c>
    </row>
    <row r="14" spans="2:7" ht="23.25" customHeight="1" x14ac:dyDescent="0.2">
      <c r="B14" s="1728"/>
      <c r="C14" s="2716" t="s">
        <v>71</v>
      </c>
      <c r="D14" s="2717"/>
      <c r="E14" s="2717"/>
      <c r="F14" s="2718"/>
      <c r="G14" s="1964"/>
    </row>
    <row r="15" spans="2:7" ht="23.25" customHeight="1" x14ac:dyDescent="0.2">
      <c r="B15" s="1729" t="s">
        <v>8</v>
      </c>
      <c r="C15" s="322" t="s">
        <v>1030</v>
      </c>
      <c r="D15" s="318"/>
      <c r="E15" s="319"/>
      <c r="F15" s="317"/>
      <c r="G15" s="1724">
        <f>'Hodoš_ČRP Hodoš'!G16</f>
        <v>0</v>
      </c>
    </row>
    <row r="16" spans="2:7" ht="23.25" customHeight="1" x14ac:dyDescent="0.2">
      <c r="B16" s="1728"/>
      <c r="C16" s="3176" t="s">
        <v>73</v>
      </c>
      <c r="D16" s="3177"/>
      <c r="E16" s="3177"/>
      <c r="F16" s="3178"/>
      <c r="G16" s="2796">
        <f>SUM(G15:G15)</f>
        <v>0</v>
      </c>
    </row>
    <row r="17" spans="2:9" ht="23.25" customHeight="1" x14ac:dyDescent="0.2">
      <c r="B17" s="1730"/>
      <c r="C17" s="326" t="s">
        <v>79</v>
      </c>
      <c r="D17" s="323"/>
      <c r="E17" s="324"/>
      <c r="F17" s="325"/>
      <c r="G17" s="2797">
        <f>G16+G13</f>
        <v>0</v>
      </c>
      <c r="I17" s="577"/>
    </row>
  </sheetData>
  <mergeCells count="4">
    <mergeCell ref="D10:F10"/>
    <mergeCell ref="C13:F13"/>
    <mergeCell ref="C16:F16"/>
    <mergeCell ref="C11:F11"/>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293E-9880-4B0A-86E8-08D8161E60B4}">
  <sheetPr codeName="Sheet18">
    <tabColor rgb="FF00B050"/>
  </sheetPr>
  <dimension ref="A2:L212"/>
  <sheetViews>
    <sheetView showZeros="0" topLeftCell="A49" zoomScale="110" zoomScaleNormal="110" workbookViewId="0">
      <selection activeCell="B61" sqref="B61:G61"/>
    </sheetView>
  </sheetViews>
  <sheetFormatPr defaultColWidth="10.42578125" defaultRowHeight="12.75" x14ac:dyDescent="0.2"/>
  <cols>
    <col min="1" max="1" width="4.42578125" style="1" customWidth="1"/>
    <col min="2" max="2" width="7.42578125" style="8" customWidth="1"/>
    <col min="3" max="3" width="52.42578125" style="7" customWidth="1"/>
    <col min="4" max="4" width="10.42578125" style="6" customWidth="1"/>
    <col min="5" max="5" width="9.28515625" style="5" customWidth="1"/>
    <col min="6" max="6" width="12.140625" style="4" customWidth="1"/>
    <col min="7" max="7" width="14.425781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1031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1032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G51</f>
        <v>0</v>
      </c>
      <c r="H15" s="18"/>
      <c r="I15" s="331"/>
      <c r="J15" s="331"/>
      <c r="K15" s="331"/>
      <c r="L15" s="331"/>
    </row>
    <row r="16" spans="1:12" s="17" customFormat="1" ht="18.75" customHeight="1" x14ac:dyDescent="0.25">
      <c r="A16" s="331"/>
      <c r="B16" s="332" t="s">
        <v>18</v>
      </c>
      <c r="C16" s="340" t="s">
        <v>367</v>
      </c>
      <c r="D16" s="341"/>
      <c r="E16" s="342"/>
      <c r="F16" s="58"/>
      <c r="G16" s="20">
        <f>G212</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c r="G30" s="201"/>
      <c r="H30" s="122"/>
    </row>
    <row r="31" spans="1:8" s="34" customFormat="1" ht="14.25" customHeight="1" x14ac:dyDescent="0.2">
      <c r="A31" s="136"/>
      <c r="B31" s="292" t="s">
        <v>897</v>
      </c>
      <c r="C31" s="67" t="s">
        <v>918</v>
      </c>
      <c r="D31" s="63"/>
      <c r="E31" s="62"/>
      <c r="F31" s="61"/>
      <c r="G31" s="60"/>
      <c r="H31" s="122"/>
    </row>
    <row r="32" spans="1:8" s="34" customFormat="1" ht="14.25" customHeight="1" x14ac:dyDescent="0.2">
      <c r="A32" s="136"/>
      <c r="B32" s="135"/>
      <c r="C32" s="69" t="s">
        <v>999</v>
      </c>
      <c r="D32" s="63" t="s">
        <v>149</v>
      </c>
      <c r="E32" s="62">
        <v>1</v>
      </c>
      <c r="F32" s="61"/>
      <c r="G32" s="60"/>
      <c r="H32" s="122"/>
    </row>
    <row r="33" spans="2:8" s="34" customFormat="1" ht="14.25" customHeight="1" x14ac:dyDescent="0.2">
      <c r="B33" s="135"/>
      <c r="C33" s="69" t="s">
        <v>1033</v>
      </c>
      <c r="D33" s="63" t="s">
        <v>149</v>
      </c>
      <c r="E33" s="62">
        <v>1</v>
      </c>
      <c r="F33" s="61"/>
      <c r="G33" s="60"/>
      <c r="H33" s="122"/>
    </row>
    <row r="34" spans="2:8" s="34" customFormat="1" ht="14.25" customHeight="1" x14ac:dyDescent="0.2">
      <c r="B34" s="135"/>
      <c r="C34" s="69" t="s">
        <v>1034</v>
      </c>
      <c r="D34" s="63" t="s">
        <v>149</v>
      </c>
      <c r="E34" s="62">
        <v>8</v>
      </c>
      <c r="F34" s="61"/>
      <c r="G34" s="60"/>
      <c r="H34" s="122"/>
    </row>
    <row r="35" spans="2:8" s="34" customFormat="1" ht="14.25" customHeight="1" x14ac:dyDescent="0.2">
      <c r="B35" s="135"/>
      <c r="C35" s="69" t="s">
        <v>1035</v>
      </c>
      <c r="D35" s="63" t="s">
        <v>149</v>
      </c>
      <c r="E35" s="62">
        <v>2</v>
      </c>
      <c r="F35" s="61"/>
      <c r="G35" s="60"/>
      <c r="H35" s="122"/>
    </row>
    <row r="36" spans="2:8" s="34" customFormat="1" ht="14.25" customHeight="1" x14ac:dyDescent="0.2">
      <c r="B36" s="135"/>
      <c r="C36" s="69" t="s">
        <v>1036</v>
      </c>
      <c r="D36" s="63" t="s">
        <v>149</v>
      </c>
      <c r="E36" s="62">
        <v>2</v>
      </c>
      <c r="F36" s="61"/>
      <c r="G36" s="60"/>
      <c r="H36" s="122"/>
    </row>
    <row r="37" spans="2:8" s="34" customFormat="1" ht="14.25" customHeight="1" x14ac:dyDescent="0.2">
      <c r="B37" s="135"/>
      <c r="C37" s="69" t="s">
        <v>1037</v>
      </c>
      <c r="D37" s="63" t="s">
        <v>149</v>
      </c>
      <c r="E37" s="62">
        <v>4</v>
      </c>
      <c r="F37" s="61"/>
      <c r="G37" s="60"/>
      <c r="H37" s="122"/>
    </row>
    <row r="38" spans="2:8" s="34" customFormat="1" ht="14.25" customHeight="1" x14ac:dyDescent="0.2">
      <c r="B38" s="135"/>
      <c r="C38" s="69" t="s">
        <v>1038</v>
      </c>
      <c r="D38" s="63" t="s">
        <v>149</v>
      </c>
      <c r="E38" s="62">
        <v>2</v>
      </c>
      <c r="F38" s="61"/>
      <c r="G38" s="60"/>
      <c r="H38" s="122"/>
    </row>
    <row r="39" spans="2:8" s="34" customFormat="1" ht="14.25" customHeight="1" x14ac:dyDescent="0.2">
      <c r="B39" s="135"/>
      <c r="C39" s="69" t="s">
        <v>1039</v>
      </c>
      <c r="D39" s="63" t="s">
        <v>149</v>
      </c>
      <c r="E39" s="62">
        <v>10</v>
      </c>
      <c r="F39" s="61"/>
      <c r="G39" s="60"/>
      <c r="H39" s="122"/>
    </row>
    <row r="40" spans="2:8" s="34" customFormat="1" ht="14.25" customHeight="1" x14ac:dyDescent="0.2">
      <c r="B40" s="135"/>
      <c r="C40" s="69" t="s">
        <v>939</v>
      </c>
      <c r="D40" s="63" t="s">
        <v>149</v>
      </c>
      <c r="E40" s="62">
        <v>3</v>
      </c>
      <c r="F40" s="61"/>
      <c r="G40" s="60"/>
      <c r="H40" s="122"/>
    </row>
    <row r="41" spans="2:8" s="34" customFormat="1" ht="14.25" customHeight="1" x14ac:dyDescent="0.2">
      <c r="B41" s="135"/>
      <c r="C41" s="69" t="s">
        <v>1040</v>
      </c>
      <c r="D41" s="63" t="s">
        <v>149</v>
      </c>
      <c r="E41" s="62">
        <v>1</v>
      </c>
      <c r="F41" s="61"/>
      <c r="G41" s="60"/>
      <c r="H41" s="122"/>
    </row>
    <row r="42" spans="2:8" s="34" customFormat="1" ht="14.25" customHeight="1" x14ac:dyDescent="0.2">
      <c r="B42" s="135"/>
      <c r="C42" s="69" t="s">
        <v>1041</v>
      </c>
      <c r="D42" s="63" t="s">
        <v>928</v>
      </c>
      <c r="E42" s="62">
        <v>20</v>
      </c>
      <c r="F42" s="61"/>
      <c r="G42" s="60"/>
      <c r="H42" s="122"/>
    </row>
    <row r="43" spans="2:8" s="34" customFormat="1" ht="14.25" customHeight="1" x14ac:dyDescent="0.2">
      <c r="B43" s="135"/>
      <c r="C43" s="69" t="s">
        <v>940</v>
      </c>
      <c r="D43" s="63" t="s">
        <v>149</v>
      </c>
      <c r="E43" s="62">
        <v>8</v>
      </c>
      <c r="F43" s="61"/>
      <c r="G43" s="60"/>
      <c r="H43" s="122"/>
    </row>
    <row r="44" spans="2:8" s="34" customFormat="1" ht="330.75" customHeight="1" x14ac:dyDescent="0.2">
      <c r="B44" s="135"/>
      <c r="C44" s="66" t="s">
        <v>919</v>
      </c>
      <c r="D44" s="63" t="s">
        <v>149</v>
      </c>
      <c r="E44" s="62">
        <v>1</v>
      </c>
      <c r="F44" s="61"/>
      <c r="G44" s="60"/>
      <c r="H44" s="122"/>
    </row>
    <row r="45" spans="2:8" s="34" customFormat="1" ht="240" customHeight="1" x14ac:dyDescent="0.2">
      <c r="B45" s="135"/>
      <c r="C45" s="65" t="s">
        <v>920</v>
      </c>
      <c r="D45" s="63" t="s">
        <v>560</v>
      </c>
      <c r="E45" s="62">
        <v>1</v>
      </c>
      <c r="F45" s="61"/>
      <c r="G45" s="60"/>
      <c r="H45" s="122"/>
    </row>
    <row r="46" spans="2:8" s="34" customFormat="1" ht="108.75" customHeight="1" x14ac:dyDescent="0.2">
      <c r="B46" s="135"/>
      <c r="C46" s="65" t="s">
        <v>921</v>
      </c>
      <c r="D46" s="63" t="s">
        <v>149</v>
      </c>
      <c r="E46" s="62">
        <v>1</v>
      </c>
      <c r="F46" s="61"/>
      <c r="G46" s="60"/>
      <c r="H46" s="122"/>
    </row>
    <row r="47" spans="2:8" s="34" customFormat="1" ht="82.5" customHeight="1" x14ac:dyDescent="0.2">
      <c r="B47" s="135"/>
      <c r="C47" s="65" t="s">
        <v>988</v>
      </c>
      <c r="D47" s="63" t="s">
        <v>560</v>
      </c>
      <c r="E47" s="62">
        <v>1</v>
      </c>
      <c r="F47" s="61"/>
      <c r="G47" s="60"/>
      <c r="H47" s="122"/>
    </row>
    <row r="48" spans="2:8" s="34" customFormat="1" ht="328.5" customHeight="1" x14ac:dyDescent="0.2">
      <c r="B48" s="135"/>
      <c r="C48" s="64" t="s">
        <v>923</v>
      </c>
      <c r="D48" s="63" t="s">
        <v>149</v>
      </c>
      <c r="E48" s="62">
        <v>1</v>
      </c>
      <c r="F48" s="61"/>
      <c r="G48" s="60"/>
      <c r="H48" s="122"/>
    </row>
    <row r="49" spans="2:8" s="34" customFormat="1" ht="18" customHeight="1" x14ac:dyDescent="0.2">
      <c r="B49" s="135"/>
      <c r="C49" s="64" t="s">
        <v>924</v>
      </c>
      <c r="D49" s="63" t="s">
        <v>560</v>
      </c>
      <c r="E49" s="62">
        <v>1</v>
      </c>
      <c r="F49" s="61"/>
      <c r="G49" s="60"/>
      <c r="H49" s="122"/>
    </row>
    <row r="50" spans="2:8" s="136" customFormat="1" ht="18" customHeight="1" x14ac:dyDescent="0.2">
      <c r="B50" s="135"/>
      <c r="C50" s="2750" t="s">
        <v>2522</v>
      </c>
      <c r="D50" s="2751" t="s">
        <v>560</v>
      </c>
      <c r="E50" s="2752">
        <v>1</v>
      </c>
      <c r="F50" s="2753">
        <v>0</v>
      </c>
      <c r="G50" s="2754">
        <f t="shared" ref="G50" si="0">E50*F50</f>
        <v>0</v>
      </c>
      <c r="H50" s="122"/>
    </row>
    <row r="51" spans="2:8" s="9" customFormat="1" ht="25.5" customHeight="1" x14ac:dyDescent="0.2">
      <c r="B51" s="293" t="s">
        <v>17</v>
      </c>
      <c r="C51" s="294" t="s">
        <v>302</v>
      </c>
      <c r="D51" s="218"/>
      <c r="E51" s="203"/>
      <c r="F51" s="204"/>
      <c r="G51" s="290">
        <f>SUM(G27:G50)</f>
        <v>0</v>
      </c>
      <c r="H51" s="122"/>
    </row>
    <row r="52" spans="2:8" x14ac:dyDescent="0.2">
      <c r="B52" s="129"/>
      <c r="C52" s="197"/>
      <c r="D52" s="207"/>
      <c r="E52" s="199"/>
      <c r="F52" s="200"/>
      <c r="G52" s="201"/>
      <c r="H52" s="122"/>
    </row>
    <row r="53" spans="2:8" ht="24" x14ac:dyDescent="0.2">
      <c r="B53" s="128" t="s">
        <v>83</v>
      </c>
      <c r="C53" s="192" t="s">
        <v>89</v>
      </c>
      <c r="D53" s="192" t="s">
        <v>90</v>
      </c>
      <c r="E53" s="194" t="s">
        <v>91</v>
      </c>
      <c r="F53" s="195" t="s">
        <v>92</v>
      </c>
      <c r="G53" s="196" t="s">
        <v>93</v>
      </c>
      <c r="H53" s="122"/>
    </row>
    <row r="54" spans="2:8" x14ac:dyDescent="0.2">
      <c r="B54" s="51"/>
      <c r="C54" s="50"/>
      <c r="D54" s="50"/>
      <c r="E54" s="359"/>
      <c r="F54" s="360"/>
      <c r="G54" s="361"/>
      <c r="H54" s="122"/>
    </row>
    <row r="55" spans="2:8" ht="20.25" x14ac:dyDescent="0.2">
      <c r="B55" s="296" t="s">
        <v>18</v>
      </c>
      <c r="C55" s="297" t="s">
        <v>367</v>
      </c>
      <c r="D55" s="298"/>
      <c r="E55" s="299"/>
      <c r="F55" s="300"/>
      <c r="G55" s="301"/>
      <c r="H55" s="122"/>
    </row>
    <row r="56" spans="2:8" x14ac:dyDescent="0.2">
      <c r="B56" s="3205" t="s">
        <v>539</v>
      </c>
      <c r="C56" s="3206"/>
      <c r="D56" s="3206"/>
      <c r="E56" s="3206"/>
      <c r="F56" s="3206"/>
      <c r="G56" s="3207"/>
      <c r="H56" s="122"/>
    </row>
    <row r="57" spans="2:8" ht="25.5" customHeight="1" x14ac:dyDescent="0.2">
      <c r="B57" s="3205" t="s">
        <v>540</v>
      </c>
      <c r="C57" s="3206"/>
      <c r="D57" s="3206"/>
      <c r="E57" s="3206"/>
      <c r="F57" s="3206"/>
      <c r="G57" s="3207"/>
      <c r="H57" s="122"/>
    </row>
    <row r="58" spans="2:8" x14ac:dyDescent="0.2">
      <c r="B58" s="3205" t="s">
        <v>541</v>
      </c>
      <c r="C58" s="3206"/>
      <c r="D58" s="3206"/>
      <c r="E58" s="3206"/>
      <c r="F58" s="3206"/>
      <c r="G58" s="3207"/>
      <c r="H58" s="122"/>
    </row>
    <row r="59" spans="2:8" ht="25.5" customHeight="1" x14ac:dyDescent="0.2">
      <c r="B59" s="3205" t="s">
        <v>542</v>
      </c>
      <c r="C59" s="3206"/>
      <c r="D59" s="3206"/>
      <c r="E59" s="3206"/>
      <c r="F59" s="3206"/>
      <c r="G59" s="3207"/>
      <c r="H59" s="122"/>
    </row>
    <row r="60" spans="2:8" ht="25.5" customHeight="1" x14ac:dyDescent="0.2">
      <c r="B60" s="3205" t="s">
        <v>543</v>
      </c>
      <c r="C60" s="3206"/>
      <c r="D60" s="3206"/>
      <c r="E60" s="3206"/>
      <c r="F60" s="3206"/>
      <c r="G60" s="3207"/>
      <c r="H60" s="122"/>
    </row>
    <row r="61" spans="2:8" ht="25.5" customHeight="1" x14ac:dyDescent="0.2">
      <c r="B61" s="3205" t="s">
        <v>544</v>
      </c>
      <c r="C61" s="3206"/>
      <c r="D61" s="3206"/>
      <c r="E61" s="3206"/>
      <c r="F61" s="3206"/>
      <c r="G61" s="3207"/>
      <c r="H61" s="122"/>
    </row>
    <row r="62" spans="2:8" x14ac:dyDescent="0.2">
      <c r="B62" s="3205" t="s">
        <v>545</v>
      </c>
      <c r="C62" s="3206"/>
      <c r="D62" s="3206"/>
      <c r="E62" s="3206"/>
      <c r="F62" s="3206"/>
      <c r="G62" s="3207"/>
      <c r="H62" s="122"/>
    </row>
    <row r="63" spans="2:8" x14ac:dyDescent="0.2">
      <c r="B63" s="153">
        <v>1</v>
      </c>
      <c r="C63" s="357" t="s">
        <v>550</v>
      </c>
      <c r="D63" s="207"/>
      <c r="E63" s="199"/>
      <c r="F63" s="269"/>
      <c r="G63" s="270"/>
      <c r="H63" s="122"/>
    </row>
    <row r="64" spans="2:8" ht="108" x14ac:dyDescent="0.2">
      <c r="B64" s="129"/>
      <c r="C64" s="197" t="s">
        <v>815</v>
      </c>
      <c r="D64" s="207" t="s">
        <v>98</v>
      </c>
      <c r="E64" s="199">
        <v>1</v>
      </c>
      <c r="F64" s="269">
        <v>0</v>
      </c>
      <c r="G64" s="270">
        <f t="shared" ref="G64:G84" si="1">E64*F64</f>
        <v>0</v>
      </c>
      <c r="H64" s="122"/>
    </row>
    <row r="65" spans="2:8" ht="60" x14ac:dyDescent="0.2">
      <c r="B65" s="129"/>
      <c r="C65" s="197" t="s">
        <v>751</v>
      </c>
      <c r="D65" s="207" t="s">
        <v>123</v>
      </c>
      <c r="E65" s="199">
        <v>1</v>
      </c>
      <c r="F65" s="269">
        <v>0</v>
      </c>
      <c r="G65" s="270">
        <f t="shared" si="1"/>
        <v>0</v>
      </c>
      <c r="H65" s="122"/>
    </row>
    <row r="66" spans="2:8" ht="60" x14ac:dyDescent="0.2">
      <c r="B66" s="129"/>
      <c r="C66" s="197" t="s">
        <v>752</v>
      </c>
      <c r="D66" s="207" t="s">
        <v>123</v>
      </c>
      <c r="E66" s="199">
        <v>1</v>
      </c>
      <c r="F66" s="269">
        <v>0</v>
      </c>
      <c r="G66" s="270">
        <f t="shared" si="1"/>
        <v>0</v>
      </c>
      <c r="H66" s="122"/>
    </row>
    <row r="67" spans="2:8" ht="60" x14ac:dyDescent="0.2">
      <c r="B67" s="129"/>
      <c r="C67" s="197" t="s">
        <v>753</v>
      </c>
      <c r="D67" s="207" t="s">
        <v>123</v>
      </c>
      <c r="E67" s="199">
        <v>2</v>
      </c>
      <c r="F67" s="269">
        <v>0</v>
      </c>
      <c r="G67" s="270">
        <f t="shared" si="1"/>
        <v>0</v>
      </c>
      <c r="H67" s="122"/>
    </row>
    <row r="68" spans="2:8" ht="60" x14ac:dyDescent="0.2">
      <c r="B68" s="129"/>
      <c r="C68" s="197" t="s">
        <v>754</v>
      </c>
      <c r="D68" s="207" t="s">
        <v>123</v>
      </c>
      <c r="E68" s="199">
        <v>1</v>
      </c>
      <c r="F68" s="269">
        <v>0</v>
      </c>
      <c r="G68" s="270">
        <f t="shared" si="1"/>
        <v>0</v>
      </c>
      <c r="H68" s="122"/>
    </row>
    <row r="69" spans="2:8" ht="48" x14ac:dyDescent="0.2">
      <c r="B69" s="129"/>
      <c r="C69" s="197" t="s">
        <v>755</v>
      </c>
      <c r="D69" s="207" t="s">
        <v>123</v>
      </c>
      <c r="E69" s="199">
        <v>1</v>
      </c>
      <c r="F69" s="269">
        <v>0</v>
      </c>
      <c r="G69" s="270">
        <f t="shared" si="1"/>
        <v>0</v>
      </c>
      <c r="H69" s="122"/>
    </row>
    <row r="70" spans="2:8" ht="60" x14ac:dyDescent="0.2">
      <c r="B70" s="129"/>
      <c r="C70" s="311" t="s">
        <v>756</v>
      </c>
      <c r="D70" s="207" t="s">
        <v>98</v>
      </c>
      <c r="E70" s="199">
        <v>1</v>
      </c>
      <c r="F70" s="269">
        <v>0</v>
      </c>
      <c r="G70" s="270">
        <f t="shared" si="1"/>
        <v>0</v>
      </c>
      <c r="H70" s="122"/>
    </row>
    <row r="71" spans="2:8" ht="48" x14ac:dyDescent="0.2">
      <c r="B71" s="129"/>
      <c r="C71" s="197" t="s">
        <v>757</v>
      </c>
      <c r="D71" s="207" t="s">
        <v>123</v>
      </c>
      <c r="E71" s="199">
        <v>1</v>
      </c>
      <c r="F71" s="269">
        <v>0</v>
      </c>
      <c r="G71" s="270">
        <f t="shared" si="1"/>
        <v>0</v>
      </c>
      <c r="H71" s="122"/>
    </row>
    <row r="72" spans="2:8" ht="108" x14ac:dyDescent="0.2">
      <c r="B72" s="129"/>
      <c r="C72" s="197" t="s">
        <v>619</v>
      </c>
      <c r="D72" s="207" t="s">
        <v>123</v>
      </c>
      <c r="E72" s="199">
        <v>1</v>
      </c>
      <c r="F72" s="269">
        <v>0</v>
      </c>
      <c r="G72" s="270">
        <f t="shared" si="1"/>
        <v>0</v>
      </c>
      <c r="H72" s="122"/>
    </row>
    <row r="73" spans="2:8" ht="36" x14ac:dyDescent="0.2">
      <c r="B73" s="129"/>
      <c r="C73" s="197" t="s">
        <v>758</v>
      </c>
      <c r="D73" s="207" t="s">
        <v>123</v>
      </c>
      <c r="E73" s="199">
        <v>40</v>
      </c>
      <c r="F73" s="269">
        <v>0</v>
      </c>
      <c r="G73" s="270">
        <f t="shared" si="1"/>
        <v>0</v>
      </c>
      <c r="H73" s="122"/>
    </row>
    <row r="74" spans="2:8" ht="36" x14ac:dyDescent="0.2">
      <c r="B74" s="129"/>
      <c r="C74" s="197" t="s">
        <v>759</v>
      </c>
      <c r="D74" s="207" t="s">
        <v>123</v>
      </c>
      <c r="E74" s="199">
        <v>10</v>
      </c>
      <c r="F74" s="269">
        <v>0</v>
      </c>
      <c r="G74" s="270">
        <f t="shared" si="1"/>
        <v>0</v>
      </c>
      <c r="H74" s="122"/>
    </row>
    <row r="75" spans="2:8" ht="36" x14ac:dyDescent="0.2">
      <c r="B75" s="129"/>
      <c r="C75" s="197" t="s">
        <v>760</v>
      </c>
      <c r="D75" s="207" t="s">
        <v>123</v>
      </c>
      <c r="E75" s="199">
        <v>2</v>
      </c>
      <c r="F75" s="269">
        <v>0</v>
      </c>
      <c r="G75" s="270">
        <f t="shared" si="1"/>
        <v>0</v>
      </c>
      <c r="H75" s="122"/>
    </row>
    <row r="76" spans="2:8" ht="36" x14ac:dyDescent="0.2">
      <c r="B76" s="129"/>
      <c r="C76" s="197" t="s">
        <v>761</v>
      </c>
      <c r="D76" s="207" t="s">
        <v>123</v>
      </c>
      <c r="E76" s="199">
        <v>12</v>
      </c>
      <c r="F76" s="269">
        <v>0</v>
      </c>
      <c r="G76" s="270">
        <f t="shared" si="1"/>
        <v>0</v>
      </c>
      <c r="H76" s="122"/>
    </row>
    <row r="77" spans="2:8" ht="36" x14ac:dyDescent="0.2">
      <c r="B77" s="129"/>
      <c r="C77" s="197" t="s">
        <v>762</v>
      </c>
      <c r="D77" s="207" t="s">
        <v>123</v>
      </c>
      <c r="E77" s="199">
        <v>1</v>
      </c>
      <c r="F77" s="269">
        <v>0</v>
      </c>
      <c r="G77" s="270">
        <f t="shared" si="1"/>
        <v>0</v>
      </c>
      <c r="H77" s="122"/>
    </row>
    <row r="78" spans="2:8" ht="48" x14ac:dyDescent="0.2">
      <c r="B78" s="129"/>
      <c r="C78" s="197" t="s">
        <v>763</v>
      </c>
      <c r="D78" s="207" t="s">
        <v>123</v>
      </c>
      <c r="E78" s="199">
        <v>1</v>
      </c>
      <c r="F78" s="269">
        <v>0</v>
      </c>
      <c r="G78" s="270">
        <f t="shared" si="1"/>
        <v>0</v>
      </c>
      <c r="H78" s="122"/>
    </row>
    <row r="79" spans="2:8" ht="48" x14ac:dyDescent="0.2">
      <c r="B79" s="129"/>
      <c r="C79" s="197" t="s">
        <v>764</v>
      </c>
      <c r="D79" s="207" t="s">
        <v>123</v>
      </c>
      <c r="E79" s="199">
        <v>3</v>
      </c>
      <c r="F79" s="269">
        <v>0</v>
      </c>
      <c r="G79" s="270">
        <f t="shared" si="1"/>
        <v>0</v>
      </c>
      <c r="H79" s="122"/>
    </row>
    <row r="80" spans="2:8" ht="48" x14ac:dyDescent="0.2">
      <c r="B80" s="129"/>
      <c r="C80" s="197" t="s">
        <v>765</v>
      </c>
      <c r="D80" s="207" t="s">
        <v>123</v>
      </c>
      <c r="E80" s="199">
        <v>3</v>
      </c>
      <c r="F80" s="269">
        <v>0</v>
      </c>
      <c r="G80" s="270">
        <f t="shared" si="1"/>
        <v>0</v>
      </c>
      <c r="H80" s="122"/>
    </row>
    <row r="81" spans="2:8" ht="48" x14ac:dyDescent="0.2">
      <c r="B81" s="129"/>
      <c r="C81" s="197" t="s">
        <v>766</v>
      </c>
      <c r="D81" s="207" t="s">
        <v>123</v>
      </c>
      <c r="E81" s="199">
        <v>3</v>
      </c>
      <c r="F81" s="269">
        <v>0</v>
      </c>
      <c r="G81" s="270">
        <f t="shared" si="1"/>
        <v>0</v>
      </c>
      <c r="H81" s="122"/>
    </row>
    <row r="82" spans="2:8" ht="48" x14ac:dyDescent="0.2">
      <c r="B82" s="129"/>
      <c r="C82" s="197" t="s">
        <v>767</v>
      </c>
      <c r="D82" s="207" t="s">
        <v>98</v>
      </c>
      <c r="E82" s="199">
        <v>1</v>
      </c>
      <c r="F82" s="269">
        <v>0</v>
      </c>
      <c r="G82" s="270">
        <f t="shared" si="1"/>
        <v>0</v>
      </c>
      <c r="H82" s="122"/>
    </row>
    <row r="83" spans="2:8" ht="60" x14ac:dyDescent="0.2">
      <c r="B83" s="129"/>
      <c r="C83" s="197" t="s">
        <v>768</v>
      </c>
      <c r="D83" s="207" t="s">
        <v>123</v>
      </c>
      <c r="E83" s="199">
        <v>1</v>
      </c>
      <c r="F83" s="269">
        <v>0</v>
      </c>
      <c r="G83" s="270">
        <f t="shared" si="1"/>
        <v>0</v>
      </c>
      <c r="H83" s="122"/>
    </row>
    <row r="84" spans="2:8" ht="84" x14ac:dyDescent="0.2">
      <c r="B84" s="129"/>
      <c r="C84" s="197" t="s">
        <v>620</v>
      </c>
      <c r="D84" s="207" t="s">
        <v>123</v>
      </c>
      <c r="E84" s="199">
        <v>1</v>
      </c>
      <c r="F84" s="269">
        <v>0</v>
      </c>
      <c r="G84" s="270">
        <f t="shared" si="1"/>
        <v>0</v>
      </c>
      <c r="H84" s="122"/>
    </row>
    <row r="85" spans="2:8" x14ac:dyDescent="0.2">
      <c r="B85" s="153">
        <v>2</v>
      </c>
      <c r="C85" s="357" t="s">
        <v>769</v>
      </c>
      <c r="D85" s="207"/>
      <c r="E85" s="199"/>
      <c r="F85" s="1715"/>
      <c r="G85" s="270"/>
      <c r="H85" s="122"/>
    </row>
    <row r="86" spans="2:8" s="121" customFormat="1" ht="387.75" customHeight="1" x14ac:dyDescent="0.2">
      <c r="B86" s="2743"/>
      <c r="C86" s="2744"/>
      <c r="D86" s="2745"/>
      <c r="E86" s="2746"/>
      <c r="F86" s="2747"/>
      <c r="G86" s="2736"/>
      <c r="H86" s="122"/>
    </row>
    <row r="87" spans="2:8" s="121" customFormat="1" ht="24.75" customHeight="1" x14ac:dyDescent="0.2">
      <c r="B87" s="2743"/>
      <c r="C87" s="2744" t="s">
        <v>2465</v>
      </c>
      <c r="D87" s="2748" t="s">
        <v>98</v>
      </c>
      <c r="E87" s="2746">
        <v>1</v>
      </c>
      <c r="F87" s="2747">
        <v>0</v>
      </c>
      <c r="G87" s="2736">
        <f t="shared" ref="G87" si="2">E87*F87</f>
        <v>0</v>
      </c>
      <c r="H87" s="122"/>
    </row>
    <row r="88" spans="2:8" ht="48" x14ac:dyDescent="0.2">
      <c r="B88" s="129"/>
      <c r="C88" s="197" t="s">
        <v>771</v>
      </c>
      <c r="D88" s="207" t="s">
        <v>123</v>
      </c>
      <c r="E88" s="199">
        <v>1</v>
      </c>
      <c r="F88" s="269">
        <v>0</v>
      </c>
      <c r="G88" s="270">
        <f t="shared" ref="G88:G95" si="3">E88*F88</f>
        <v>0</v>
      </c>
      <c r="H88" s="122"/>
    </row>
    <row r="89" spans="2:8" ht="48" x14ac:dyDescent="0.2">
      <c r="B89" s="129"/>
      <c r="C89" s="197" t="s">
        <v>625</v>
      </c>
      <c r="D89" s="207" t="s">
        <v>123</v>
      </c>
      <c r="E89" s="199">
        <v>1</v>
      </c>
      <c r="F89" s="269">
        <v>0</v>
      </c>
      <c r="G89" s="270">
        <f t="shared" si="3"/>
        <v>0</v>
      </c>
      <c r="H89" s="122"/>
    </row>
    <row r="90" spans="2:8" ht="60" x14ac:dyDescent="0.2">
      <c r="B90" s="129"/>
      <c r="C90" s="197" t="s">
        <v>772</v>
      </c>
      <c r="D90" s="207" t="s">
        <v>123</v>
      </c>
      <c r="E90" s="199">
        <v>1</v>
      </c>
      <c r="F90" s="269">
        <v>0</v>
      </c>
      <c r="G90" s="270">
        <f t="shared" si="3"/>
        <v>0</v>
      </c>
      <c r="H90" s="122"/>
    </row>
    <row r="91" spans="2:8" ht="48" x14ac:dyDescent="0.2">
      <c r="B91" s="362"/>
      <c r="C91" s="311" t="s">
        <v>943</v>
      </c>
      <c r="D91" s="207" t="s">
        <v>123</v>
      </c>
      <c r="E91" s="199">
        <v>1</v>
      </c>
      <c r="F91" s="269">
        <v>0</v>
      </c>
      <c r="G91" s="270">
        <f t="shared" si="3"/>
        <v>0</v>
      </c>
      <c r="H91" s="122"/>
    </row>
    <row r="92" spans="2:8" ht="180" x14ac:dyDescent="0.2">
      <c r="B92" s="153"/>
      <c r="C92" s="311" t="s">
        <v>773</v>
      </c>
      <c r="D92" s="207" t="s">
        <v>123</v>
      </c>
      <c r="E92" s="199">
        <v>1</v>
      </c>
      <c r="F92" s="269">
        <v>0</v>
      </c>
      <c r="G92" s="270">
        <f t="shared" si="3"/>
        <v>0</v>
      </c>
      <c r="H92" s="122"/>
    </row>
    <row r="93" spans="2:8" ht="60" x14ac:dyDescent="0.2">
      <c r="B93" s="153"/>
      <c r="C93" s="311" t="s">
        <v>944</v>
      </c>
      <c r="D93" s="207" t="s">
        <v>98</v>
      </c>
      <c r="E93" s="199">
        <v>1</v>
      </c>
      <c r="F93" s="269">
        <v>0</v>
      </c>
      <c r="G93" s="270">
        <f t="shared" si="3"/>
        <v>0</v>
      </c>
      <c r="H93" s="122"/>
    </row>
    <row r="94" spans="2:8" ht="36" x14ac:dyDescent="0.2">
      <c r="B94" s="129"/>
      <c r="C94" s="197" t="s">
        <v>603</v>
      </c>
      <c r="D94" s="207" t="s">
        <v>123</v>
      </c>
      <c r="E94" s="199">
        <v>1</v>
      </c>
      <c r="F94" s="269">
        <v>0</v>
      </c>
      <c r="G94" s="270">
        <f t="shared" si="3"/>
        <v>0</v>
      </c>
      <c r="H94" s="122"/>
    </row>
    <row r="95" spans="2:8" ht="288" x14ac:dyDescent="0.2">
      <c r="B95" s="129"/>
      <c r="C95" s="197" t="s">
        <v>630</v>
      </c>
      <c r="D95" s="207" t="s">
        <v>98</v>
      </c>
      <c r="E95" s="199">
        <v>2</v>
      </c>
      <c r="F95" s="269">
        <v>0</v>
      </c>
      <c r="G95" s="270">
        <f t="shared" si="3"/>
        <v>0</v>
      </c>
      <c r="H95" s="122"/>
    </row>
    <row r="96" spans="2:8" x14ac:dyDescent="0.2">
      <c r="B96" s="153">
        <v>3</v>
      </c>
      <c r="C96" s="357" t="s">
        <v>775</v>
      </c>
      <c r="D96" s="207"/>
      <c r="E96" s="199"/>
      <c r="F96" s="269">
        <v>0</v>
      </c>
      <c r="G96" s="270"/>
      <c r="H96" s="122"/>
    </row>
    <row r="97" spans="2:8" ht="276" x14ac:dyDescent="0.2">
      <c r="B97" s="153"/>
      <c r="C97" s="311" t="s">
        <v>776</v>
      </c>
      <c r="D97" s="207" t="s">
        <v>98</v>
      </c>
      <c r="E97" s="199">
        <v>1</v>
      </c>
      <c r="F97" s="269">
        <v>0</v>
      </c>
      <c r="G97" s="270">
        <f>E97*F97</f>
        <v>0</v>
      </c>
      <c r="H97" s="122"/>
    </row>
    <row r="98" spans="2:8" ht="72" x14ac:dyDescent="0.2">
      <c r="B98" s="129"/>
      <c r="C98" s="197" t="s">
        <v>777</v>
      </c>
      <c r="D98" s="207" t="s">
        <v>98</v>
      </c>
      <c r="E98" s="199">
        <v>1</v>
      </c>
      <c r="F98" s="269">
        <v>0</v>
      </c>
      <c r="G98" s="270">
        <f>E98*F98</f>
        <v>0</v>
      </c>
      <c r="H98" s="122"/>
    </row>
    <row r="99" spans="2:8" ht="84" x14ac:dyDescent="0.2">
      <c r="B99" s="129"/>
      <c r="C99" s="197" t="s">
        <v>778</v>
      </c>
      <c r="D99" s="207" t="s">
        <v>98</v>
      </c>
      <c r="E99" s="199">
        <v>1</v>
      </c>
      <c r="F99" s="269">
        <v>0</v>
      </c>
      <c r="G99" s="270">
        <f>E99*F99</f>
        <v>0</v>
      </c>
      <c r="H99" s="122"/>
    </row>
    <row r="100" spans="2:8" x14ac:dyDescent="0.2">
      <c r="B100" s="153">
        <v>4</v>
      </c>
      <c r="C100" s="357" t="s">
        <v>779</v>
      </c>
      <c r="D100" s="207"/>
      <c r="E100" s="199"/>
      <c r="F100" s="1715"/>
      <c r="G100" s="270"/>
      <c r="H100" s="122"/>
    </row>
    <row r="101" spans="2:8" ht="60" x14ac:dyDescent="0.2">
      <c r="B101" s="129"/>
      <c r="C101" s="197" t="s">
        <v>780</v>
      </c>
      <c r="D101" s="207" t="s">
        <v>98</v>
      </c>
      <c r="E101" s="199">
        <v>2</v>
      </c>
      <c r="F101" s="269">
        <v>0</v>
      </c>
      <c r="G101" s="270">
        <f t="shared" ref="G101:G107" si="4">E101*F101</f>
        <v>0</v>
      </c>
      <c r="H101" s="122"/>
    </row>
    <row r="102" spans="2:8" ht="60" x14ac:dyDescent="0.2">
      <c r="B102" s="153"/>
      <c r="C102" s="311" t="s">
        <v>781</v>
      </c>
      <c r="D102" s="207" t="s">
        <v>98</v>
      </c>
      <c r="E102" s="199">
        <v>2</v>
      </c>
      <c r="F102" s="269">
        <v>0</v>
      </c>
      <c r="G102" s="270">
        <f t="shared" si="4"/>
        <v>0</v>
      </c>
      <c r="H102" s="122"/>
    </row>
    <row r="103" spans="2:8" ht="60" x14ac:dyDescent="0.2">
      <c r="B103" s="153"/>
      <c r="C103" s="311" t="s">
        <v>945</v>
      </c>
      <c r="D103" s="207" t="s">
        <v>98</v>
      </c>
      <c r="E103" s="199">
        <v>2</v>
      </c>
      <c r="F103" s="269">
        <v>0</v>
      </c>
      <c r="G103" s="270">
        <f t="shared" si="4"/>
        <v>0</v>
      </c>
      <c r="H103" s="122"/>
    </row>
    <row r="104" spans="2:8" ht="72" x14ac:dyDescent="0.2">
      <c r="B104" s="129"/>
      <c r="C104" s="197" t="s">
        <v>533</v>
      </c>
      <c r="D104" s="207" t="s">
        <v>123</v>
      </c>
      <c r="E104" s="199">
        <v>1</v>
      </c>
      <c r="F104" s="269">
        <v>0</v>
      </c>
      <c r="G104" s="270">
        <f t="shared" si="4"/>
        <v>0</v>
      </c>
      <c r="H104" s="122"/>
    </row>
    <row r="105" spans="2:8" ht="36" x14ac:dyDescent="0.2">
      <c r="B105" s="153"/>
      <c r="C105" s="311" t="s">
        <v>782</v>
      </c>
      <c r="D105" s="207" t="s">
        <v>123</v>
      </c>
      <c r="E105" s="199">
        <v>1</v>
      </c>
      <c r="F105" s="269">
        <v>0</v>
      </c>
      <c r="G105" s="270">
        <f t="shared" si="4"/>
        <v>0</v>
      </c>
      <c r="H105" s="122"/>
    </row>
    <row r="106" spans="2:8" ht="132" x14ac:dyDescent="0.2">
      <c r="B106" s="153"/>
      <c r="C106" s="311" t="s">
        <v>508</v>
      </c>
      <c r="D106" s="207" t="s">
        <v>123</v>
      </c>
      <c r="E106" s="199">
        <v>1</v>
      </c>
      <c r="F106" s="269">
        <v>0</v>
      </c>
      <c r="G106" s="270">
        <f t="shared" si="4"/>
        <v>0</v>
      </c>
      <c r="H106" s="122"/>
    </row>
    <row r="107" spans="2:8" ht="132" x14ac:dyDescent="0.2">
      <c r="B107" s="129"/>
      <c r="C107" s="197" t="s">
        <v>567</v>
      </c>
      <c r="D107" s="207" t="s">
        <v>123</v>
      </c>
      <c r="E107" s="199">
        <v>1</v>
      </c>
      <c r="F107" s="269">
        <v>0</v>
      </c>
      <c r="G107" s="270">
        <f t="shared" si="4"/>
        <v>0</v>
      </c>
      <c r="H107" s="122"/>
    </row>
    <row r="108" spans="2:8" x14ac:dyDescent="0.2">
      <c r="B108" s="153">
        <v>5</v>
      </c>
      <c r="C108" s="357" t="s">
        <v>784</v>
      </c>
      <c r="D108" s="207"/>
      <c r="E108" s="199"/>
      <c r="F108" s="1715"/>
      <c r="G108" s="270"/>
      <c r="H108" s="122"/>
    </row>
    <row r="109" spans="2:8" x14ac:dyDescent="0.2">
      <c r="B109" s="153"/>
      <c r="C109" s="311" t="s">
        <v>643</v>
      </c>
      <c r="D109" s="207" t="s">
        <v>644</v>
      </c>
      <c r="E109" s="199">
        <v>20</v>
      </c>
      <c r="F109" s="1715">
        <v>0</v>
      </c>
      <c r="G109" s="270">
        <f t="shared" ref="G109:G117" si="5">E109*F109</f>
        <v>0</v>
      </c>
      <c r="H109" s="122"/>
    </row>
    <row r="110" spans="2:8" x14ac:dyDescent="0.2">
      <c r="B110" s="153"/>
      <c r="C110" s="311" t="s">
        <v>645</v>
      </c>
      <c r="D110" s="207" t="s">
        <v>644</v>
      </c>
      <c r="E110" s="199">
        <v>30</v>
      </c>
      <c r="F110" s="1715">
        <v>0</v>
      </c>
      <c r="G110" s="270">
        <f t="shared" si="5"/>
        <v>0</v>
      </c>
      <c r="H110" s="122"/>
    </row>
    <row r="111" spans="2:8" x14ac:dyDescent="0.2">
      <c r="B111" s="153"/>
      <c r="C111" s="311" t="s">
        <v>646</v>
      </c>
      <c r="D111" s="207" t="s">
        <v>644</v>
      </c>
      <c r="E111" s="199">
        <v>100</v>
      </c>
      <c r="F111" s="1715">
        <v>0</v>
      </c>
      <c r="G111" s="270">
        <f t="shared" si="5"/>
        <v>0</v>
      </c>
      <c r="H111" s="122"/>
    </row>
    <row r="112" spans="2:8" x14ac:dyDescent="0.2">
      <c r="B112" s="153"/>
      <c r="C112" s="311" t="s">
        <v>647</v>
      </c>
      <c r="D112" s="207" t="s">
        <v>644</v>
      </c>
      <c r="E112" s="199">
        <v>50</v>
      </c>
      <c r="F112" s="1715">
        <v>0</v>
      </c>
      <c r="G112" s="270">
        <f t="shared" si="5"/>
        <v>0</v>
      </c>
      <c r="H112" s="122"/>
    </row>
    <row r="113" spans="2:8" x14ac:dyDescent="0.2">
      <c r="B113" s="153"/>
      <c r="C113" s="311" t="s">
        <v>648</v>
      </c>
      <c r="D113" s="207" t="s">
        <v>644</v>
      </c>
      <c r="E113" s="199">
        <v>30</v>
      </c>
      <c r="F113" s="1715">
        <v>0</v>
      </c>
      <c r="G113" s="270">
        <f t="shared" si="5"/>
        <v>0</v>
      </c>
      <c r="H113" s="122"/>
    </row>
    <row r="114" spans="2:8" x14ac:dyDescent="0.2">
      <c r="B114" s="153"/>
      <c r="C114" s="311" t="s">
        <v>650</v>
      </c>
      <c r="D114" s="207" t="s">
        <v>123</v>
      </c>
      <c r="E114" s="199">
        <v>2</v>
      </c>
      <c r="F114" s="1715">
        <v>0</v>
      </c>
      <c r="G114" s="270">
        <f t="shared" si="5"/>
        <v>0</v>
      </c>
      <c r="H114" s="122"/>
    </row>
    <row r="115" spans="2:8" x14ac:dyDescent="0.2">
      <c r="B115" s="153"/>
      <c r="C115" s="311" t="s">
        <v>651</v>
      </c>
      <c r="D115" s="207" t="s">
        <v>644</v>
      </c>
      <c r="E115" s="199">
        <v>50</v>
      </c>
      <c r="F115" s="1715">
        <v>0</v>
      </c>
      <c r="G115" s="270">
        <f t="shared" si="5"/>
        <v>0</v>
      </c>
      <c r="H115" s="122"/>
    </row>
    <row r="116" spans="2:8" x14ac:dyDescent="0.2">
      <c r="B116" s="153"/>
      <c r="C116" s="311" t="s">
        <v>652</v>
      </c>
      <c r="D116" s="207" t="s">
        <v>644</v>
      </c>
      <c r="E116" s="199">
        <v>30</v>
      </c>
      <c r="F116" s="1715">
        <v>0</v>
      </c>
      <c r="G116" s="270">
        <f t="shared" si="5"/>
        <v>0</v>
      </c>
      <c r="H116" s="122"/>
    </row>
    <row r="117" spans="2:8" x14ac:dyDescent="0.2">
      <c r="B117" s="153"/>
      <c r="C117" s="311" t="s">
        <v>632</v>
      </c>
      <c r="D117" s="207" t="s">
        <v>98</v>
      </c>
      <c r="E117" s="199">
        <v>1</v>
      </c>
      <c r="F117" s="1715">
        <v>0</v>
      </c>
      <c r="G117" s="270">
        <f t="shared" si="5"/>
        <v>0</v>
      </c>
      <c r="H117" s="122"/>
    </row>
    <row r="118" spans="2:8" s="11" customFormat="1" x14ac:dyDescent="0.2">
      <c r="B118" s="153">
        <v>6</v>
      </c>
      <c r="C118" s="357" t="s">
        <v>785</v>
      </c>
      <c r="D118" s="15"/>
      <c r="E118" s="419"/>
      <c r="F118" s="1716"/>
      <c r="G118" s="13"/>
      <c r="H118" s="122"/>
    </row>
    <row r="119" spans="2:8" s="11" customFormat="1" ht="24" x14ac:dyDescent="0.2">
      <c r="B119" s="153"/>
      <c r="C119" s="311" t="s">
        <v>666</v>
      </c>
      <c r="D119" s="207" t="s">
        <v>644</v>
      </c>
      <c r="E119" s="199">
        <v>20</v>
      </c>
      <c r="F119" s="1715">
        <v>0</v>
      </c>
      <c r="G119" s="270">
        <f t="shared" ref="G119:G126" si="6">E119*F119</f>
        <v>0</v>
      </c>
      <c r="H119" s="122"/>
    </row>
    <row r="120" spans="2:8" s="11" customFormat="1" x14ac:dyDescent="0.2">
      <c r="B120" s="153"/>
      <c r="C120" s="311" t="s">
        <v>667</v>
      </c>
      <c r="D120" s="207" t="s">
        <v>644</v>
      </c>
      <c r="E120" s="199">
        <v>50</v>
      </c>
      <c r="F120" s="1715">
        <v>0</v>
      </c>
      <c r="G120" s="270">
        <f t="shared" si="6"/>
        <v>0</v>
      </c>
      <c r="H120" s="122"/>
    </row>
    <row r="121" spans="2:8" s="11" customFormat="1" x14ac:dyDescent="0.2">
      <c r="B121" s="153"/>
      <c r="C121" s="311" t="s">
        <v>668</v>
      </c>
      <c r="D121" s="207" t="s">
        <v>644</v>
      </c>
      <c r="E121" s="199">
        <v>20</v>
      </c>
      <c r="F121" s="1715">
        <v>0</v>
      </c>
      <c r="G121" s="270">
        <f t="shared" si="6"/>
        <v>0</v>
      </c>
      <c r="H121" s="122"/>
    </row>
    <row r="122" spans="2:8" s="11" customFormat="1" ht="24" x14ac:dyDescent="0.2">
      <c r="B122" s="153"/>
      <c r="C122" s="311" t="s">
        <v>673</v>
      </c>
      <c r="D122" s="207" t="s">
        <v>123</v>
      </c>
      <c r="E122" s="199">
        <v>2</v>
      </c>
      <c r="F122" s="1715">
        <v>0</v>
      </c>
      <c r="G122" s="270">
        <f t="shared" si="6"/>
        <v>0</v>
      </c>
      <c r="H122" s="122"/>
    </row>
    <row r="123" spans="2:8" s="11" customFormat="1" x14ac:dyDescent="0.2">
      <c r="B123" s="153"/>
      <c r="C123" s="311" t="s">
        <v>787</v>
      </c>
      <c r="D123" s="207" t="s">
        <v>123</v>
      </c>
      <c r="E123" s="199">
        <v>1</v>
      </c>
      <c r="F123" s="1715">
        <v>0</v>
      </c>
      <c r="G123" s="270">
        <f t="shared" si="6"/>
        <v>0</v>
      </c>
      <c r="H123" s="122"/>
    </row>
    <row r="124" spans="2:8" s="11" customFormat="1" x14ac:dyDescent="0.2">
      <c r="B124" s="153"/>
      <c r="C124" s="311" t="s">
        <v>675</v>
      </c>
      <c r="D124" s="207" t="s">
        <v>123</v>
      </c>
      <c r="E124" s="199">
        <v>3</v>
      </c>
      <c r="F124" s="1715">
        <v>0</v>
      </c>
      <c r="G124" s="270">
        <f t="shared" si="6"/>
        <v>0</v>
      </c>
      <c r="H124" s="122"/>
    </row>
    <row r="125" spans="2:8" s="11" customFormat="1" x14ac:dyDescent="0.2">
      <c r="B125" s="153"/>
      <c r="C125" s="311" t="s">
        <v>676</v>
      </c>
      <c r="D125" s="207" t="s">
        <v>123</v>
      </c>
      <c r="E125" s="199">
        <v>2</v>
      </c>
      <c r="F125" s="1715">
        <v>0</v>
      </c>
      <c r="G125" s="270">
        <f t="shared" si="6"/>
        <v>0</v>
      </c>
      <c r="H125" s="122"/>
    </row>
    <row r="126" spans="2:8" s="11" customFormat="1" ht="24" x14ac:dyDescent="0.2">
      <c r="B126" s="153"/>
      <c r="C126" s="311" t="s">
        <v>677</v>
      </c>
      <c r="D126" s="207" t="s">
        <v>123</v>
      </c>
      <c r="E126" s="199">
        <v>1</v>
      </c>
      <c r="F126" s="1715">
        <v>0</v>
      </c>
      <c r="G126" s="270">
        <f t="shared" si="6"/>
        <v>0</v>
      </c>
      <c r="H126" s="122"/>
    </row>
    <row r="127" spans="2:8" x14ac:dyDescent="0.2">
      <c r="B127" s="153">
        <v>7</v>
      </c>
      <c r="C127" s="357" t="s">
        <v>788</v>
      </c>
      <c r="D127" s="207"/>
      <c r="E127" s="199"/>
      <c r="F127" s="1715"/>
      <c r="G127" s="270"/>
      <c r="H127" s="122"/>
    </row>
    <row r="128" spans="2:8" x14ac:dyDescent="0.2">
      <c r="B128" s="153"/>
      <c r="C128" s="197" t="s">
        <v>655</v>
      </c>
      <c r="D128" s="207" t="s">
        <v>644</v>
      </c>
      <c r="E128" s="199">
        <v>40</v>
      </c>
      <c r="F128" s="1715">
        <v>0</v>
      </c>
      <c r="G128" s="270">
        <f>E128*F128</f>
        <v>0</v>
      </c>
      <c r="H128" s="122"/>
    </row>
    <row r="129" spans="2:8" ht="36" x14ac:dyDescent="0.2">
      <c r="B129" s="153"/>
      <c r="C129" s="197" t="s">
        <v>656</v>
      </c>
      <c r="D129" s="207" t="s">
        <v>98</v>
      </c>
      <c r="E129" s="199">
        <v>2</v>
      </c>
      <c r="F129" s="1715">
        <v>0</v>
      </c>
      <c r="G129" s="270">
        <f>E129*F129</f>
        <v>0</v>
      </c>
      <c r="H129" s="122"/>
    </row>
    <row r="130" spans="2:8" ht="24" x14ac:dyDescent="0.2">
      <c r="B130" s="153"/>
      <c r="C130" s="197" t="s">
        <v>657</v>
      </c>
      <c r="D130" s="207" t="s">
        <v>98</v>
      </c>
      <c r="E130" s="199">
        <v>1</v>
      </c>
      <c r="F130" s="1715">
        <v>0</v>
      </c>
      <c r="G130" s="270">
        <f>E130*F130</f>
        <v>0</v>
      </c>
      <c r="H130" s="122"/>
    </row>
    <row r="131" spans="2:8" x14ac:dyDescent="0.2">
      <c r="B131" s="129"/>
      <c r="C131" s="197" t="s">
        <v>663</v>
      </c>
      <c r="D131" s="207" t="s">
        <v>98</v>
      </c>
      <c r="E131" s="199">
        <v>1</v>
      </c>
      <c r="F131" s="1715">
        <v>0</v>
      </c>
      <c r="G131" s="270">
        <f>E131*F131</f>
        <v>0</v>
      </c>
      <c r="H131" s="122"/>
    </row>
    <row r="132" spans="2:8" x14ac:dyDescent="0.2">
      <c r="B132" s="153">
        <v>8</v>
      </c>
      <c r="C132" s="357" t="s">
        <v>679</v>
      </c>
      <c r="D132" s="207"/>
      <c r="E132" s="199"/>
      <c r="F132" s="1715"/>
      <c r="G132" s="270"/>
      <c r="H132" s="122"/>
    </row>
    <row r="133" spans="2:8" ht="48" x14ac:dyDescent="0.2">
      <c r="B133" s="153"/>
      <c r="C133" s="311" t="s">
        <v>789</v>
      </c>
      <c r="D133" s="207" t="s">
        <v>98</v>
      </c>
      <c r="E133" s="199">
        <v>1</v>
      </c>
      <c r="F133" s="1715">
        <v>0</v>
      </c>
      <c r="G133" s="270">
        <f>E133*F133</f>
        <v>0</v>
      </c>
      <c r="H133" s="122"/>
    </row>
    <row r="134" spans="2:8" ht="36" x14ac:dyDescent="0.2">
      <c r="B134" s="129"/>
      <c r="C134" s="197" t="s">
        <v>790</v>
      </c>
      <c r="D134" s="207" t="s">
        <v>98</v>
      </c>
      <c r="E134" s="199">
        <v>1</v>
      </c>
      <c r="F134" s="1715">
        <v>0</v>
      </c>
      <c r="G134" s="270">
        <f>E134*F134</f>
        <v>0</v>
      </c>
      <c r="H134" s="122"/>
    </row>
    <row r="135" spans="2:8" ht="36" x14ac:dyDescent="0.2">
      <c r="B135" s="153"/>
      <c r="C135" s="311" t="s">
        <v>791</v>
      </c>
      <c r="D135" s="207" t="s">
        <v>98</v>
      </c>
      <c r="E135" s="199">
        <v>1</v>
      </c>
      <c r="F135" s="1715">
        <v>0</v>
      </c>
      <c r="G135" s="270">
        <f>E135*F135</f>
        <v>0</v>
      </c>
      <c r="H135" s="122"/>
    </row>
    <row r="136" spans="2:8" ht="36" x14ac:dyDescent="0.2">
      <c r="B136" s="153"/>
      <c r="C136" s="311" t="s">
        <v>792</v>
      </c>
      <c r="D136" s="207" t="s">
        <v>98</v>
      </c>
      <c r="E136" s="199">
        <v>1</v>
      </c>
      <c r="F136" s="1715">
        <v>0</v>
      </c>
      <c r="G136" s="270">
        <f>E136*F136</f>
        <v>0</v>
      </c>
      <c r="H136" s="122"/>
    </row>
    <row r="137" spans="2:8" s="121" customFormat="1" x14ac:dyDescent="0.2">
      <c r="B137" s="153"/>
      <c r="C137" s="311" t="s">
        <v>1042</v>
      </c>
      <c r="D137" s="207"/>
      <c r="E137" s="199"/>
      <c r="F137" s="1715"/>
      <c r="G137" s="270"/>
      <c r="H137" s="122"/>
    </row>
    <row r="138" spans="2:8" x14ac:dyDescent="0.2">
      <c r="B138" s="153">
        <v>1</v>
      </c>
      <c r="C138" s="357" t="s">
        <v>550</v>
      </c>
      <c r="D138" s="207"/>
      <c r="E138" s="199"/>
      <c r="F138" s="269"/>
      <c r="G138" s="270"/>
      <c r="H138" s="122"/>
    </row>
    <row r="139" spans="2:8" ht="108" x14ac:dyDescent="0.2">
      <c r="B139" s="153"/>
      <c r="C139" s="311" t="s">
        <v>815</v>
      </c>
      <c r="D139" s="10" t="s">
        <v>98</v>
      </c>
      <c r="E139" s="199">
        <v>1</v>
      </c>
      <c r="F139" s="269">
        <v>0</v>
      </c>
      <c r="G139" s="270">
        <f t="shared" ref="G139:G161" si="7">E139*F139</f>
        <v>0</v>
      </c>
      <c r="H139" s="122"/>
    </row>
    <row r="140" spans="2:8" ht="36" x14ac:dyDescent="0.2">
      <c r="B140" s="153"/>
      <c r="C140" s="311" t="s">
        <v>942</v>
      </c>
      <c r="D140" s="10" t="s">
        <v>123</v>
      </c>
      <c r="E140" s="199">
        <v>3</v>
      </c>
      <c r="F140" s="269">
        <v>0</v>
      </c>
      <c r="G140" s="270">
        <f t="shared" si="7"/>
        <v>0</v>
      </c>
      <c r="H140" s="122"/>
    </row>
    <row r="141" spans="2:8" ht="96" x14ac:dyDescent="0.2">
      <c r="B141" s="153"/>
      <c r="C141" s="311" t="s">
        <v>748</v>
      </c>
      <c r="D141" s="10" t="s">
        <v>98</v>
      </c>
      <c r="E141" s="199">
        <v>1</v>
      </c>
      <c r="F141" s="269">
        <v>0</v>
      </c>
      <c r="G141" s="270">
        <f t="shared" si="7"/>
        <v>0</v>
      </c>
      <c r="H141" s="122"/>
    </row>
    <row r="142" spans="2:8" ht="60" x14ac:dyDescent="0.2">
      <c r="B142" s="153"/>
      <c r="C142" s="311" t="s">
        <v>751</v>
      </c>
      <c r="D142" s="10" t="s">
        <v>123</v>
      </c>
      <c r="E142" s="199">
        <v>1</v>
      </c>
      <c r="F142" s="269">
        <v>0</v>
      </c>
      <c r="G142" s="270">
        <f t="shared" si="7"/>
        <v>0</v>
      </c>
      <c r="H142" s="122"/>
    </row>
    <row r="143" spans="2:8" ht="60" x14ac:dyDescent="0.2">
      <c r="B143" s="153"/>
      <c r="C143" s="311" t="s">
        <v>752</v>
      </c>
      <c r="D143" s="10" t="s">
        <v>123</v>
      </c>
      <c r="E143" s="199">
        <v>1</v>
      </c>
      <c r="F143" s="269">
        <v>0</v>
      </c>
      <c r="G143" s="270">
        <f t="shared" si="7"/>
        <v>0</v>
      </c>
      <c r="H143" s="122"/>
    </row>
    <row r="144" spans="2:8" ht="60" x14ac:dyDescent="0.2">
      <c r="B144" s="153"/>
      <c r="C144" s="311" t="s">
        <v>753</v>
      </c>
      <c r="D144" s="10" t="s">
        <v>123</v>
      </c>
      <c r="E144" s="199">
        <v>2</v>
      </c>
      <c r="F144" s="269">
        <v>0</v>
      </c>
      <c r="G144" s="270">
        <f t="shared" si="7"/>
        <v>0</v>
      </c>
      <c r="H144" s="122"/>
    </row>
    <row r="145" spans="2:8" ht="60" x14ac:dyDescent="0.2">
      <c r="B145" s="153"/>
      <c r="C145" s="311" t="s">
        <v>754</v>
      </c>
      <c r="D145" s="10" t="s">
        <v>123</v>
      </c>
      <c r="E145" s="199">
        <v>1</v>
      </c>
      <c r="F145" s="269">
        <v>0</v>
      </c>
      <c r="G145" s="270">
        <f t="shared" si="7"/>
        <v>0</v>
      </c>
      <c r="H145" s="122"/>
    </row>
    <row r="146" spans="2:8" ht="48" x14ac:dyDescent="0.2">
      <c r="B146" s="153"/>
      <c r="C146" s="311" t="s">
        <v>755</v>
      </c>
      <c r="D146" s="10" t="s">
        <v>123</v>
      </c>
      <c r="E146" s="199">
        <v>1</v>
      </c>
      <c r="F146" s="269">
        <v>0</v>
      </c>
      <c r="G146" s="270">
        <f t="shared" si="7"/>
        <v>0</v>
      </c>
    </row>
    <row r="147" spans="2:8" ht="60" x14ac:dyDescent="0.2">
      <c r="B147" s="153"/>
      <c r="C147" s="311" t="s">
        <v>756</v>
      </c>
      <c r="D147" s="10" t="s">
        <v>98</v>
      </c>
      <c r="E147" s="199">
        <v>1</v>
      </c>
      <c r="F147" s="269">
        <v>0</v>
      </c>
      <c r="G147" s="270">
        <f t="shared" si="7"/>
        <v>0</v>
      </c>
    </row>
    <row r="148" spans="2:8" ht="48" x14ac:dyDescent="0.2">
      <c r="B148" s="153"/>
      <c r="C148" s="311" t="s">
        <v>757</v>
      </c>
      <c r="D148" s="10" t="s">
        <v>123</v>
      </c>
      <c r="E148" s="199">
        <v>1</v>
      </c>
      <c r="F148" s="269">
        <v>0</v>
      </c>
      <c r="G148" s="270">
        <f t="shared" si="7"/>
        <v>0</v>
      </c>
    </row>
    <row r="149" spans="2:8" ht="108" x14ac:dyDescent="0.2">
      <c r="B149" s="153"/>
      <c r="C149" s="311" t="s">
        <v>619</v>
      </c>
      <c r="D149" s="10" t="s">
        <v>123</v>
      </c>
      <c r="E149" s="199">
        <v>1</v>
      </c>
      <c r="F149" s="269">
        <v>0</v>
      </c>
      <c r="G149" s="270">
        <f t="shared" si="7"/>
        <v>0</v>
      </c>
    </row>
    <row r="150" spans="2:8" ht="36" x14ac:dyDescent="0.2">
      <c r="B150" s="153"/>
      <c r="C150" s="311" t="s">
        <v>758</v>
      </c>
      <c r="D150" s="10" t="s">
        <v>123</v>
      </c>
      <c r="E150" s="199">
        <v>40</v>
      </c>
      <c r="F150" s="269">
        <v>0</v>
      </c>
      <c r="G150" s="270">
        <f t="shared" si="7"/>
        <v>0</v>
      </c>
    </row>
    <row r="151" spans="2:8" ht="36" x14ac:dyDescent="0.2">
      <c r="B151" s="153"/>
      <c r="C151" s="311" t="s">
        <v>759</v>
      </c>
      <c r="D151" s="10" t="s">
        <v>123</v>
      </c>
      <c r="E151" s="199">
        <v>10</v>
      </c>
      <c r="F151" s="269">
        <v>0</v>
      </c>
      <c r="G151" s="270">
        <f t="shared" si="7"/>
        <v>0</v>
      </c>
    </row>
    <row r="152" spans="2:8" ht="36" x14ac:dyDescent="0.2">
      <c r="B152" s="153"/>
      <c r="C152" s="311" t="s">
        <v>760</v>
      </c>
      <c r="D152" s="10" t="s">
        <v>123</v>
      </c>
      <c r="E152" s="199">
        <v>2</v>
      </c>
      <c r="F152" s="269">
        <v>0</v>
      </c>
      <c r="G152" s="270">
        <f t="shared" si="7"/>
        <v>0</v>
      </c>
    </row>
    <row r="153" spans="2:8" ht="36" x14ac:dyDescent="0.2">
      <c r="B153" s="153"/>
      <c r="C153" s="311" t="s">
        <v>761</v>
      </c>
      <c r="D153" s="10" t="s">
        <v>123</v>
      </c>
      <c r="E153" s="199">
        <v>10</v>
      </c>
      <c r="F153" s="269">
        <v>0</v>
      </c>
      <c r="G153" s="270">
        <f t="shared" si="7"/>
        <v>0</v>
      </c>
    </row>
    <row r="154" spans="2:8" ht="36" x14ac:dyDescent="0.2">
      <c r="B154" s="153"/>
      <c r="C154" s="311" t="s">
        <v>762</v>
      </c>
      <c r="D154" s="10" t="s">
        <v>123</v>
      </c>
      <c r="E154" s="199">
        <v>1</v>
      </c>
      <c r="F154" s="269">
        <v>0</v>
      </c>
      <c r="G154" s="270">
        <f t="shared" si="7"/>
        <v>0</v>
      </c>
    </row>
    <row r="155" spans="2:8" ht="48" x14ac:dyDescent="0.2">
      <c r="B155" s="153"/>
      <c r="C155" s="311" t="s">
        <v>763</v>
      </c>
      <c r="D155" s="10" t="s">
        <v>123</v>
      </c>
      <c r="E155" s="199">
        <v>1</v>
      </c>
      <c r="F155" s="269">
        <v>0</v>
      </c>
      <c r="G155" s="270">
        <f t="shared" si="7"/>
        <v>0</v>
      </c>
    </row>
    <row r="156" spans="2:8" ht="48" x14ac:dyDescent="0.2">
      <c r="B156" s="153"/>
      <c r="C156" s="311" t="s">
        <v>764</v>
      </c>
      <c r="D156" s="10" t="s">
        <v>123</v>
      </c>
      <c r="E156" s="199">
        <v>3</v>
      </c>
      <c r="F156" s="269">
        <v>0</v>
      </c>
      <c r="G156" s="270">
        <f t="shared" si="7"/>
        <v>0</v>
      </c>
    </row>
    <row r="157" spans="2:8" ht="48" x14ac:dyDescent="0.2">
      <c r="B157" s="153"/>
      <c r="C157" s="311" t="s">
        <v>765</v>
      </c>
      <c r="D157" s="10" t="s">
        <v>123</v>
      </c>
      <c r="E157" s="199">
        <v>3</v>
      </c>
      <c r="F157" s="269">
        <v>0</v>
      </c>
      <c r="G157" s="270">
        <f t="shared" si="7"/>
        <v>0</v>
      </c>
    </row>
    <row r="158" spans="2:8" ht="48" x14ac:dyDescent="0.2">
      <c r="B158" s="153"/>
      <c r="C158" s="311" t="s">
        <v>766</v>
      </c>
      <c r="D158" s="10" t="s">
        <v>123</v>
      </c>
      <c r="E158" s="199">
        <v>3</v>
      </c>
      <c r="F158" s="269">
        <v>0</v>
      </c>
      <c r="G158" s="270">
        <f t="shared" si="7"/>
        <v>0</v>
      </c>
    </row>
    <row r="159" spans="2:8" ht="48" x14ac:dyDescent="0.2">
      <c r="B159" s="153"/>
      <c r="C159" s="311" t="s">
        <v>767</v>
      </c>
      <c r="D159" s="10" t="s">
        <v>98</v>
      </c>
      <c r="E159" s="199">
        <v>1</v>
      </c>
      <c r="F159" s="269">
        <v>0</v>
      </c>
      <c r="G159" s="270">
        <f t="shared" si="7"/>
        <v>0</v>
      </c>
    </row>
    <row r="160" spans="2:8" ht="60" x14ac:dyDescent="0.2">
      <c r="B160" s="153"/>
      <c r="C160" s="311" t="s">
        <v>768</v>
      </c>
      <c r="D160" s="207" t="s">
        <v>123</v>
      </c>
      <c r="E160" s="199">
        <v>1</v>
      </c>
      <c r="F160" s="269">
        <v>0</v>
      </c>
      <c r="G160" s="270">
        <f t="shared" si="7"/>
        <v>0</v>
      </c>
    </row>
    <row r="161" spans="2:7" ht="84" x14ac:dyDescent="0.2">
      <c r="B161" s="153"/>
      <c r="C161" s="311" t="s">
        <v>620</v>
      </c>
      <c r="D161" s="207" t="s">
        <v>123</v>
      </c>
      <c r="E161" s="199">
        <v>1</v>
      </c>
      <c r="F161" s="269">
        <v>0</v>
      </c>
      <c r="G161" s="270">
        <f t="shared" si="7"/>
        <v>0</v>
      </c>
    </row>
    <row r="162" spans="2:7" x14ac:dyDescent="0.2">
      <c r="B162" s="153">
        <v>2</v>
      </c>
      <c r="C162" s="357" t="s">
        <v>769</v>
      </c>
      <c r="D162" s="207"/>
      <c r="E162" s="199"/>
      <c r="F162" s="269"/>
      <c r="G162" s="270"/>
    </row>
    <row r="163" spans="2:7" ht="72" x14ac:dyDescent="0.2">
      <c r="B163" s="153"/>
      <c r="C163" s="311" t="s">
        <v>770</v>
      </c>
      <c r="D163" s="207" t="s">
        <v>98</v>
      </c>
      <c r="E163" s="199">
        <v>1</v>
      </c>
      <c r="F163" s="269">
        <v>0</v>
      </c>
      <c r="G163" s="270">
        <f t="shared" ref="G163:G170" si="8">E163*F163</f>
        <v>0</v>
      </c>
    </row>
    <row r="164" spans="2:7" ht="48" x14ac:dyDescent="0.2">
      <c r="B164" s="153"/>
      <c r="C164" s="311" t="s">
        <v>771</v>
      </c>
      <c r="D164" s="207" t="s">
        <v>123</v>
      </c>
      <c r="E164" s="199">
        <v>1</v>
      </c>
      <c r="F164" s="269">
        <v>0</v>
      </c>
      <c r="G164" s="270">
        <f t="shared" si="8"/>
        <v>0</v>
      </c>
    </row>
    <row r="165" spans="2:7" ht="48" x14ac:dyDescent="0.2">
      <c r="B165" s="153"/>
      <c r="C165" s="311" t="s">
        <v>625</v>
      </c>
      <c r="D165" s="207" t="s">
        <v>123</v>
      </c>
      <c r="E165" s="199">
        <v>1</v>
      </c>
      <c r="F165" s="269">
        <v>0</v>
      </c>
      <c r="G165" s="270">
        <f t="shared" si="8"/>
        <v>0</v>
      </c>
    </row>
    <row r="166" spans="2:7" ht="60" x14ac:dyDescent="0.2">
      <c r="B166" s="153"/>
      <c r="C166" s="311" t="s">
        <v>772</v>
      </c>
      <c r="D166" s="207" t="s">
        <v>123</v>
      </c>
      <c r="E166" s="199">
        <v>1</v>
      </c>
      <c r="F166" s="269">
        <v>0</v>
      </c>
      <c r="G166" s="270">
        <f t="shared" si="8"/>
        <v>0</v>
      </c>
    </row>
    <row r="167" spans="2:7" ht="180" x14ac:dyDescent="0.2">
      <c r="B167" s="153"/>
      <c r="C167" s="311" t="s">
        <v>773</v>
      </c>
      <c r="D167" s="207" t="s">
        <v>123</v>
      </c>
      <c r="E167" s="199">
        <v>1</v>
      </c>
      <c r="F167" s="269">
        <v>0</v>
      </c>
      <c r="G167" s="270">
        <f t="shared" si="8"/>
        <v>0</v>
      </c>
    </row>
    <row r="168" spans="2:7" ht="60" x14ac:dyDescent="0.2">
      <c r="B168" s="153"/>
      <c r="C168" s="311" t="s">
        <v>774</v>
      </c>
      <c r="D168" s="10" t="s">
        <v>98</v>
      </c>
      <c r="E168" s="199">
        <v>1</v>
      </c>
      <c r="F168" s="269">
        <v>0</v>
      </c>
      <c r="G168" s="270">
        <f t="shared" si="8"/>
        <v>0</v>
      </c>
    </row>
    <row r="169" spans="2:7" ht="36" x14ac:dyDescent="0.2">
      <c r="B169" s="153"/>
      <c r="C169" s="311" t="s">
        <v>603</v>
      </c>
      <c r="D169" s="10" t="s">
        <v>123</v>
      </c>
      <c r="E169" s="199">
        <v>1</v>
      </c>
      <c r="F169" s="269">
        <v>0</v>
      </c>
      <c r="G169" s="270">
        <f t="shared" si="8"/>
        <v>0</v>
      </c>
    </row>
    <row r="170" spans="2:7" ht="288" x14ac:dyDescent="0.2">
      <c r="B170" s="153"/>
      <c r="C170" s="311" t="s">
        <v>630</v>
      </c>
      <c r="D170" s="207" t="s">
        <v>98</v>
      </c>
      <c r="E170" s="199">
        <v>2</v>
      </c>
      <c r="F170" s="269">
        <v>0</v>
      </c>
      <c r="G170" s="270">
        <f t="shared" si="8"/>
        <v>0</v>
      </c>
    </row>
    <row r="171" spans="2:7" x14ac:dyDescent="0.2">
      <c r="B171" s="153">
        <v>3</v>
      </c>
      <c r="C171" s="357" t="s">
        <v>775</v>
      </c>
      <c r="D171" s="207"/>
      <c r="E171" s="199"/>
      <c r="F171" s="269"/>
      <c r="G171" s="270"/>
    </row>
    <row r="172" spans="2:7" ht="276" x14ac:dyDescent="0.2">
      <c r="B172" s="153"/>
      <c r="C172" s="311" t="s">
        <v>776</v>
      </c>
      <c r="D172" s="10" t="s">
        <v>98</v>
      </c>
      <c r="E172" s="199">
        <v>1</v>
      </c>
      <c r="F172" s="269">
        <v>0</v>
      </c>
      <c r="G172" s="270">
        <f>E172*F172</f>
        <v>0</v>
      </c>
    </row>
    <row r="173" spans="2:7" ht="72" x14ac:dyDescent="0.2">
      <c r="B173" s="153"/>
      <c r="C173" s="311" t="s">
        <v>777</v>
      </c>
      <c r="D173" s="207" t="s">
        <v>98</v>
      </c>
      <c r="E173" s="199">
        <v>1</v>
      </c>
      <c r="F173" s="269">
        <v>0</v>
      </c>
      <c r="G173" s="270">
        <f>E173*F173</f>
        <v>0</v>
      </c>
    </row>
    <row r="174" spans="2:7" ht="84" x14ac:dyDescent="0.2">
      <c r="B174" s="153"/>
      <c r="C174" s="311" t="s">
        <v>778</v>
      </c>
      <c r="D174" s="10" t="s">
        <v>98</v>
      </c>
      <c r="E174" s="199">
        <v>1</v>
      </c>
      <c r="F174" s="269">
        <v>0</v>
      </c>
      <c r="G174" s="270">
        <f>E174*F174</f>
        <v>0</v>
      </c>
    </row>
    <row r="175" spans="2:7" x14ac:dyDescent="0.2">
      <c r="B175" s="153">
        <v>4</v>
      </c>
      <c r="C175" s="357" t="s">
        <v>779</v>
      </c>
      <c r="D175" s="207"/>
      <c r="E175" s="199"/>
      <c r="F175" s="269"/>
      <c r="G175" s="270"/>
    </row>
    <row r="176" spans="2:7" ht="60" x14ac:dyDescent="0.2">
      <c r="B176" s="153"/>
      <c r="C176" s="311" t="s">
        <v>780</v>
      </c>
      <c r="D176" s="207" t="s">
        <v>98</v>
      </c>
      <c r="E176" s="199">
        <v>2</v>
      </c>
      <c r="F176" s="269">
        <v>0</v>
      </c>
      <c r="G176" s="270">
        <f t="shared" ref="G176:G182" si="9">E176*F176</f>
        <v>0</v>
      </c>
    </row>
    <row r="177" spans="2:7" ht="60" x14ac:dyDescent="0.2">
      <c r="B177" s="153"/>
      <c r="C177" s="311" t="s">
        <v>781</v>
      </c>
      <c r="D177" s="207" t="s">
        <v>98</v>
      </c>
      <c r="E177" s="199">
        <v>2</v>
      </c>
      <c r="F177" s="269">
        <v>0</v>
      </c>
      <c r="G177" s="270">
        <f t="shared" si="9"/>
        <v>0</v>
      </c>
    </row>
    <row r="178" spans="2:7" ht="72" x14ac:dyDescent="0.2">
      <c r="B178" s="153"/>
      <c r="C178" s="311" t="s">
        <v>533</v>
      </c>
      <c r="D178" s="10" t="s">
        <v>123</v>
      </c>
      <c r="E178" s="199">
        <v>1</v>
      </c>
      <c r="F178" s="269">
        <v>0</v>
      </c>
      <c r="G178" s="270">
        <f t="shared" si="9"/>
        <v>0</v>
      </c>
    </row>
    <row r="179" spans="2:7" ht="60" x14ac:dyDescent="0.2">
      <c r="B179" s="153"/>
      <c r="C179" s="311" t="s">
        <v>1043</v>
      </c>
      <c r="D179" s="207" t="s">
        <v>98</v>
      </c>
      <c r="E179" s="199">
        <v>1</v>
      </c>
      <c r="F179" s="269">
        <v>0</v>
      </c>
      <c r="G179" s="270">
        <f t="shared" si="9"/>
        <v>0</v>
      </c>
    </row>
    <row r="180" spans="2:7" ht="36" x14ac:dyDescent="0.2">
      <c r="B180" s="153"/>
      <c r="C180" s="311" t="s">
        <v>782</v>
      </c>
      <c r="D180" s="207" t="s">
        <v>123</v>
      </c>
      <c r="E180" s="199">
        <v>1</v>
      </c>
      <c r="F180" s="269">
        <v>0</v>
      </c>
      <c r="G180" s="270">
        <f t="shared" si="9"/>
        <v>0</v>
      </c>
    </row>
    <row r="181" spans="2:7" ht="132" x14ac:dyDescent="0.2">
      <c r="B181" s="153"/>
      <c r="C181" s="311" t="s">
        <v>508</v>
      </c>
      <c r="D181" s="207" t="s">
        <v>123</v>
      </c>
      <c r="E181" s="199">
        <v>1</v>
      </c>
      <c r="F181" s="269">
        <v>0</v>
      </c>
      <c r="G181" s="270">
        <f t="shared" si="9"/>
        <v>0</v>
      </c>
    </row>
    <row r="182" spans="2:7" ht="96" x14ac:dyDescent="0.2">
      <c r="B182" s="153"/>
      <c r="C182" s="311" t="s">
        <v>783</v>
      </c>
      <c r="D182" s="10" t="s">
        <v>123</v>
      </c>
      <c r="E182" s="199">
        <v>1</v>
      </c>
      <c r="F182" s="269">
        <v>0</v>
      </c>
      <c r="G182" s="270">
        <f t="shared" si="9"/>
        <v>0</v>
      </c>
    </row>
    <row r="183" spans="2:7" x14ac:dyDescent="0.2">
      <c r="B183" s="153">
        <v>5</v>
      </c>
      <c r="C183" s="357" t="s">
        <v>784</v>
      </c>
      <c r="D183" s="207"/>
      <c r="E183" s="199"/>
      <c r="F183" s="269"/>
      <c r="G183" s="270"/>
    </row>
    <row r="184" spans="2:7" x14ac:dyDescent="0.2">
      <c r="B184" s="153"/>
      <c r="C184" s="311" t="s">
        <v>643</v>
      </c>
      <c r="D184" s="207" t="s">
        <v>644</v>
      </c>
      <c r="E184" s="199">
        <v>20</v>
      </c>
      <c r="F184" s="269">
        <v>0</v>
      </c>
      <c r="G184" s="270">
        <f t="shared" ref="G184:G192" si="10">E184*F184</f>
        <v>0</v>
      </c>
    </row>
    <row r="185" spans="2:7" x14ac:dyDescent="0.2">
      <c r="B185" s="153"/>
      <c r="C185" s="311" t="s">
        <v>645</v>
      </c>
      <c r="D185" s="207" t="s">
        <v>644</v>
      </c>
      <c r="E185" s="199">
        <v>30</v>
      </c>
      <c r="F185" s="269">
        <v>0</v>
      </c>
      <c r="G185" s="270">
        <f t="shared" si="10"/>
        <v>0</v>
      </c>
    </row>
    <row r="186" spans="2:7" x14ac:dyDescent="0.2">
      <c r="B186" s="153"/>
      <c r="C186" s="311" t="s">
        <v>646</v>
      </c>
      <c r="D186" s="207" t="s">
        <v>644</v>
      </c>
      <c r="E186" s="199">
        <v>100</v>
      </c>
      <c r="F186" s="269">
        <v>0</v>
      </c>
      <c r="G186" s="270">
        <f t="shared" si="10"/>
        <v>0</v>
      </c>
    </row>
    <row r="187" spans="2:7" x14ac:dyDescent="0.2">
      <c r="B187" s="153"/>
      <c r="C187" s="311" t="s">
        <v>647</v>
      </c>
      <c r="D187" s="207" t="s">
        <v>644</v>
      </c>
      <c r="E187" s="199">
        <v>50</v>
      </c>
      <c r="F187" s="269">
        <v>0</v>
      </c>
      <c r="G187" s="270">
        <f t="shared" si="10"/>
        <v>0</v>
      </c>
    </row>
    <row r="188" spans="2:7" x14ac:dyDescent="0.2">
      <c r="B188" s="153"/>
      <c r="C188" s="311" t="s">
        <v>648</v>
      </c>
      <c r="D188" s="207" t="s">
        <v>644</v>
      </c>
      <c r="E188" s="199">
        <v>30</v>
      </c>
      <c r="F188" s="269">
        <v>0</v>
      </c>
      <c r="G188" s="270">
        <f t="shared" si="10"/>
        <v>0</v>
      </c>
    </row>
    <row r="189" spans="2:7" x14ac:dyDescent="0.2">
      <c r="B189" s="153"/>
      <c r="C189" s="311" t="s">
        <v>650</v>
      </c>
      <c r="D189" s="207" t="s">
        <v>123</v>
      </c>
      <c r="E189" s="199">
        <v>2</v>
      </c>
      <c r="F189" s="269">
        <v>0</v>
      </c>
      <c r="G189" s="270">
        <f t="shared" si="10"/>
        <v>0</v>
      </c>
    </row>
    <row r="190" spans="2:7" x14ac:dyDescent="0.2">
      <c r="B190" s="153"/>
      <c r="C190" s="311" t="s">
        <v>651</v>
      </c>
      <c r="D190" s="207" t="s">
        <v>644</v>
      </c>
      <c r="E190" s="199">
        <v>50</v>
      </c>
      <c r="F190" s="269">
        <v>0</v>
      </c>
      <c r="G190" s="270">
        <f t="shared" si="10"/>
        <v>0</v>
      </c>
    </row>
    <row r="191" spans="2:7" x14ac:dyDescent="0.2">
      <c r="B191" s="153"/>
      <c r="C191" s="311" t="s">
        <v>652</v>
      </c>
      <c r="D191" s="207" t="s">
        <v>644</v>
      </c>
      <c r="E191" s="199">
        <v>30</v>
      </c>
      <c r="F191" s="269">
        <v>0</v>
      </c>
      <c r="G191" s="270">
        <f t="shared" si="10"/>
        <v>0</v>
      </c>
    </row>
    <row r="192" spans="2:7" x14ac:dyDescent="0.2">
      <c r="B192" s="153"/>
      <c r="C192" s="311" t="s">
        <v>632</v>
      </c>
      <c r="D192" s="207" t="s">
        <v>98</v>
      </c>
      <c r="E192" s="199">
        <v>1</v>
      </c>
      <c r="F192" s="269">
        <v>0</v>
      </c>
      <c r="G192" s="270">
        <f t="shared" si="10"/>
        <v>0</v>
      </c>
    </row>
    <row r="193" spans="2:7" x14ac:dyDescent="0.2">
      <c r="B193" s="153">
        <v>6</v>
      </c>
      <c r="C193" s="357" t="s">
        <v>785</v>
      </c>
      <c r="D193" s="15"/>
      <c r="E193" s="419"/>
      <c r="F193" s="14"/>
      <c r="G193" s="13"/>
    </row>
    <row r="194" spans="2:7" ht="24" x14ac:dyDescent="0.2">
      <c r="B194" s="153"/>
      <c r="C194" s="311" t="s">
        <v>666</v>
      </c>
      <c r="D194" s="207" t="s">
        <v>644</v>
      </c>
      <c r="E194" s="199">
        <v>20</v>
      </c>
      <c r="F194" s="269">
        <v>0</v>
      </c>
      <c r="G194" s="270">
        <f t="shared" ref="G194:G201" si="11">E194*F194</f>
        <v>0</v>
      </c>
    </row>
    <row r="195" spans="2:7" x14ac:dyDescent="0.2">
      <c r="B195" s="153"/>
      <c r="C195" s="311" t="s">
        <v>667</v>
      </c>
      <c r="D195" s="207" t="s">
        <v>644</v>
      </c>
      <c r="E195" s="199">
        <v>50</v>
      </c>
      <c r="F195" s="269">
        <v>0</v>
      </c>
      <c r="G195" s="270">
        <f t="shared" si="11"/>
        <v>0</v>
      </c>
    </row>
    <row r="196" spans="2:7" x14ac:dyDescent="0.2">
      <c r="B196" s="153"/>
      <c r="C196" s="311" t="s">
        <v>668</v>
      </c>
      <c r="D196" s="207" t="s">
        <v>644</v>
      </c>
      <c r="E196" s="199">
        <v>20</v>
      </c>
      <c r="F196" s="269">
        <v>0</v>
      </c>
      <c r="G196" s="270">
        <f t="shared" si="11"/>
        <v>0</v>
      </c>
    </row>
    <row r="197" spans="2:7" ht="24" x14ac:dyDescent="0.2">
      <c r="B197" s="153"/>
      <c r="C197" s="311" t="s">
        <v>673</v>
      </c>
      <c r="D197" s="207" t="s">
        <v>123</v>
      </c>
      <c r="E197" s="199">
        <v>2</v>
      </c>
      <c r="F197" s="269">
        <v>0</v>
      </c>
      <c r="G197" s="270">
        <f t="shared" si="11"/>
        <v>0</v>
      </c>
    </row>
    <row r="198" spans="2:7" x14ac:dyDescent="0.2">
      <c r="B198" s="153"/>
      <c r="C198" s="311" t="s">
        <v>787</v>
      </c>
      <c r="D198" s="207" t="s">
        <v>123</v>
      </c>
      <c r="E198" s="199">
        <v>1</v>
      </c>
      <c r="F198" s="269">
        <v>0</v>
      </c>
      <c r="G198" s="270">
        <f t="shared" si="11"/>
        <v>0</v>
      </c>
    </row>
    <row r="199" spans="2:7" x14ac:dyDescent="0.2">
      <c r="B199" s="153"/>
      <c r="C199" s="311" t="s">
        <v>675</v>
      </c>
      <c r="D199" s="207" t="s">
        <v>123</v>
      </c>
      <c r="E199" s="199">
        <v>3</v>
      </c>
      <c r="F199" s="269">
        <v>0</v>
      </c>
      <c r="G199" s="270">
        <f t="shared" si="11"/>
        <v>0</v>
      </c>
    </row>
    <row r="200" spans="2:7" x14ac:dyDescent="0.2">
      <c r="B200" s="153"/>
      <c r="C200" s="311" t="s">
        <v>676</v>
      </c>
      <c r="D200" s="207" t="s">
        <v>123</v>
      </c>
      <c r="E200" s="199">
        <v>2</v>
      </c>
      <c r="F200" s="269">
        <v>0</v>
      </c>
      <c r="G200" s="270">
        <f t="shared" si="11"/>
        <v>0</v>
      </c>
    </row>
    <row r="201" spans="2:7" ht="24" x14ac:dyDescent="0.2">
      <c r="B201" s="153"/>
      <c r="C201" s="311" t="s">
        <v>677</v>
      </c>
      <c r="D201" s="207" t="s">
        <v>123</v>
      </c>
      <c r="E201" s="199">
        <v>1</v>
      </c>
      <c r="F201" s="269">
        <v>0</v>
      </c>
      <c r="G201" s="270">
        <f t="shared" si="11"/>
        <v>0</v>
      </c>
    </row>
    <row r="202" spans="2:7" x14ac:dyDescent="0.2">
      <c r="B202" s="153">
        <v>7</v>
      </c>
      <c r="C202" s="357" t="s">
        <v>788</v>
      </c>
      <c r="D202" s="207"/>
      <c r="E202" s="199"/>
      <c r="F202" s="269"/>
      <c r="G202" s="270"/>
    </row>
    <row r="203" spans="2:7" x14ac:dyDescent="0.2">
      <c r="B203" s="153"/>
      <c r="C203" s="197" t="s">
        <v>655</v>
      </c>
      <c r="D203" s="207" t="s">
        <v>644</v>
      </c>
      <c r="E203" s="199">
        <v>40</v>
      </c>
      <c r="F203" s="269">
        <v>0</v>
      </c>
      <c r="G203" s="270">
        <f>E203*F203</f>
        <v>0</v>
      </c>
    </row>
    <row r="204" spans="2:7" ht="36" x14ac:dyDescent="0.2">
      <c r="B204" s="153"/>
      <c r="C204" s="197" t="s">
        <v>656</v>
      </c>
      <c r="D204" s="207" t="s">
        <v>98</v>
      </c>
      <c r="E204" s="199">
        <v>2</v>
      </c>
      <c r="F204" s="269">
        <v>0</v>
      </c>
      <c r="G204" s="270">
        <f>E204*F204</f>
        <v>0</v>
      </c>
    </row>
    <row r="205" spans="2:7" ht="24" x14ac:dyDescent="0.2">
      <c r="B205" s="153"/>
      <c r="C205" s="197" t="s">
        <v>657</v>
      </c>
      <c r="D205" s="207" t="s">
        <v>98</v>
      </c>
      <c r="E205" s="199">
        <v>1</v>
      </c>
      <c r="F205" s="269">
        <v>0</v>
      </c>
      <c r="G205" s="270">
        <f>E205*F205</f>
        <v>0</v>
      </c>
    </row>
    <row r="206" spans="2:7" x14ac:dyDescent="0.2">
      <c r="B206" s="153"/>
      <c r="C206" s="197" t="s">
        <v>663</v>
      </c>
      <c r="D206" s="207" t="s">
        <v>98</v>
      </c>
      <c r="E206" s="199">
        <v>1</v>
      </c>
      <c r="F206" s="269">
        <v>0</v>
      </c>
      <c r="G206" s="270">
        <f>E206*F206</f>
        <v>0</v>
      </c>
    </row>
    <row r="207" spans="2:7" x14ac:dyDescent="0.2">
      <c r="B207" s="153">
        <v>8</v>
      </c>
      <c r="C207" s="357" t="s">
        <v>679</v>
      </c>
      <c r="D207" s="207"/>
      <c r="E207" s="199"/>
      <c r="F207" s="269"/>
      <c r="G207" s="270"/>
    </row>
    <row r="208" spans="2:7" ht="48" x14ac:dyDescent="0.2">
      <c r="B208" s="153"/>
      <c r="C208" s="311" t="s">
        <v>789</v>
      </c>
      <c r="D208" s="207" t="s">
        <v>98</v>
      </c>
      <c r="E208" s="199">
        <v>1</v>
      </c>
      <c r="F208" s="269">
        <v>0</v>
      </c>
      <c r="G208" s="270">
        <f>E208*F208</f>
        <v>0</v>
      </c>
    </row>
    <row r="209" spans="2:7" ht="36" x14ac:dyDescent="0.2">
      <c r="B209" s="153"/>
      <c r="C209" s="311" t="s">
        <v>790</v>
      </c>
      <c r="D209" s="207" t="s">
        <v>98</v>
      </c>
      <c r="E209" s="199">
        <v>1</v>
      </c>
      <c r="F209" s="269">
        <v>0</v>
      </c>
      <c r="G209" s="270">
        <f>E209*F209</f>
        <v>0</v>
      </c>
    </row>
    <row r="210" spans="2:7" ht="36" x14ac:dyDescent="0.2">
      <c r="B210" s="153"/>
      <c r="C210" s="311" t="s">
        <v>791</v>
      </c>
      <c r="D210" s="10" t="s">
        <v>98</v>
      </c>
      <c r="E210" s="199">
        <v>1</v>
      </c>
      <c r="F210" s="269">
        <v>0</v>
      </c>
      <c r="G210" s="270">
        <f>E210*F210</f>
        <v>0</v>
      </c>
    </row>
    <row r="211" spans="2:7" ht="36" x14ac:dyDescent="0.2">
      <c r="B211" s="153"/>
      <c r="C211" s="311" t="s">
        <v>791</v>
      </c>
      <c r="D211" s="207" t="s">
        <v>98</v>
      </c>
      <c r="E211" s="199">
        <v>1</v>
      </c>
      <c r="F211" s="269">
        <v>0</v>
      </c>
      <c r="G211" s="270">
        <f>E211*F211</f>
        <v>0</v>
      </c>
    </row>
    <row r="212" spans="2:7" x14ac:dyDescent="0.2">
      <c r="B212" s="293" t="s">
        <v>18</v>
      </c>
      <c r="C212" s="294" t="s">
        <v>794</v>
      </c>
      <c r="D212" s="218"/>
      <c r="E212" s="203"/>
      <c r="F212" s="204"/>
      <c r="G212" s="290">
        <f>SUM(G64:G211)</f>
        <v>0</v>
      </c>
    </row>
  </sheetData>
  <mergeCells count="8">
    <mergeCell ref="B60:G60"/>
    <mergeCell ref="B61:G61"/>
    <mergeCell ref="B62:G62"/>
    <mergeCell ref="B26:G26"/>
    <mergeCell ref="B56:G56"/>
    <mergeCell ref="B57:G57"/>
    <mergeCell ref="B58:G58"/>
    <mergeCell ref="B59:G59"/>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0C49-CA04-4ECF-8EA4-9A5AE15BA959}">
  <sheetPr codeName="Sheet30">
    <tabColor rgb="FF00B050"/>
  </sheetPr>
  <dimension ref="A2:L100"/>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1031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1044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G100</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72" x14ac:dyDescent="0.2">
      <c r="A56" s="121"/>
      <c r="B56" s="153"/>
      <c r="C56" s="311" t="s">
        <v>770</v>
      </c>
      <c r="D56" s="207" t="s">
        <v>98</v>
      </c>
      <c r="E56" s="199">
        <v>1</v>
      </c>
      <c r="F56" s="269">
        <v>0</v>
      </c>
      <c r="G56" s="270">
        <f t="shared" ref="G56:G62" si="2">E56*F56</f>
        <v>0</v>
      </c>
      <c r="H56" s="122"/>
      <c r="I56" s="121"/>
      <c r="J56" s="121"/>
      <c r="K56" s="121"/>
      <c r="L56" s="121"/>
    </row>
    <row r="57" spans="1:12" s="2" customFormat="1" ht="48" x14ac:dyDescent="0.2">
      <c r="A57" s="121"/>
      <c r="B57" s="153"/>
      <c r="C57" s="311" t="s">
        <v>771</v>
      </c>
      <c r="D57" s="207" t="s">
        <v>123</v>
      </c>
      <c r="E57" s="199">
        <v>1</v>
      </c>
      <c r="F57" s="269">
        <v>0</v>
      </c>
      <c r="G57" s="270">
        <f t="shared" si="2"/>
        <v>0</v>
      </c>
      <c r="H57" s="122"/>
      <c r="I57" s="121"/>
      <c r="J57" s="121"/>
      <c r="K57" s="121"/>
      <c r="L57" s="121"/>
    </row>
    <row r="58" spans="1:12" s="2" customFormat="1" ht="60" x14ac:dyDescent="0.2">
      <c r="A58" s="121"/>
      <c r="B58" s="153"/>
      <c r="C58" s="311" t="s">
        <v>772</v>
      </c>
      <c r="D58" s="207" t="s">
        <v>123</v>
      </c>
      <c r="E58" s="199">
        <v>1</v>
      </c>
      <c r="F58" s="269">
        <v>0</v>
      </c>
      <c r="G58" s="270">
        <f t="shared" si="2"/>
        <v>0</v>
      </c>
      <c r="H58" s="122"/>
      <c r="I58" s="121"/>
      <c r="J58" s="121"/>
      <c r="K58" s="121"/>
      <c r="L58" s="121"/>
    </row>
    <row r="59" spans="1:12" s="2" customFormat="1" ht="180" x14ac:dyDescent="0.2">
      <c r="A59" s="121"/>
      <c r="B59" s="153"/>
      <c r="C59" s="311" t="s">
        <v>773</v>
      </c>
      <c r="D59" s="207" t="s">
        <v>123</v>
      </c>
      <c r="E59" s="199">
        <v>1</v>
      </c>
      <c r="F59" s="269">
        <v>0</v>
      </c>
      <c r="G59" s="270">
        <f t="shared" si="2"/>
        <v>0</v>
      </c>
      <c r="H59" s="122"/>
      <c r="I59" s="121"/>
      <c r="J59" s="121"/>
      <c r="K59" s="121"/>
      <c r="L59" s="121"/>
    </row>
    <row r="60" spans="1:12" s="2" customFormat="1" ht="60" x14ac:dyDescent="0.2">
      <c r="A60" s="121"/>
      <c r="B60" s="153"/>
      <c r="C60" s="311" t="s">
        <v>774</v>
      </c>
      <c r="D60" s="10" t="s">
        <v>98</v>
      </c>
      <c r="E60" s="199">
        <v>1</v>
      </c>
      <c r="F60" s="269">
        <v>0</v>
      </c>
      <c r="G60" s="270">
        <f t="shared" si="2"/>
        <v>0</v>
      </c>
      <c r="H60" s="122"/>
      <c r="I60" s="121"/>
      <c r="J60" s="121"/>
      <c r="K60" s="121"/>
      <c r="L60" s="121"/>
    </row>
    <row r="61" spans="1:12" s="2" customFormat="1" ht="36" x14ac:dyDescent="0.2">
      <c r="A61" s="121"/>
      <c r="B61" s="153"/>
      <c r="C61" s="311" t="s">
        <v>603</v>
      </c>
      <c r="D61" s="10" t="s">
        <v>123</v>
      </c>
      <c r="E61" s="199">
        <v>1</v>
      </c>
      <c r="F61" s="269">
        <v>0</v>
      </c>
      <c r="G61" s="270">
        <f t="shared" si="2"/>
        <v>0</v>
      </c>
      <c r="H61" s="122"/>
      <c r="I61" s="121"/>
      <c r="J61" s="121"/>
      <c r="K61" s="121"/>
      <c r="L61" s="121"/>
    </row>
    <row r="62" spans="1:12" s="2" customFormat="1" ht="288" x14ac:dyDescent="0.2">
      <c r="A62" s="121"/>
      <c r="B62" s="153"/>
      <c r="C62" s="311" t="s">
        <v>630</v>
      </c>
      <c r="D62" s="207" t="s">
        <v>98</v>
      </c>
      <c r="E62" s="199">
        <v>2</v>
      </c>
      <c r="F62" s="269">
        <v>0</v>
      </c>
      <c r="G62" s="270">
        <f t="shared" si="2"/>
        <v>0</v>
      </c>
      <c r="H62" s="122"/>
      <c r="I62" s="121"/>
      <c r="J62" s="121"/>
      <c r="K62" s="121"/>
      <c r="L62" s="121"/>
    </row>
    <row r="63" spans="1:12" s="2" customFormat="1" x14ac:dyDescent="0.2">
      <c r="A63" s="121"/>
      <c r="B63" s="153">
        <v>3</v>
      </c>
      <c r="C63" s="357" t="s">
        <v>775</v>
      </c>
      <c r="D63" s="207"/>
      <c r="E63" s="199"/>
      <c r="F63" s="269"/>
      <c r="G63" s="270"/>
      <c r="H63" s="122"/>
      <c r="I63" s="121"/>
      <c r="J63" s="121"/>
      <c r="K63" s="121"/>
      <c r="L63" s="121"/>
    </row>
    <row r="64" spans="1:12" s="2" customFormat="1" ht="276" x14ac:dyDescent="0.2">
      <c r="A64" s="121"/>
      <c r="B64" s="153"/>
      <c r="C64" s="311" t="s">
        <v>776</v>
      </c>
      <c r="D64" s="10" t="s">
        <v>98</v>
      </c>
      <c r="E64" s="199">
        <v>1</v>
      </c>
      <c r="F64" s="269">
        <v>0</v>
      </c>
      <c r="G64" s="270">
        <f>E64*F64</f>
        <v>0</v>
      </c>
      <c r="H64" s="122"/>
      <c r="I64" s="121"/>
      <c r="J64" s="121"/>
      <c r="K64" s="121"/>
      <c r="L64" s="121"/>
    </row>
    <row r="65" spans="1:12" s="2" customFormat="1" ht="72" x14ac:dyDescent="0.2">
      <c r="A65" s="121"/>
      <c r="B65" s="153"/>
      <c r="C65" s="311" t="s">
        <v>777</v>
      </c>
      <c r="D65" s="207" t="s">
        <v>98</v>
      </c>
      <c r="E65" s="199">
        <v>1</v>
      </c>
      <c r="F65" s="269">
        <v>0</v>
      </c>
      <c r="G65" s="270">
        <f>E65*F65</f>
        <v>0</v>
      </c>
      <c r="H65" s="122"/>
      <c r="I65" s="121"/>
      <c r="J65" s="121"/>
      <c r="K65" s="121"/>
      <c r="L65" s="121"/>
    </row>
    <row r="66" spans="1:12" s="2" customFormat="1" ht="84" x14ac:dyDescent="0.2">
      <c r="A66" s="121"/>
      <c r="B66" s="153"/>
      <c r="C66" s="311" t="s">
        <v>778</v>
      </c>
      <c r="D66" s="10" t="s">
        <v>98</v>
      </c>
      <c r="E66" s="199">
        <v>1</v>
      </c>
      <c r="F66" s="269">
        <v>0</v>
      </c>
      <c r="G66" s="270">
        <f>E66*F66</f>
        <v>0</v>
      </c>
      <c r="H66" s="122"/>
      <c r="I66" s="121"/>
      <c r="J66" s="121"/>
      <c r="K66" s="121"/>
      <c r="L66" s="121"/>
    </row>
    <row r="67" spans="1:12" s="2" customFormat="1" x14ac:dyDescent="0.2">
      <c r="A67" s="121"/>
      <c r="B67" s="153">
        <v>4</v>
      </c>
      <c r="C67" s="357" t="s">
        <v>779</v>
      </c>
      <c r="D67" s="207"/>
      <c r="E67" s="199"/>
      <c r="F67" s="269"/>
      <c r="G67" s="270"/>
      <c r="H67" s="122"/>
      <c r="I67" s="121"/>
      <c r="J67" s="121"/>
      <c r="K67" s="121"/>
      <c r="L67" s="121"/>
    </row>
    <row r="68" spans="1:12" s="2" customFormat="1" ht="60" x14ac:dyDescent="0.2">
      <c r="A68" s="121"/>
      <c r="B68" s="153"/>
      <c r="C68" s="311" t="s">
        <v>780</v>
      </c>
      <c r="D68" s="207" t="s">
        <v>98</v>
      </c>
      <c r="E68" s="199">
        <v>2</v>
      </c>
      <c r="F68" s="269">
        <v>0</v>
      </c>
      <c r="G68" s="270">
        <f>E68*F68</f>
        <v>0</v>
      </c>
      <c r="H68" s="122"/>
      <c r="I68" s="121"/>
      <c r="J68" s="121"/>
      <c r="K68" s="121"/>
      <c r="L68" s="121"/>
    </row>
    <row r="69" spans="1:12" s="2" customFormat="1" ht="60" x14ac:dyDescent="0.2">
      <c r="A69" s="121"/>
      <c r="B69" s="153"/>
      <c r="C69" s="311" t="s">
        <v>781</v>
      </c>
      <c r="D69" s="207" t="s">
        <v>98</v>
      </c>
      <c r="E69" s="199">
        <v>2</v>
      </c>
      <c r="F69" s="269">
        <v>0</v>
      </c>
      <c r="G69" s="270">
        <f>E69*F69</f>
        <v>0</v>
      </c>
      <c r="H69" s="122"/>
      <c r="I69" s="121"/>
      <c r="J69" s="121"/>
      <c r="K69" s="121"/>
      <c r="L69" s="121"/>
    </row>
    <row r="70" spans="1:12" s="2" customFormat="1" ht="36" x14ac:dyDescent="0.2">
      <c r="A70" s="121"/>
      <c r="B70" s="153"/>
      <c r="C70" s="311" t="s">
        <v>782</v>
      </c>
      <c r="D70" s="207" t="s">
        <v>123</v>
      </c>
      <c r="E70" s="199">
        <v>1</v>
      </c>
      <c r="F70" s="269">
        <v>0</v>
      </c>
      <c r="G70" s="270">
        <f>E70*F70</f>
        <v>0</v>
      </c>
      <c r="H70" s="122"/>
      <c r="I70" s="121"/>
      <c r="J70" s="121"/>
      <c r="K70" s="121"/>
      <c r="L70" s="121"/>
    </row>
    <row r="71" spans="1:12" s="2" customFormat="1" ht="132" x14ac:dyDescent="0.2">
      <c r="A71" s="121"/>
      <c r="B71" s="153"/>
      <c r="C71" s="311" t="s">
        <v>508</v>
      </c>
      <c r="D71" s="207" t="s">
        <v>123</v>
      </c>
      <c r="E71" s="199">
        <v>1</v>
      </c>
      <c r="F71" s="269">
        <v>0</v>
      </c>
      <c r="G71" s="270">
        <f>E71*F71</f>
        <v>0</v>
      </c>
      <c r="H71" s="122"/>
      <c r="I71" s="121"/>
      <c r="J71" s="121"/>
      <c r="K71" s="121"/>
      <c r="L71" s="121"/>
    </row>
    <row r="72" spans="1:12" s="2" customFormat="1" ht="96" x14ac:dyDescent="0.2">
      <c r="A72" s="121"/>
      <c r="B72" s="153"/>
      <c r="C72" s="311" t="s">
        <v>783</v>
      </c>
      <c r="D72" s="10" t="s">
        <v>123</v>
      </c>
      <c r="E72" s="199">
        <v>1</v>
      </c>
      <c r="F72" s="269">
        <v>0</v>
      </c>
      <c r="G72" s="270">
        <f>E72*F72</f>
        <v>0</v>
      </c>
      <c r="H72" s="122"/>
      <c r="I72" s="121"/>
      <c r="J72" s="121"/>
      <c r="K72" s="121"/>
      <c r="L72" s="121"/>
    </row>
    <row r="73" spans="1:12" s="2" customFormat="1" x14ac:dyDescent="0.2">
      <c r="A73" s="121"/>
      <c r="B73" s="153">
        <v>5</v>
      </c>
      <c r="C73" s="357" t="s">
        <v>784</v>
      </c>
      <c r="D73" s="207"/>
      <c r="E73" s="199"/>
      <c r="F73" s="269"/>
      <c r="G73" s="270"/>
      <c r="H73" s="122"/>
      <c r="I73" s="121"/>
      <c r="J73" s="121"/>
      <c r="K73" s="121"/>
      <c r="L73" s="121"/>
    </row>
    <row r="74" spans="1:12" s="2" customFormat="1" x14ac:dyDescent="0.2">
      <c r="A74" s="121"/>
      <c r="B74" s="153"/>
      <c r="C74" s="311" t="s">
        <v>645</v>
      </c>
      <c r="D74" s="207" t="s">
        <v>644</v>
      </c>
      <c r="E74" s="199">
        <v>15</v>
      </c>
      <c r="F74" s="269">
        <v>0</v>
      </c>
      <c r="G74" s="270">
        <f t="shared" ref="G74:G81" si="3">E74*F74</f>
        <v>0</v>
      </c>
      <c r="H74" s="122"/>
      <c r="I74" s="121"/>
      <c r="J74" s="121"/>
      <c r="K74" s="121"/>
      <c r="L74" s="121"/>
    </row>
    <row r="75" spans="1:12" s="2" customFormat="1" x14ac:dyDescent="0.2">
      <c r="A75" s="121"/>
      <c r="B75" s="153"/>
      <c r="C75" s="311" t="s">
        <v>646</v>
      </c>
      <c r="D75" s="207" t="s">
        <v>644</v>
      </c>
      <c r="E75" s="199">
        <v>50</v>
      </c>
      <c r="F75" s="269">
        <v>0</v>
      </c>
      <c r="G75" s="270">
        <f t="shared" si="3"/>
        <v>0</v>
      </c>
      <c r="H75" s="122"/>
      <c r="I75" s="121"/>
      <c r="J75" s="121"/>
      <c r="K75" s="121"/>
      <c r="L75" s="121"/>
    </row>
    <row r="76" spans="1:12" s="2" customFormat="1" x14ac:dyDescent="0.2">
      <c r="A76" s="121"/>
      <c r="B76" s="153"/>
      <c r="C76" s="311" t="s">
        <v>647</v>
      </c>
      <c r="D76" s="207" t="s">
        <v>644</v>
      </c>
      <c r="E76" s="199">
        <v>25</v>
      </c>
      <c r="F76" s="269">
        <v>0</v>
      </c>
      <c r="G76" s="270">
        <f t="shared" si="3"/>
        <v>0</v>
      </c>
      <c r="H76" s="122"/>
      <c r="I76" s="121"/>
      <c r="J76" s="121"/>
      <c r="K76" s="121"/>
      <c r="L76" s="121"/>
    </row>
    <row r="77" spans="1:12" s="2" customFormat="1" x14ac:dyDescent="0.2">
      <c r="A77" s="121"/>
      <c r="B77" s="153"/>
      <c r="C77" s="311" t="s">
        <v>648</v>
      </c>
      <c r="D77" s="207" t="s">
        <v>644</v>
      </c>
      <c r="E77" s="199">
        <v>15</v>
      </c>
      <c r="F77" s="269">
        <v>0</v>
      </c>
      <c r="G77" s="270">
        <f t="shared" si="3"/>
        <v>0</v>
      </c>
      <c r="H77" s="122"/>
      <c r="I77" s="121"/>
      <c r="J77" s="121"/>
      <c r="K77" s="121"/>
      <c r="L77" s="121"/>
    </row>
    <row r="78" spans="1:12" s="2" customFormat="1" x14ac:dyDescent="0.2">
      <c r="A78" s="121"/>
      <c r="B78" s="153"/>
      <c r="C78" s="311" t="s">
        <v>650</v>
      </c>
      <c r="D78" s="207" t="s">
        <v>123</v>
      </c>
      <c r="E78" s="199">
        <v>2</v>
      </c>
      <c r="F78" s="269">
        <v>0</v>
      </c>
      <c r="G78" s="270">
        <f t="shared" si="3"/>
        <v>0</v>
      </c>
      <c r="H78" s="122"/>
      <c r="I78" s="121"/>
      <c r="J78" s="121"/>
      <c r="K78" s="121"/>
      <c r="L78" s="121"/>
    </row>
    <row r="79" spans="1:12" s="2" customFormat="1" x14ac:dyDescent="0.2">
      <c r="A79" s="121"/>
      <c r="B79" s="153"/>
      <c r="C79" s="311" t="s">
        <v>651</v>
      </c>
      <c r="D79" s="207" t="s">
        <v>644</v>
      </c>
      <c r="E79" s="199">
        <v>20</v>
      </c>
      <c r="F79" s="269">
        <v>0</v>
      </c>
      <c r="G79" s="270">
        <f t="shared" si="3"/>
        <v>0</v>
      </c>
      <c r="H79" s="122"/>
      <c r="I79" s="121"/>
      <c r="J79" s="121"/>
      <c r="K79" s="121"/>
      <c r="L79" s="121"/>
    </row>
    <row r="80" spans="1:12" s="2" customFormat="1" x14ac:dyDescent="0.2">
      <c r="A80" s="121"/>
      <c r="B80" s="153"/>
      <c r="C80" s="311" t="s">
        <v>652</v>
      </c>
      <c r="D80" s="207" t="s">
        <v>644</v>
      </c>
      <c r="E80" s="199">
        <v>15</v>
      </c>
      <c r="F80" s="269">
        <v>0</v>
      </c>
      <c r="G80" s="270">
        <f t="shared" si="3"/>
        <v>0</v>
      </c>
      <c r="H80" s="122"/>
      <c r="I80" s="121"/>
      <c r="J80" s="121"/>
      <c r="K80" s="121"/>
      <c r="L80" s="121"/>
    </row>
    <row r="81" spans="1:12" s="2" customFormat="1" x14ac:dyDescent="0.2">
      <c r="A81" s="121"/>
      <c r="B81" s="153"/>
      <c r="C81" s="311" t="s">
        <v>632</v>
      </c>
      <c r="D81" s="207" t="s">
        <v>98</v>
      </c>
      <c r="E81" s="199">
        <v>1</v>
      </c>
      <c r="F81" s="269">
        <v>0</v>
      </c>
      <c r="G81" s="270">
        <f t="shared" si="3"/>
        <v>0</v>
      </c>
      <c r="H81" s="122"/>
      <c r="I81" s="121"/>
      <c r="J81" s="121"/>
      <c r="K81" s="121"/>
      <c r="L81" s="121"/>
    </row>
    <row r="82" spans="1:12" s="12" customFormat="1" x14ac:dyDescent="0.2">
      <c r="A82" s="11"/>
      <c r="B82" s="153">
        <v>6</v>
      </c>
      <c r="C82" s="357" t="s">
        <v>785</v>
      </c>
      <c r="D82" s="15"/>
      <c r="E82" s="419"/>
      <c r="F82" s="14"/>
      <c r="G82" s="13"/>
      <c r="I82" s="11"/>
      <c r="J82" s="11"/>
      <c r="K82" s="11"/>
      <c r="L82" s="11"/>
    </row>
    <row r="83" spans="1:12" s="12" customFormat="1" ht="24" x14ac:dyDescent="0.2">
      <c r="A83" s="11"/>
      <c r="B83" s="153"/>
      <c r="C83" s="311" t="s">
        <v>666</v>
      </c>
      <c r="D83" s="207" t="s">
        <v>644</v>
      </c>
      <c r="E83" s="199">
        <v>8</v>
      </c>
      <c r="F83" s="269">
        <v>0</v>
      </c>
      <c r="G83" s="270">
        <f t="shared" ref="G83:G89" si="4">E83*F83</f>
        <v>0</v>
      </c>
      <c r="I83" s="11"/>
      <c r="J83" s="11"/>
      <c r="K83" s="11"/>
      <c r="L83" s="11"/>
    </row>
    <row r="84" spans="1:12" s="12" customFormat="1" x14ac:dyDescent="0.2">
      <c r="A84" s="11"/>
      <c r="B84" s="153"/>
      <c r="C84" s="311" t="s">
        <v>667</v>
      </c>
      <c r="D84" s="207" t="s">
        <v>644</v>
      </c>
      <c r="E84" s="199">
        <v>50</v>
      </c>
      <c r="F84" s="269">
        <v>0</v>
      </c>
      <c r="G84" s="270">
        <f t="shared" si="4"/>
        <v>0</v>
      </c>
      <c r="I84" s="11"/>
      <c r="J84" s="11"/>
      <c r="K84" s="11"/>
      <c r="L84" s="11"/>
    </row>
    <row r="85" spans="1:12" s="12" customFormat="1" x14ac:dyDescent="0.2">
      <c r="A85" s="11"/>
      <c r="B85" s="153"/>
      <c r="C85" s="311" t="s">
        <v>668</v>
      </c>
      <c r="D85" s="207" t="s">
        <v>644</v>
      </c>
      <c r="E85" s="199">
        <v>20</v>
      </c>
      <c r="F85" s="269">
        <v>0</v>
      </c>
      <c r="G85" s="270">
        <f t="shared" si="4"/>
        <v>0</v>
      </c>
      <c r="I85" s="11"/>
      <c r="J85" s="11"/>
      <c r="K85" s="11"/>
      <c r="L85" s="11"/>
    </row>
    <row r="86" spans="1:12" s="12" customFormat="1" x14ac:dyDescent="0.2">
      <c r="A86" s="11"/>
      <c r="B86" s="153"/>
      <c r="C86" s="311" t="s">
        <v>673</v>
      </c>
      <c r="D86" s="207" t="s">
        <v>123</v>
      </c>
      <c r="E86" s="199">
        <v>1</v>
      </c>
      <c r="F86" s="269">
        <v>0</v>
      </c>
      <c r="G86" s="270">
        <f t="shared" si="4"/>
        <v>0</v>
      </c>
      <c r="I86" s="11"/>
      <c r="J86" s="11"/>
      <c r="K86" s="11"/>
      <c r="L86" s="11"/>
    </row>
    <row r="87" spans="1:12" s="12" customFormat="1" x14ac:dyDescent="0.2">
      <c r="A87" s="11"/>
      <c r="B87" s="153"/>
      <c r="C87" s="311" t="s">
        <v>675</v>
      </c>
      <c r="D87" s="207" t="s">
        <v>123</v>
      </c>
      <c r="E87" s="199">
        <v>3</v>
      </c>
      <c r="F87" s="269">
        <v>0</v>
      </c>
      <c r="G87" s="270">
        <f t="shared" si="4"/>
        <v>0</v>
      </c>
      <c r="I87" s="11"/>
      <c r="J87" s="11"/>
      <c r="K87" s="11"/>
      <c r="L87" s="11"/>
    </row>
    <row r="88" spans="1:12" s="12" customFormat="1" x14ac:dyDescent="0.2">
      <c r="A88" s="11"/>
      <c r="B88" s="153"/>
      <c r="C88" s="311" t="s">
        <v>676</v>
      </c>
      <c r="D88" s="207" t="s">
        <v>123</v>
      </c>
      <c r="E88" s="199">
        <v>2</v>
      </c>
      <c r="F88" s="269">
        <v>0</v>
      </c>
      <c r="G88" s="270">
        <f t="shared" si="4"/>
        <v>0</v>
      </c>
      <c r="I88" s="11"/>
      <c r="J88" s="11"/>
      <c r="K88" s="11"/>
      <c r="L88" s="11"/>
    </row>
    <row r="89" spans="1:12" s="12" customFormat="1" ht="24" x14ac:dyDescent="0.2">
      <c r="A89" s="11"/>
      <c r="B89" s="153"/>
      <c r="C89" s="311" t="s">
        <v>677</v>
      </c>
      <c r="D89" s="207" t="s">
        <v>123</v>
      </c>
      <c r="E89" s="199">
        <v>1</v>
      </c>
      <c r="F89" s="269">
        <v>0</v>
      </c>
      <c r="G89" s="270">
        <f t="shared" si="4"/>
        <v>0</v>
      </c>
      <c r="I89" s="11"/>
      <c r="J89" s="11"/>
      <c r="K89" s="11"/>
      <c r="L89" s="11"/>
    </row>
    <row r="90" spans="1:12" s="2" customFormat="1" x14ac:dyDescent="0.2">
      <c r="A90" s="121"/>
      <c r="B90" s="153">
        <v>7</v>
      </c>
      <c r="C90" s="357" t="s">
        <v>788</v>
      </c>
      <c r="D90" s="207"/>
      <c r="E90" s="199"/>
      <c r="F90" s="269"/>
      <c r="G90" s="270"/>
      <c r="H90" s="122"/>
      <c r="I90" s="121"/>
      <c r="J90" s="121"/>
      <c r="K90" s="121"/>
      <c r="L90" s="121"/>
    </row>
    <row r="91" spans="1:12" s="2" customFormat="1" x14ac:dyDescent="0.2">
      <c r="A91" s="121"/>
      <c r="B91" s="153"/>
      <c r="C91" s="197" t="s">
        <v>655</v>
      </c>
      <c r="D91" s="207" t="s">
        <v>644</v>
      </c>
      <c r="E91" s="199">
        <v>10</v>
      </c>
      <c r="F91" s="269">
        <v>0</v>
      </c>
      <c r="G91" s="270">
        <f>E91*F91</f>
        <v>0</v>
      </c>
      <c r="H91" s="122"/>
      <c r="I91" s="121"/>
      <c r="J91" s="121"/>
      <c r="K91" s="121"/>
      <c r="L91" s="121"/>
    </row>
    <row r="92" spans="1:12" s="2" customFormat="1" ht="36" x14ac:dyDescent="0.2">
      <c r="A92" s="121"/>
      <c r="B92" s="153"/>
      <c r="C92" s="197" t="s">
        <v>656</v>
      </c>
      <c r="D92" s="207" t="s">
        <v>98</v>
      </c>
      <c r="E92" s="199">
        <v>1</v>
      </c>
      <c r="F92" s="269">
        <v>0</v>
      </c>
      <c r="G92" s="270">
        <f>E92*F92</f>
        <v>0</v>
      </c>
      <c r="H92" s="122"/>
      <c r="I92" s="121"/>
      <c r="J92" s="121"/>
      <c r="K92" s="121"/>
      <c r="L92" s="121"/>
    </row>
    <row r="93" spans="1:12" s="2" customFormat="1" ht="24" x14ac:dyDescent="0.2">
      <c r="A93" s="121"/>
      <c r="B93" s="153"/>
      <c r="C93" s="197" t="s">
        <v>657</v>
      </c>
      <c r="D93" s="207" t="s">
        <v>98</v>
      </c>
      <c r="E93" s="199">
        <v>1</v>
      </c>
      <c r="F93" s="269">
        <v>0</v>
      </c>
      <c r="G93" s="270">
        <f>E93*F93</f>
        <v>0</v>
      </c>
      <c r="H93" s="122"/>
      <c r="I93" s="121"/>
      <c r="J93" s="121"/>
      <c r="K93" s="121"/>
      <c r="L93" s="121"/>
    </row>
    <row r="94" spans="1:12" s="2" customFormat="1" x14ac:dyDescent="0.2">
      <c r="A94" s="121"/>
      <c r="B94" s="153"/>
      <c r="C94" s="197" t="s">
        <v>663</v>
      </c>
      <c r="D94" s="207" t="s">
        <v>98</v>
      </c>
      <c r="E94" s="199">
        <v>1</v>
      </c>
      <c r="F94" s="269">
        <v>0</v>
      </c>
      <c r="G94" s="270">
        <f>E94*F94</f>
        <v>0</v>
      </c>
      <c r="H94" s="122"/>
      <c r="I94" s="121"/>
      <c r="J94" s="121"/>
      <c r="K94" s="121"/>
      <c r="L94" s="121"/>
    </row>
    <row r="95" spans="1:12" s="2" customFormat="1" x14ac:dyDescent="0.2">
      <c r="A95" s="121"/>
      <c r="B95" s="153">
        <v>8</v>
      </c>
      <c r="C95" s="357" t="s">
        <v>679</v>
      </c>
      <c r="D95" s="207"/>
      <c r="E95" s="199"/>
      <c r="F95" s="269"/>
      <c r="G95" s="270"/>
      <c r="H95" s="122"/>
      <c r="I95" s="121"/>
      <c r="J95" s="121"/>
      <c r="K95" s="121"/>
      <c r="L95" s="121"/>
    </row>
    <row r="96" spans="1:12" s="2" customFormat="1" ht="48" x14ac:dyDescent="0.2">
      <c r="A96" s="121"/>
      <c r="B96" s="153"/>
      <c r="C96" s="311" t="s">
        <v>789</v>
      </c>
      <c r="D96" s="207" t="s">
        <v>98</v>
      </c>
      <c r="E96" s="199">
        <v>1</v>
      </c>
      <c r="F96" s="269">
        <v>0</v>
      </c>
      <c r="G96" s="270">
        <f>E96*F96</f>
        <v>0</v>
      </c>
      <c r="H96" s="122"/>
      <c r="I96" s="121"/>
      <c r="J96" s="121"/>
      <c r="K96" s="121"/>
      <c r="L96" s="121"/>
    </row>
    <row r="97" spans="1:12" s="2" customFormat="1" ht="36" x14ac:dyDescent="0.2">
      <c r="A97" s="121"/>
      <c r="B97" s="153"/>
      <c r="C97" s="311" t="s">
        <v>790</v>
      </c>
      <c r="D97" s="207" t="s">
        <v>98</v>
      </c>
      <c r="E97" s="199">
        <v>1</v>
      </c>
      <c r="F97" s="269">
        <v>0</v>
      </c>
      <c r="G97" s="270">
        <f>E97*F97</f>
        <v>0</v>
      </c>
      <c r="H97" s="122"/>
      <c r="I97" s="121"/>
      <c r="J97" s="121"/>
      <c r="K97" s="121"/>
      <c r="L97" s="121"/>
    </row>
    <row r="98" spans="1:12" s="2" customFormat="1" ht="36" x14ac:dyDescent="0.2">
      <c r="A98" s="121"/>
      <c r="B98" s="153"/>
      <c r="C98" s="311" t="s">
        <v>791</v>
      </c>
      <c r="D98" s="10" t="s">
        <v>98</v>
      </c>
      <c r="E98" s="199">
        <v>1</v>
      </c>
      <c r="F98" s="269">
        <v>0</v>
      </c>
      <c r="G98" s="270">
        <f>E98*F98</f>
        <v>0</v>
      </c>
      <c r="H98" s="122"/>
      <c r="I98" s="121"/>
      <c r="J98" s="121"/>
      <c r="K98" s="121"/>
      <c r="L98" s="121"/>
    </row>
    <row r="99" spans="1:12" s="2" customFormat="1" ht="36" x14ac:dyDescent="0.2">
      <c r="A99" s="121"/>
      <c r="B99" s="153"/>
      <c r="C99" s="311" t="s">
        <v>791</v>
      </c>
      <c r="D99" s="207" t="s">
        <v>98</v>
      </c>
      <c r="E99" s="199">
        <v>1</v>
      </c>
      <c r="F99" s="269">
        <v>0</v>
      </c>
      <c r="G99" s="270">
        <f>E99*F99</f>
        <v>0</v>
      </c>
      <c r="H99" s="122"/>
      <c r="I99" s="121"/>
      <c r="J99" s="121"/>
      <c r="K99" s="121"/>
      <c r="L99" s="121"/>
    </row>
    <row r="100" spans="1:12" s="9" customFormat="1" ht="23.25" customHeight="1" x14ac:dyDescent="0.25">
      <c r="A100" s="147"/>
      <c r="B100" s="327" t="s">
        <v>18</v>
      </c>
      <c r="C100" s="214" t="s">
        <v>818</v>
      </c>
      <c r="D100" s="214"/>
      <c r="E100" s="215"/>
      <c r="F100" s="216"/>
      <c r="G100" s="290">
        <f>SUM(G30:G99)</f>
        <v>0</v>
      </c>
      <c r="H100" s="150"/>
      <c r="I100" s="147"/>
      <c r="J100" s="147"/>
      <c r="K100" s="147"/>
      <c r="L100"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50D50-3083-4096-90A8-6153883AD064}">
  <sheetPr codeName="Sheet59">
    <tabColor rgb="FF00B0F0"/>
  </sheetPr>
  <dimension ref="A1:WVQ23"/>
  <sheetViews>
    <sheetView showZeros="0" zoomScaleNormal="100" workbookViewId="0">
      <selection activeCell="G22" sqref="G22"/>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140625" style="463" bestFit="1"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1" spans="1:29" ht="30" customHeight="1" x14ac:dyDescent="0.25">
      <c r="B1" s="137"/>
      <c r="C1" s="420" t="s">
        <v>1045</v>
      </c>
      <c r="D1" s="155"/>
      <c r="E1" s="156"/>
      <c r="F1" s="157"/>
      <c r="G1" s="421"/>
    </row>
    <row r="2" spans="1:29" s="578" customFormat="1" ht="30" customHeight="1" x14ac:dyDescent="0.25">
      <c r="B2" s="579"/>
      <c r="C2" s="580"/>
      <c r="D2" s="581"/>
      <c r="E2" s="582"/>
      <c r="F2" s="583"/>
      <c r="G2" s="584"/>
      <c r="H2" s="585"/>
    </row>
    <row r="3" spans="1:29" s="139" customFormat="1" ht="18" customHeight="1" x14ac:dyDescent="0.2">
      <c r="A3" s="140"/>
      <c r="B3" s="143" t="s">
        <v>1</v>
      </c>
      <c r="C3" s="168"/>
      <c r="D3" s="170"/>
      <c r="E3" s="170"/>
      <c r="F3" s="170"/>
      <c r="G3" s="169"/>
    </row>
    <row r="4" spans="1:29" s="139" customFormat="1" ht="18" customHeight="1" x14ac:dyDescent="0.25">
      <c r="A4" s="141"/>
      <c r="B4" s="144" t="s">
        <v>2</v>
      </c>
      <c r="C4" s="171"/>
      <c r="D4" s="173"/>
      <c r="E4" s="173"/>
      <c r="F4" s="173"/>
      <c r="G4" s="172"/>
    </row>
    <row r="6" spans="1:29" s="139" customFormat="1" ht="18" customHeight="1" x14ac:dyDescent="0.2">
      <c r="A6" s="140"/>
      <c r="B6" s="143" t="s">
        <v>3</v>
      </c>
      <c r="C6" s="168"/>
      <c r="D6" s="170"/>
      <c r="E6" s="170"/>
      <c r="F6" s="170"/>
      <c r="G6" s="169"/>
    </row>
    <row r="7" spans="1:29" s="139" customFormat="1" ht="18" customHeight="1" x14ac:dyDescent="0.25">
      <c r="A7" s="141"/>
      <c r="B7" s="144" t="s">
        <v>4</v>
      </c>
      <c r="C7" s="171"/>
      <c r="D7" s="173"/>
      <c r="E7" s="173"/>
      <c r="F7" s="173"/>
      <c r="G7" s="172"/>
    </row>
    <row r="8" spans="1:29" s="125" customFormat="1" ht="14.25" x14ac:dyDescent="0.2">
      <c r="B8" s="142"/>
      <c r="C8" s="174"/>
      <c r="D8" s="175"/>
      <c r="E8" s="176"/>
      <c r="F8" s="177"/>
      <c r="G8" s="178"/>
      <c r="H8" s="567"/>
      <c r="I8" s="124"/>
      <c r="J8" s="124"/>
      <c r="K8" s="124"/>
      <c r="L8" s="124"/>
    </row>
    <row r="9" spans="1:29" s="125" customFormat="1" ht="27.75" customHeight="1" x14ac:dyDescent="0.2">
      <c r="B9" s="33"/>
      <c r="C9" s="3219" t="s">
        <v>61</v>
      </c>
      <c r="D9" s="3220"/>
      <c r="E9" s="3220"/>
      <c r="F9" s="3221"/>
      <c r="G9" s="2798" t="s">
        <v>64</v>
      </c>
      <c r="H9" s="567"/>
      <c r="I9" s="124"/>
      <c r="J9" s="124"/>
      <c r="K9" s="124"/>
      <c r="L9" s="124"/>
    </row>
    <row r="10" spans="1:29" ht="23.25" customHeight="1" x14ac:dyDescent="0.2">
      <c r="B10" s="1727" t="s">
        <v>6</v>
      </c>
      <c r="C10" s="575" t="s">
        <v>62</v>
      </c>
      <c r="D10" s="3179" t="s">
        <v>2524</v>
      </c>
      <c r="E10" s="3179"/>
      <c r="F10" s="3180"/>
      <c r="G10" s="576" t="s">
        <v>2523</v>
      </c>
    </row>
    <row r="11" spans="1:29" s="586" customFormat="1" ht="27.75" customHeight="1" x14ac:dyDescent="0.25">
      <c r="B11" s="1731"/>
      <c r="C11" s="2799" t="s">
        <v>71</v>
      </c>
      <c r="D11" s="2800"/>
      <c r="E11" s="2801"/>
      <c r="F11" s="573"/>
      <c r="G11" s="1721"/>
      <c r="H11" s="587"/>
    </row>
    <row r="12" spans="1:29" s="126" customFormat="1" ht="27.75" customHeight="1" x14ac:dyDescent="0.25">
      <c r="B12" s="1726">
        <v>1</v>
      </c>
      <c r="C12" s="322" t="s">
        <v>1046</v>
      </c>
      <c r="D12" s="318"/>
      <c r="E12" s="319"/>
      <c r="F12" s="317"/>
      <c r="G12" s="1960">
        <f>'Kuzma_VH Kuzma'!G19</f>
        <v>0</v>
      </c>
      <c r="H12" s="566"/>
      <c r="I12" s="119"/>
      <c r="J12" s="119"/>
      <c r="K12" s="119"/>
      <c r="L12" s="119"/>
      <c r="M12" s="119"/>
      <c r="N12" s="119"/>
      <c r="O12" s="119"/>
      <c r="P12" s="119"/>
      <c r="Q12" s="119"/>
      <c r="R12" s="119"/>
      <c r="S12" s="119"/>
      <c r="T12" s="119"/>
      <c r="U12" s="119"/>
      <c r="V12" s="119"/>
      <c r="W12" s="119"/>
      <c r="X12" s="119"/>
      <c r="Y12" s="119"/>
      <c r="Z12" s="119"/>
      <c r="AA12" s="119"/>
      <c r="AB12" s="119"/>
      <c r="AC12" s="119"/>
    </row>
    <row r="13" spans="1:29" s="126" customFormat="1" ht="27.75" customHeight="1" x14ac:dyDescent="0.25">
      <c r="B13" s="1726">
        <v>2</v>
      </c>
      <c r="C13" s="322" t="s">
        <v>1047</v>
      </c>
      <c r="D13" s="318"/>
      <c r="E13" s="319"/>
      <c r="F13" s="317"/>
      <c r="G13" s="1960">
        <f>'Kuzma_ČRP Dolič (Č-2)'!G16</f>
        <v>0</v>
      </c>
      <c r="H13" s="566"/>
      <c r="I13" s="119"/>
      <c r="J13" s="119"/>
      <c r="K13" s="119"/>
      <c r="L13" s="119"/>
      <c r="M13" s="119"/>
      <c r="N13" s="119"/>
      <c r="O13" s="119"/>
      <c r="P13" s="119"/>
      <c r="Q13" s="119"/>
      <c r="R13" s="119"/>
      <c r="S13" s="119"/>
      <c r="T13" s="119"/>
      <c r="U13" s="119"/>
      <c r="V13" s="119"/>
      <c r="W13" s="119"/>
      <c r="X13" s="119"/>
      <c r="Y13" s="119"/>
      <c r="Z13" s="119"/>
      <c r="AA13" s="119"/>
      <c r="AB13" s="119"/>
      <c r="AC13" s="119"/>
    </row>
    <row r="14" spans="1:29" s="126" customFormat="1" ht="27.75" customHeight="1" x14ac:dyDescent="0.25">
      <c r="B14" s="1726">
        <v>3</v>
      </c>
      <c r="C14" s="322" t="s">
        <v>1048</v>
      </c>
      <c r="D14" s="318"/>
      <c r="E14" s="319"/>
      <c r="F14" s="317"/>
      <c r="G14" s="1960">
        <f>'Kuzma_ČRP Dolič 1 (Č-1)'!G18</f>
        <v>0</v>
      </c>
      <c r="H14" s="566"/>
      <c r="I14" s="119"/>
      <c r="J14" s="119"/>
      <c r="K14" s="119"/>
      <c r="L14" s="119"/>
      <c r="M14" s="119"/>
      <c r="N14" s="119"/>
      <c r="O14" s="119"/>
      <c r="P14" s="119"/>
      <c r="Q14" s="119"/>
      <c r="R14" s="119"/>
      <c r="S14" s="119"/>
      <c r="T14" s="119"/>
      <c r="U14" s="119"/>
      <c r="V14" s="119"/>
      <c r="W14" s="119"/>
      <c r="X14" s="119"/>
      <c r="Y14" s="119"/>
      <c r="Z14" s="119"/>
      <c r="AA14" s="119"/>
      <c r="AB14" s="119"/>
      <c r="AC14" s="119"/>
    </row>
    <row r="15" spans="1:29" s="126" customFormat="1" ht="27.75" customHeight="1" x14ac:dyDescent="0.25">
      <c r="B15" s="1726">
        <v>4</v>
      </c>
      <c r="C15" s="322" t="s">
        <v>1049</v>
      </c>
      <c r="D15" s="318"/>
      <c r="E15" s="319"/>
      <c r="F15" s="317"/>
      <c r="G15" s="1960">
        <f>'Kuzma_ČRP Gornji Slaveči (Č-4)'!G16</f>
        <v>0</v>
      </c>
      <c r="H15" s="566"/>
      <c r="I15" s="119"/>
      <c r="J15" s="119"/>
      <c r="K15" s="119"/>
      <c r="L15" s="119"/>
      <c r="M15" s="119"/>
      <c r="N15" s="119"/>
      <c r="O15" s="119"/>
      <c r="P15" s="119"/>
      <c r="Q15" s="119"/>
      <c r="R15" s="119"/>
      <c r="S15" s="119"/>
      <c r="T15" s="119"/>
      <c r="U15" s="119"/>
      <c r="V15" s="119"/>
      <c r="W15" s="119"/>
      <c r="X15" s="119"/>
      <c r="Y15" s="119"/>
      <c r="Z15" s="119"/>
      <c r="AA15" s="119"/>
      <c r="AB15" s="119"/>
      <c r="AC15" s="119"/>
    </row>
    <row r="16" spans="1:29" s="126" customFormat="1" ht="27.75" customHeight="1" x14ac:dyDescent="0.25">
      <c r="B16" s="1726">
        <v>5</v>
      </c>
      <c r="C16" s="322" t="s">
        <v>1050</v>
      </c>
      <c r="D16" s="318"/>
      <c r="E16" s="319"/>
      <c r="F16" s="317"/>
      <c r="G16" s="1960">
        <f>'Kuzma_ČRP Kuzma (Č-5-1)'!G16</f>
        <v>0</v>
      </c>
      <c r="H16" s="566"/>
      <c r="I16" s="119"/>
      <c r="J16" s="119"/>
      <c r="K16" s="119"/>
      <c r="L16" s="119"/>
      <c r="M16" s="119"/>
      <c r="N16" s="119"/>
      <c r="O16" s="119"/>
      <c r="P16" s="119"/>
      <c r="Q16" s="119"/>
      <c r="R16" s="119"/>
      <c r="S16" s="119"/>
      <c r="T16" s="119"/>
      <c r="U16" s="119"/>
      <c r="V16" s="119"/>
      <c r="W16" s="119"/>
      <c r="X16" s="119"/>
      <c r="Y16" s="119"/>
      <c r="Z16" s="119"/>
      <c r="AA16" s="119"/>
      <c r="AB16" s="119"/>
      <c r="AC16" s="119"/>
    </row>
    <row r="17" spans="1:16137" s="126" customFormat="1" ht="27.75" customHeight="1" x14ac:dyDescent="0.25">
      <c r="B17" s="1726">
        <v>6</v>
      </c>
      <c r="C17" s="322" t="s">
        <v>1051</v>
      </c>
      <c r="D17" s="318"/>
      <c r="E17" s="319"/>
      <c r="F17" s="317"/>
      <c r="G17" s="1960">
        <f>'Kuzma_ČRP Matjaševci (Č-3)'!G16</f>
        <v>0</v>
      </c>
      <c r="H17" s="566"/>
      <c r="I17" s="119"/>
      <c r="J17" s="119"/>
      <c r="K17" s="119"/>
      <c r="L17" s="119"/>
      <c r="M17" s="119"/>
      <c r="N17" s="119"/>
      <c r="O17" s="119"/>
      <c r="P17" s="119"/>
      <c r="Q17" s="119"/>
      <c r="R17" s="119"/>
      <c r="S17" s="119"/>
      <c r="T17" s="119"/>
      <c r="U17" s="119"/>
      <c r="V17" s="119"/>
      <c r="W17" s="119"/>
      <c r="X17" s="119"/>
      <c r="Y17" s="119"/>
      <c r="Z17" s="119"/>
      <c r="AA17" s="119"/>
      <c r="AB17" s="119"/>
      <c r="AC17" s="119"/>
    </row>
    <row r="18" spans="1:16137" s="126" customFormat="1" ht="27.75" customHeight="1" x14ac:dyDescent="0.25">
      <c r="B18" s="1731"/>
      <c r="C18" s="3213" t="s">
        <v>73</v>
      </c>
      <c r="D18" s="3214"/>
      <c r="E18" s="3214"/>
      <c r="F18" s="3215"/>
      <c r="G18" s="2802">
        <f>SUM(G12:G17)</f>
        <v>0</v>
      </c>
      <c r="H18" s="566"/>
      <c r="I18" s="119"/>
      <c r="J18" s="119"/>
      <c r="K18" s="119"/>
      <c r="L18" s="119"/>
      <c r="M18" s="119"/>
      <c r="N18" s="119"/>
      <c r="O18" s="119"/>
      <c r="P18" s="119"/>
      <c r="Q18" s="119"/>
      <c r="R18" s="119"/>
      <c r="S18" s="119"/>
      <c r="T18" s="119"/>
      <c r="U18" s="119"/>
      <c r="V18" s="119"/>
      <c r="W18" s="119"/>
      <c r="X18" s="119"/>
      <c r="Y18" s="119"/>
      <c r="Z18" s="119"/>
      <c r="AA18" s="119"/>
      <c r="AB18" s="119"/>
      <c r="AC18" s="119"/>
    </row>
    <row r="19" spans="1:16137" s="126" customFormat="1" ht="27.75" customHeight="1" x14ac:dyDescent="0.25">
      <c r="B19" s="1731"/>
      <c r="C19" s="2803" t="s">
        <v>74</v>
      </c>
      <c r="D19" s="2804"/>
      <c r="E19" s="2804"/>
      <c r="F19" s="2804"/>
      <c r="G19" s="2802"/>
      <c r="H19" s="566"/>
      <c r="I19" s="119"/>
      <c r="J19" s="119"/>
      <c r="K19" s="119"/>
      <c r="L19" s="119"/>
      <c r="M19" s="119"/>
      <c r="N19" s="119"/>
      <c r="O19" s="119"/>
      <c r="P19" s="119"/>
      <c r="Q19" s="119"/>
      <c r="R19" s="119"/>
      <c r="S19" s="119"/>
      <c r="T19" s="119"/>
      <c r="U19" s="119"/>
      <c r="V19" s="119"/>
      <c r="W19" s="119"/>
      <c r="X19" s="119"/>
      <c r="Y19" s="119"/>
      <c r="Z19" s="119"/>
      <c r="AA19" s="119"/>
      <c r="AB19" s="119"/>
      <c r="AC19" s="119"/>
    </row>
    <row r="20" spans="1:16137" s="126" customFormat="1" ht="27.75" customHeight="1" x14ac:dyDescent="0.25">
      <c r="B20" s="1726" t="s">
        <v>8</v>
      </c>
      <c r="C20" s="322" t="s">
        <v>1052</v>
      </c>
      <c r="D20" s="318"/>
      <c r="E20" s="319"/>
      <c r="F20" s="317"/>
      <c r="G20" s="1960">
        <f>'Kuzma_Trdkova SK-1'!G19</f>
        <v>0</v>
      </c>
      <c r="H20" s="566"/>
      <c r="I20" s="119"/>
      <c r="J20" s="119"/>
      <c r="K20" s="119"/>
      <c r="L20" s="119"/>
      <c r="M20" s="119"/>
      <c r="N20" s="119"/>
      <c r="O20" s="119"/>
      <c r="P20" s="119"/>
      <c r="Q20" s="119"/>
      <c r="R20" s="119"/>
      <c r="S20" s="119"/>
      <c r="T20" s="119"/>
      <c r="U20" s="119"/>
      <c r="V20" s="119"/>
      <c r="W20" s="119"/>
      <c r="X20" s="119"/>
      <c r="Y20" s="119"/>
      <c r="Z20" s="119"/>
      <c r="AA20" s="119"/>
      <c r="AB20" s="119"/>
      <c r="AC20" s="119"/>
    </row>
    <row r="21" spans="1:16137" s="126" customFormat="1" ht="27.75" customHeight="1" x14ac:dyDescent="0.25">
      <c r="B21" s="1731"/>
      <c r="C21" s="3176" t="s">
        <v>78</v>
      </c>
      <c r="D21" s="3177"/>
      <c r="E21" s="3177"/>
      <c r="F21" s="3178"/>
      <c r="G21" s="2802">
        <f>SUM(G20)</f>
        <v>0</v>
      </c>
      <c r="H21" s="566"/>
      <c r="I21" s="119"/>
      <c r="J21" s="119"/>
      <c r="K21" s="119"/>
      <c r="L21" s="119"/>
      <c r="M21" s="119"/>
      <c r="N21" s="119"/>
      <c r="O21" s="119"/>
      <c r="P21" s="119"/>
      <c r="Q21" s="119"/>
      <c r="R21" s="119"/>
      <c r="S21" s="119"/>
      <c r="T21" s="119"/>
      <c r="U21" s="119"/>
      <c r="V21" s="119"/>
      <c r="W21" s="119"/>
      <c r="X21" s="119"/>
      <c r="Y21" s="119"/>
      <c r="Z21" s="119"/>
      <c r="AA21" s="119"/>
      <c r="AB21" s="119"/>
      <c r="AC21" s="119"/>
    </row>
    <row r="22" spans="1:16137" s="126" customFormat="1" ht="27.75" customHeight="1" x14ac:dyDescent="0.25">
      <c r="B22" s="1734"/>
      <c r="C22" s="3216" t="s">
        <v>1053</v>
      </c>
      <c r="D22" s="3217"/>
      <c r="E22" s="3217"/>
      <c r="F22" s="3218"/>
      <c r="G22" s="1965">
        <f>G18+G21</f>
        <v>0</v>
      </c>
      <c r="H22" s="566"/>
      <c r="I22" s="119"/>
      <c r="J22" s="119"/>
      <c r="K22" s="119"/>
      <c r="L22" s="119"/>
      <c r="M22" s="119"/>
      <c r="N22" s="119"/>
      <c r="O22" s="119"/>
      <c r="P22" s="119"/>
      <c r="Q22" s="119"/>
      <c r="R22" s="119"/>
      <c r="S22" s="119"/>
      <c r="T22" s="119"/>
      <c r="U22" s="119"/>
      <c r="V22" s="119"/>
      <c r="W22" s="119"/>
      <c r="X22" s="119"/>
      <c r="Y22" s="119"/>
      <c r="Z22" s="119"/>
      <c r="AA22" s="119"/>
      <c r="AB22" s="119"/>
      <c r="AC22" s="119"/>
    </row>
    <row r="23" spans="1:16137" s="463" customFormat="1" x14ac:dyDescent="0.2">
      <c r="A23" s="121"/>
      <c r="B23" s="127"/>
      <c r="C23" s="183"/>
      <c r="D23" s="184"/>
      <c r="E23" s="461"/>
      <c r="F23" s="462"/>
      <c r="H23" s="565"/>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row>
  </sheetData>
  <mergeCells count="5">
    <mergeCell ref="C18:F18"/>
    <mergeCell ref="C21:F21"/>
    <mergeCell ref="D10:F10"/>
    <mergeCell ref="C22:F22"/>
    <mergeCell ref="C9:F9"/>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E3DF4-B10D-4EB5-8193-B2F68BC8507A}">
  <sheetPr codeName="Sheet20">
    <tabColor rgb="FF00B0F0"/>
  </sheetPr>
  <dimension ref="A2:L163"/>
  <sheetViews>
    <sheetView showZeros="0" topLeftCell="A75" zoomScaleNormal="100" workbookViewId="0">
      <selection activeCell="B87" sqref="B87:G87"/>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1054</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1055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10</v>
      </c>
      <c r="C15" s="340" t="s">
        <v>85</v>
      </c>
      <c r="D15" s="341"/>
      <c r="E15" s="342"/>
      <c r="F15" s="343"/>
      <c r="G15" s="20">
        <f>G27</f>
        <v>0</v>
      </c>
      <c r="H15" s="18"/>
      <c r="I15" s="331"/>
      <c r="J15" s="331"/>
      <c r="K15" s="331"/>
      <c r="L15" s="331"/>
    </row>
    <row r="16" spans="1:12" s="17" customFormat="1" ht="18.75" customHeight="1" x14ac:dyDescent="0.25">
      <c r="A16" s="331"/>
      <c r="B16" s="332" t="s">
        <v>12</v>
      </c>
      <c r="C16" s="340" t="s">
        <v>86</v>
      </c>
      <c r="D16" s="341"/>
      <c r="E16" s="342"/>
      <c r="F16" s="343"/>
      <c r="G16" s="20">
        <f>G41</f>
        <v>0</v>
      </c>
      <c r="H16" s="18"/>
      <c r="I16" s="331"/>
      <c r="J16" s="331"/>
      <c r="K16" s="331"/>
      <c r="L16" s="331"/>
    </row>
    <row r="17" spans="1:12" s="17" customFormat="1" ht="18.75" customHeight="1" x14ac:dyDescent="0.25">
      <c r="B17" s="332" t="s">
        <v>17</v>
      </c>
      <c r="C17" s="340" t="s">
        <v>87</v>
      </c>
      <c r="D17" s="341"/>
      <c r="E17" s="342"/>
      <c r="F17" s="343"/>
      <c r="G17" s="20">
        <f>G77</f>
        <v>0</v>
      </c>
      <c r="H17" s="18"/>
    </row>
    <row r="18" spans="1:12" s="17" customFormat="1" ht="18.75" customHeight="1" x14ac:dyDescent="0.25">
      <c r="B18" s="332" t="s">
        <v>18</v>
      </c>
      <c r="C18" s="340" t="s">
        <v>367</v>
      </c>
      <c r="D18" s="341"/>
      <c r="E18" s="342"/>
      <c r="F18" s="58"/>
      <c r="G18" s="20">
        <f>G163</f>
        <v>0</v>
      </c>
      <c r="H18" s="18"/>
    </row>
    <row r="19" spans="1:12" s="17" customFormat="1" ht="18.75" customHeight="1" x14ac:dyDescent="0.25">
      <c r="B19" s="333"/>
      <c r="C19" s="344" t="s">
        <v>88</v>
      </c>
      <c r="D19" s="345"/>
      <c r="E19" s="346"/>
      <c r="F19" s="347"/>
      <c r="G19" s="19">
        <f>SUM(G15:G18)</f>
        <v>0</v>
      </c>
      <c r="H19" s="18"/>
    </row>
    <row r="20" spans="1:12" x14ac:dyDescent="0.2">
      <c r="B20" s="127"/>
      <c r="C20" s="183"/>
      <c r="D20" s="184"/>
      <c r="E20" s="185"/>
      <c r="F20" s="186"/>
      <c r="G20" s="187"/>
      <c r="H20" s="122"/>
    </row>
    <row r="22" spans="1:12" ht="24" x14ac:dyDescent="0.2">
      <c r="B22" s="128" t="s">
        <v>83</v>
      </c>
      <c r="C22" s="192" t="s">
        <v>89</v>
      </c>
      <c r="D22" s="193" t="s">
        <v>90</v>
      </c>
      <c r="E22" s="194" t="s">
        <v>91</v>
      </c>
      <c r="F22" s="195" t="s">
        <v>92</v>
      </c>
      <c r="G22" s="196" t="s">
        <v>93</v>
      </c>
      <c r="H22" s="122"/>
    </row>
    <row r="23" spans="1:12" x14ac:dyDescent="0.2">
      <c r="B23" s="129"/>
      <c r="C23" s="197"/>
      <c r="D23" s="198"/>
      <c r="E23" s="199"/>
      <c r="F23" s="200"/>
      <c r="G23" s="201"/>
      <c r="H23" s="122"/>
    </row>
    <row r="24" spans="1:12" s="16" customFormat="1" ht="20.25" x14ac:dyDescent="0.3">
      <c r="B24" s="303" t="s">
        <v>10</v>
      </c>
      <c r="C24" s="306" t="s">
        <v>85</v>
      </c>
      <c r="D24" s="305"/>
      <c r="E24" s="299"/>
      <c r="F24" s="300"/>
      <c r="G24" s="301"/>
      <c r="H24" s="302"/>
    </row>
    <row r="25" spans="1:12" ht="118.5" customHeight="1" x14ac:dyDescent="0.2">
      <c r="B25" s="129">
        <v>1</v>
      </c>
      <c r="C25" s="208" t="s">
        <v>99</v>
      </c>
      <c r="D25" s="209" t="s">
        <v>98</v>
      </c>
      <c r="E25" s="199">
        <v>1</v>
      </c>
      <c r="F25" s="44">
        <v>0</v>
      </c>
      <c r="G25" s="270">
        <f>E25*F25</f>
        <v>0</v>
      </c>
      <c r="H25" s="122"/>
    </row>
    <row r="26" spans="1:12" ht="38.25" customHeight="1" x14ac:dyDescent="0.2">
      <c r="B26" s="129">
        <v>2</v>
      </c>
      <c r="C26" s="212" t="s">
        <v>106</v>
      </c>
      <c r="D26" s="210" t="s">
        <v>98</v>
      </c>
      <c r="E26" s="213">
        <v>1</v>
      </c>
      <c r="F26" s="44">
        <v>0</v>
      </c>
      <c r="G26" s="270">
        <f>E26*F26</f>
        <v>0</v>
      </c>
      <c r="H26" s="122"/>
    </row>
    <row r="27" spans="1:12" s="9" customFormat="1" ht="23.25" customHeight="1" x14ac:dyDescent="0.25">
      <c r="B27" s="327" t="s">
        <v>10</v>
      </c>
      <c r="C27" s="214" t="s">
        <v>108</v>
      </c>
      <c r="D27" s="214"/>
      <c r="E27" s="215"/>
      <c r="F27" s="216"/>
      <c r="G27" s="290">
        <f>SUM(G25:G26)</f>
        <v>0</v>
      </c>
      <c r="H27" s="150"/>
    </row>
    <row r="28" spans="1:12" x14ac:dyDescent="0.2">
      <c r="B28" s="129"/>
      <c r="C28" s="197"/>
      <c r="D28" s="198"/>
      <c r="E28" s="199"/>
      <c r="F28" s="200"/>
      <c r="G28" s="201"/>
      <c r="H28" s="122"/>
    </row>
    <row r="29" spans="1:12" ht="24" x14ac:dyDescent="0.2">
      <c r="B29" s="128" t="s">
        <v>83</v>
      </c>
      <c r="C29" s="192" t="s">
        <v>89</v>
      </c>
      <c r="D29" s="193" t="s">
        <v>90</v>
      </c>
      <c r="E29" s="194" t="s">
        <v>91</v>
      </c>
      <c r="F29" s="195" t="s">
        <v>92</v>
      </c>
      <c r="G29" s="196" t="s">
        <v>93</v>
      </c>
      <c r="H29" s="122"/>
    </row>
    <row r="30" spans="1:12" x14ac:dyDescent="0.2">
      <c r="B30" s="129"/>
      <c r="C30" s="217"/>
      <c r="D30" s="207"/>
      <c r="E30" s="199"/>
      <c r="F30" s="200"/>
      <c r="G30" s="201"/>
      <c r="H30" s="122"/>
    </row>
    <row r="31" spans="1:12" s="16" customFormat="1" ht="20.25" x14ac:dyDescent="0.3">
      <c r="A31" s="295"/>
      <c r="B31" s="303" t="s">
        <v>12</v>
      </c>
      <c r="C31" s="304" t="s">
        <v>109</v>
      </c>
      <c r="D31" s="298"/>
      <c r="E31" s="299"/>
      <c r="F31" s="300"/>
      <c r="G31" s="301"/>
      <c r="H31" s="302"/>
      <c r="I31" s="295"/>
      <c r="J31" s="295"/>
      <c r="K31" s="295"/>
      <c r="L31" s="295"/>
    </row>
    <row r="32" spans="1:12" s="43" customFormat="1" ht="71.25" customHeight="1" x14ac:dyDescent="0.2">
      <c r="A32" s="130"/>
      <c r="B32" s="3184" t="s">
        <v>110</v>
      </c>
      <c r="C32" s="3185"/>
      <c r="D32" s="3185"/>
      <c r="E32" s="3185"/>
      <c r="F32" s="3185"/>
      <c r="G32" s="3186"/>
      <c r="H32" s="122"/>
      <c r="I32" s="130"/>
      <c r="J32" s="130"/>
      <c r="K32" s="130"/>
      <c r="L32" s="130"/>
    </row>
    <row r="33" spans="1:12" ht="39" customHeight="1" x14ac:dyDescent="0.2">
      <c r="A33" s="121"/>
      <c r="B33" s="131">
        <v>1</v>
      </c>
      <c r="C33" s="49" t="s">
        <v>892</v>
      </c>
      <c r="D33" s="68" t="s">
        <v>117</v>
      </c>
      <c r="E33" s="71">
        <v>85</v>
      </c>
      <c r="F33" s="44">
        <v>0</v>
      </c>
      <c r="G33" s="270">
        <f t="shared" ref="G33:G40" si="0">E33*F33</f>
        <v>0</v>
      </c>
      <c r="H33" s="122"/>
      <c r="I33" s="132"/>
      <c r="J33" s="121"/>
      <c r="K33" s="121"/>
      <c r="L33" s="121"/>
    </row>
    <row r="34" spans="1:12" ht="27" customHeight="1" x14ac:dyDescent="0.2">
      <c r="A34" s="121"/>
      <c r="B34" s="131">
        <v>2</v>
      </c>
      <c r="C34" s="49" t="s">
        <v>893</v>
      </c>
      <c r="D34" s="68" t="s">
        <v>117</v>
      </c>
      <c r="E34" s="71">
        <v>45</v>
      </c>
      <c r="F34" s="44">
        <v>0</v>
      </c>
      <c r="G34" s="270">
        <f t="shared" si="0"/>
        <v>0</v>
      </c>
      <c r="H34" s="122"/>
      <c r="I34" s="132"/>
      <c r="J34" s="121"/>
      <c r="K34" s="121"/>
      <c r="L34" s="121"/>
    </row>
    <row r="35" spans="1:12" ht="36" x14ac:dyDescent="0.2">
      <c r="A35" s="121"/>
      <c r="B35" s="131">
        <v>3</v>
      </c>
      <c r="C35" s="206" t="s">
        <v>2571</v>
      </c>
      <c r="D35" s="68" t="s">
        <v>117</v>
      </c>
      <c r="E35" s="71">
        <v>45</v>
      </c>
      <c r="F35" s="44">
        <v>0</v>
      </c>
      <c r="G35" s="270">
        <f t="shared" si="0"/>
        <v>0</v>
      </c>
      <c r="H35" s="122"/>
      <c r="I35" s="133"/>
      <c r="J35" s="121"/>
      <c r="K35" s="134"/>
      <c r="L35" s="134"/>
    </row>
    <row r="36" spans="1:12" ht="27" customHeight="1" x14ac:dyDescent="0.2">
      <c r="A36" s="121"/>
      <c r="B36" s="131">
        <v>4</v>
      </c>
      <c r="C36" s="206" t="s">
        <v>2570</v>
      </c>
      <c r="D36" s="68" t="s">
        <v>117</v>
      </c>
      <c r="E36" s="71">
        <v>35</v>
      </c>
      <c r="F36" s="44">
        <v>0</v>
      </c>
      <c r="G36" s="270">
        <f t="shared" si="0"/>
        <v>0</v>
      </c>
      <c r="H36" s="122"/>
      <c r="I36" s="133"/>
      <c r="J36" s="121"/>
      <c r="K36" s="121"/>
      <c r="L36" s="121"/>
    </row>
    <row r="37" spans="1:12" ht="29.25" customHeight="1" x14ac:dyDescent="0.2">
      <c r="A37" s="121"/>
      <c r="B37" s="131">
        <v>5</v>
      </c>
      <c r="C37" s="206" t="s">
        <v>1830</v>
      </c>
      <c r="D37" s="219" t="s">
        <v>149</v>
      </c>
      <c r="E37" s="220">
        <v>8</v>
      </c>
      <c r="F37" s="44">
        <v>0</v>
      </c>
      <c r="G37" s="270">
        <f t="shared" si="0"/>
        <v>0</v>
      </c>
      <c r="H37" s="122"/>
      <c r="I37" s="132"/>
      <c r="J37" s="121"/>
      <c r="K37" s="121"/>
      <c r="L37" s="121"/>
    </row>
    <row r="38" spans="1:12" ht="35.25" customHeight="1" x14ac:dyDescent="0.2">
      <c r="A38" s="121"/>
      <c r="B38" s="131">
        <v>6</v>
      </c>
      <c r="C38" s="206" t="s">
        <v>2566</v>
      </c>
      <c r="D38" s="209" t="s">
        <v>117</v>
      </c>
      <c r="E38" s="199">
        <v>85</v>
      </c>
      <c r="F38" s="44">
        <v>0</v>
      </c>
      <c r="G38" s="270">
        <f t="shared" si="0"/>
        <v>0</v>
      </c>
      <c r="H38" s="122"/>
      <c r="I38" s="132"/>
      <c r="J38" s="121"/>
      <c r="K38" s="121"/>
      <c r="L38" s="121"/>
    </row>
    <row r="39" spans="1:12" ht="28.5" customHeight="1" x14ac:dyDescent="0.2">
      <c r="A39" s="121"/>
      <c r="B39" s="131">
        <v>7</v>
      </c>
      <c r="C39" s="206" t="s">
        <v>1832</v>
      </c>
      <c r="D39" s="68" t="s">
        <v>117</v>
      </c>
      <c r="E39" s="199">
        <v>25</v>
      </c>
      <c r="F39" s="44">
        <v>0</v>
      </c>
      <c r="G39" s="270">
        <f t="shared" si="0"/>
        <v>0</v>
      </c>
      <c r="H39" s="122"/>
      <c r="I39" s="133"/>
      <c r="J39" s="121"/>
      <c r="K39" s="121"/>
      <c r="L39" s="121"/>
    </row>
    <row r="40" spans="1:12" ht="28.5" customHeight="1" x14ac:dyDescent="0.2">
      <c r="A40" s="121"/>
      <c r="B40" s="131">
        <v>8</v>
      </c>
      <c r="C40" s="223" t="s">
        <v>155</v>
      </c>
      <c r="D40" s="222" t="s">
        <v>156</v>
      </c>
      <c r="E40" s="47">
        <v>7</v>
      </c>
      <c r="F40" s="44">
        <v>0</v>
      </c>
      <c r="G40" s="270">
        <f t="shared" si="0"/>
        <v>0</v>
      </c>
      <c r="H40" s="122"/>
      <c r="I40" s="121"/>
      <c r="J40" s="121"/>
      <c r="K40" s="121"/>
      <c r="L40" s="121"/>
    </row>
    <row r="41" spans="1:12" s="9" customFormat="1" ht="21.75" customHeight="1" x14ac:dyDescent="0.25">
      <c r="A41" s="147"/>
      <c r="B41" s="327" t="s">
        <v>12</v>
      </c>
      <c r="C41" s="214" t="s">
        <v>157</v>
      </c>
      <c r="D41" s="224"/>
      <c r="E41" s="215"/>
      <c r="F41" s="216"/>
      <c r="G41" s="290">
        <f>SUM(G33:G40)</f>
        <v>0</v>
      </c>
      <c r="H41" s="150"/>
      <c r="I41" s="147"/>
      <c r="J41" s="147"/>
      <c r="K41" s="147"/>
      <c r="L41" s="147"/>
    </row>
    <row r="42" spans="1:12" x14ac:dyDescent="0.2">
      <c r="A42" s="121"/>
      <c r="B42" s="129"/>
      <c r="C42" s="197"/>
      <c r="D42" s="198"/>
      <c r="E42" s="199"/>
      <c r="F42" s="200"/>
      <c r="G42" s="201"/>
      <c r="H42" s="122"/>
      <c r="I42" s="121"/>
      <c r="J42" s="121"/>
      <c r="K42" s="121"/>
      <c r="L42" s="121"/>
    </row>
    <row r="43" spans="1:12" ht="24" x14ac:dyDescent="0.2">
      <c r="A43" s="121"/>
      <c r="B43" s="128" t="s">
        <v>83</v>
      </c>
      <c r="C43" s="192" t="s">
        <v>89</v>
      </c>
      <c r="D43" s="192" t="s">
        <v>90</v>
      </c>
      <c r="E43" s="194" t="s">
        <v>91</v>
      </c>
      <c r="F43" s="195" t="s">
        <v>92</v>
      </c>
      <c r="G43" s="196" t="s">
        <v>93</v>
      </c>
      <c r="H43" s="122"/>
      <c r="I43" s="121"/>
      <c r="J43" s="121"/>
      <c r="K43" s="121"/>
      <c r="L43" s="121"/>
    </row>
    <row r="44" spans="1:12" x14ac:dyDescent="0.2">
      <c r="A44" s="121"/>
      <c r="B44" s="129"/>
      <c r="C44" s="197"/>
      <c r="D44" s="207"/>
      <c r="E44" s="199"/>
      <c r="F44" s="200"/>
      <c r="G44" s="201"/>
      <c r="H44" s="122"/>
      <c r="I44" s="121"/>
      <c r="J44" s="121"/>
      <c r="K44" s="121"/>
      <c r="L44" s="121"/>
    </row>
    <row r="45" spans="1:12" s="16" customFormat="1" ht="20.25" x14ac:dyDescent="0.3">
      <c r="A45" s="295"/>
      <c r="B45" s="296" t="s">
        <v>17</v>
      </c>
      <c r="C45" s="297" t="s">
        <v>158</v>
      </c>
      <c r="D45" s="298"/>
      <c r="E45" s="299"/>
      <c r="F45" s="300"/>
      <c r="G45" s="301"/>
      <c r="H45" s="302"/>
      <c r="I45" s="295"/>
      <c r="J45" s="295"/>
      <c r="K45" s="295"/>
      <c r="L45" s="295"/>
    </row>
    <row r="46" spans="1:12" s="24" customFormat="1" ht="18" customHeight="1" x14ac:dyDescent="0.2">
      <c r="A46" s="140"/>
      <c r="B46" s="143" t="s">
        <v>1</v>
      </c>
      <c r="C46" s="168"/>
      <c r="D46" s="170"/>
      <c r="E46" s="170"/>
      <c r="F46" s="170"/>
      <c r="G46" s="169"/>
      <c r="H46" s="139"/>
      <c r="I46" s="139"/>
      <c r="J46" s="139"/>
      <c r="K46" s="139"/>
      <c r="L46" s="139"/>
    </row>
    <row r="47" spans="1:12" s="24" customFormat="1" ht="18" customHeight="1" x14ac:dyDescent="0.25">
      <c r="A47" s="141"/>
      <c r="B47" s="144" t="s">
        <v>2</v>
      </c>
      <c r="C47" s="171"/>
      <c r="D47" s="172"/>
      <c r="E47" s="173"/>
      <c r="F47" s="173"/>
      <c r="G47" s="172"/>
      <c r="H47" s="139"/>
    </row>
    <row r="48" spans="1:12" s="24" customFormat="1" ht="18" customHeight="1" x14ac:dyDescent="0.2">
      <c r="A48" s="140"/>
      <c r="B48" s="143" t="s">
        <v>3</v>
      </c>
      <c r="C48" s="168"/>
      <c r="D48" s="170"/>
      <c r="E48" s="170"/>
      <c r="F48" s="170"/>
      <c r="G48" s="169"/>
      <c r="H48" s="139"/>
    </row>
    <row r="49" spans="1:8" s="24" customFormat="1" ht="18" customHeight="1" x14ac:dyDescent="0.25">
      <c r="A49" s="141"/>
      <c r="B49" s="144" t="s">
        <v>4</v>
      </c>
      <c r="C49" s="171"/>
      <c r="D49" s="173"/>
      <c r="E49" s="173"/>
      <c r="F49" s="173"/>
      <c r="G49" s="172"/>
      <c r="H49" s="139"/>
    </row>
    <row r="50" spans="1:8" s="43" customFormat="1" ht="18.75" customHeight="1" x14ac:dyDescent="0.2">
      <c r="A50" s="130"/>
      <c r="B50" s="3184" t="s">
        <v>159</v>
      </c>
      <c r="C50" s="3185"/>
      <c r="D50" s="3185"/>
      <c r="E50" s="3185"/>
      <c r="F50" s="3185"/>
      <c r="G50" s="3186"/>
      <c r="H50" s="122"/>
    </row>
    <row r="51" spans="1:8" ht="41.25" customHeight="1" x14ac:dyDescent="0.2">
      <c r="A51" s="121"/>
      <c r="B51" s="309" t="s">
        <v>173</v>
      </c>
      <c r="C51" s="227" t="s">
        <v>174</v>
      </c>
      <c r="D51" s="209" t="s">
        <v>98</v>
      </c>
      <c r="E51" s="228">
        <v>1</v>
      </c>
      <c r="F51" s="269">
        <v>0</v>
      </c>
      <c r="G51" s="270">
        <f>E51*F51</f>
        <v>0</v>
      </c>
      <c r="H51" s="122"/>
    </row>
    <row r="52" spans="1:8" ht="27" customHeight="1" x14ac:dyDescent="0.2">
      <c r="A52" s="121"/>
      <c r="B52" s="309" t="s">
        <v>175</v>
      </c>
      <c r="C52" s="227" t="s">
        <v>176</v>
      </c>
      <c r="D52" s="209" t="s">
        <v>98</v>
      </c>
      <c r="E52" s="228">
        <v>1</v>
      </c>
      <c r="F52" s="269">
        <v>0</v>
      </c>
      <c r="G52" s="270">
        <f>E52*F52</f>
        <v>0</v>
      </c>
      <c r="H52" s="122"/>
    </row>
    <row r="53" spans="1:8" ht="39" customHeight="1" x14ac:dyDescent="0.2">
      <c r="A53" s="121"/>
      <c r="B53" s="309" t="s">
        <v>177</v>
      </c>
      <c r="C53" s="227" t="s">
        <v>178</v>
      </c>
      <c r="D53" s="209" t="s">
        <v>98</v>
      </c>
      <c r="E53" s="228">
        <v>1</v>
      </c>
      <c r="F53" s="269">
        <v>0</v>
      </c>
      <c r="G53" s="270">
        <f>E53*F53</f>
        <v>0</v>
      </c>
      <c r="H53" s="122"/>
    </row>
    <row r="54" spans="1:8" ht="27.75" customHeight="1" x14ac:dyDescent="0.2">
      <c r="A54" s="121"/>
      <c r="B54" s="153">
        <v>3</v>
      </c>
      <c r="C54" s="229" t="s">
        <v>179</v>
      </c>
      <c r="D54" s="198"/>
      <c r="E54" s="199"/>
      <c r="F54" s="269">
        <v>0</v>
      </c>
      <c r="G54" s="201"/>
      <c r="H54" s="122"/>
    </row>
    <row r="55" spans="1:8" s="34" customFormat="1" ht="15.75" customHeight="1" x14ac:dyDescent="0.2">
      <c r="A55" s="136"/>
      <c r="B55" s="292" t="s">
        <v>897</v>
      </c>
      <c r="C55" s="67" t="s">
        <v>918</v>
      </c>
      <c r="D55" s="63"/>
      <c r="E55" s="62"/>
      <c r="F55" s="61"/>
      <c r="G55" s="60"/>
      <c r="H55" s="122"/>
    </row>
    <row r="56" spans="1:8" s="34" customFormat="1" ht="14.25" customHeight="1" x14ac:dyDescent="0.2">
      <c r="A56" s="136"/>
      <c r="B56" s="135"/>
      <c r="C56" s="69" t="s">
        <v>1056</v>
      </c>
      <c r="D56" s="63" t="s">
        <v>149</v>
      </c>
      <c r="E56" s="62">
        <v>1</v>
      </c>
      <c r="F56" s="61"/>
      <c r="G56" s="60"/>
      <c r="H56" s="122"/>
    </row>
    <row r="57" spans="1:8" s="34" customFormat="1" ht="14.25" customHeight="1" x14ac:dyDescent="0.2">
      <c r="A57" s="136"/>
      <c r="B57" s="135"/>
      <c r="C57" s="69" t="s">
        <v>1035</v>
      </c>
      <c r="D57" s="63" t="s">
        <v>149</v>
      </c>
      <c r="E57" s="62">
        <v>1</v>
      </c>
      <c r="F57" s="61"/>
      <c r="G57" s="60"/>
      <c r="H57" s="122"/>
    </row>
    <row r="58" spans="1:8" s="34" customFormat="1" ht="14.25" customHeight="1" x14ac:dyDescent="0.2">
      <c r="A58" s="136"/>
      <c r="B58" s="135"/>
      <c r="C58" s="69" t="s">
        <v>1034</v>
      </c>
      <c r="D58" s="63" t="s">
        <v>149</v>
      </c>
      <c r="E58" s="62">
        <v>10</v>
      </c>
      <c r="F58" s="61"/>
      <c r="G58" s="60"/>
      <c r="H58" s="122"/>
    </row>
    <row r="59" spans="1:8" s="34" customFormat="1" ht="14.25" customHeight="1" x14ac:dyDescent="0.2">
      <c r="A59" s="136"/>
      <c r="B59" s="135"/>
      <c r="C59" s="69" t="s">
        <v>1057</v>
      </c>
      <c r="D59" s="63" t="s">
        <v>149</v>
      </c>
      <c r="E59" s="62">
        <v>2</v>
      </c>
      <c r="F59" s="61"/>
      <c r="G59" s="60"/>
      <c r="H59" s="122"/>
    </row>
    <row r="60" spans="1:8" s="34" customFormat="1" ht="14.25" customHeight="1" x14ac:dyDescent="0.2">
      <c r="A60" s="136"/>
      <c r="B60" s="135"/>
      <c r="C60" s="69" t="s">
        <v>1036</v>
      </c>
      <c r="D60" s="63" t="s">
        <v>149</v>
      </c>
      <c r="E60" s="62">
        <v>2</v>
      </c>
      <c r="F60" s="61"/>
      <c r="G60" s="60"/>
      <c r="H60" s="122"/>
    </row>
    <row r="61" spans="1:8" s="34" customFormat="1" ht="14.25" customHeight="1" x14ac:dyDescent="0.2">
      <c r="A61" s="136"/>
      <c r="B61" s="135"/>
      <c r="C61" s="69" t="s">
        <v>1037</v>
      </c>
      <c r="D61" s="63" t="s">
        <v>149</v>
      </c>
      <c r="E61" s="62">
        <v>4</v>
      </c>
      <c r="F61" s="61"/>
      <c r="G61" s="60"/>
      <c r="H61" s="122"/>
    </row>
    <row r="62" spans="1:8" s="34" customFormat="1" ht="14.25" customHeight="1" x14ac:dyDescent="0.2">
      <c r="A62" s="136"/>
      <c r="B62" s="135"/>
      <c r="C62" s="69" t="s">
        <v>1038</v>
      </c>
      <c r="D62" s="63" t="s">
        <v>149</v>
      </c>
      <c r="E62" s="62">
        <v>2</v>
      </c>
      <c r="F62" s="61"/>
      <c r="G62" s="60"/>
      <c r="H62" s="122"/>
    </row>
    <row r="63" spans="1:8" s="34" customFormat="1" ht="14.25" customHeight="1" x14ac:dyDescent="0.2">
      <c r="B63" s="135"/>
      <c r="C63" s="69" t="s">
        <v>1039</v>
      </c>
      <c r="D63" s="63" t="s">
        <v>149</v>
      </c>
      <c r="E63" s="62">
        <v>10</v>
      </c>
      <c r="F63" s="61"/>
      <c r="G63" s="60"/>
      <c r="H63" s="122"/>
    </row>
    <row r="64" spans="1:8" s="34" customFormat="1" ht="14.25" customHeight="1" x14ac:dyDescent="0.2">
      <c r="B64" s="135"/>
      <c r="C64" s="69" t="s">
        <v>939</v>
      </c>
      <c r="D64" s="63" t="s">
        <v>149</v>
      </c>
      <c r="E64" s="62">
        <v>3</v>
      </c>
      <c r="F64" s="61"/>
      <c r="G64" s="60"/>
      <c r="H64" s="122"/>
    </row>
    <row r="65" spans="2:8" s="34" customFormat="1" ht="14.25" customHeight="1" x14ac:dyDescent="0.2">
      <c r="B65" s="135"/>
      <c r="C65" s="69" t="s">
        <v>1058</v>
      </c>
      <c r="D65" s="63" t="s">
        <v>149</v>
      </c>
      <c r="E65" s="62">
        <v>1</v>
      </c>
      <c r="F65" s="61"/>
      <c r="G65" s="60"/>
      <c r="H65" s="122"/>
    </row>
    <row r="66" spans="2:8" s="34" customFormat="1" ht="14.25" customHeight="1" x14ac:dyDescent="0.2">
      <c r="B66" s="135"/>
      <c r="C66" s="69" t="s">
        <v>1041</v>
      </c>
      <c r="D66" s="63" t="s">
        <v>928</v>
      </c>
      <c r="E66" s="62">
        <v>20</v>
      </c>
      <c r="F66" s="61"/>
      <c r="G66" s="60"/>
      <c r="H66" s="122"/>
    </row>
    <row r="67" spans="2:8" s="34" customFormat="1" ht="14.25" customHeight="1" x14ac:dyDescent="0.2">
      <c r="B67" s="135"/>
      <c r="C67" s="69" t="s">
        <v>940</v>
      </c>
      <c r="D67" s="63" t="s">
        <v>149</v>
      </c>
      <c r="E67" s="62">
        <v>8</v>
      </c>
      <c r="F67" s="61"/>
      <c r="G67" s="60"/>
      <c r="H67" s="122"/>
    </row>
    <row r="68" spans="2:8" s="34" customFormat="1" ht="15.75" customHeight="1" x14ac:dyDescent="0.2">
      <c r="B68" s="135"/>
      <c r="C68" s="69" t="s">
        <v>1005</v>
      </c>
      <c r="D68" s="63" t="s">
        <v>149</v>
      </c>
      <c r="E68" s="62">
        <v>1</v>
      </c>
      <c r="F68" s="61"/>
      <c r="G68" s="60"/>
      <c r="H68" s="122"/>
    </row>
    <row r="69" spans="2:8" s="34" customFormat="1" ht="15.75" customHeight="1" x14ac:dyDescent="0.2">
      <c r="B69" s="135"/>
      <c r="C69" s="69" t="s">
        <v>1059</v>
      </c>
      <c r="D69" s="63" t="s">
        <v>149</v>
      </c>
      <c r="E69" s="62">
        <v>1</v>
      </c>
      <c r="F69" s="61"/>
      <c r="G69" s="60"/>
      <c r="H69" s="122"/>
    </row>
    <row r="70" spans="2:8" s="34" customFormat="1" ht="330.75" customHeight="1" x14ac:dyDescent="0.2">
      <c r="B70" s="135"/>
      <c r="C70" s="66" t="s">
        <v>919</v>
      </c>
      <c r="D70" s="63" t="s">
        <v>149</v>
      </c>
      <c r="E70" s="62">
        <v>1</v>
      </c>
      <c r="F70" s="61"/>
      <c r="G70" s="60"/>
      <c r="H70" s="122"/>
    </row>
    <row r="71" spans="2:8" s="34" customFormat="1" ht="240" customHeight="1" x14ac:dyDescent="0.2">
      <c r="B71" s="135"/>
      <c r="C71" s="65" t="s">
        <v>920</v>
      </c>
      <c r="D71" s="63" t="s">
        <v>560</v>
      </c>
      <c r="E71" s="62">
        <v>1</v>
      </c>
      <c r="F71" s="61"/>
      <c r="G71" s="60"/>
      <c r="H71" s="122"/>
    </row>
    <row r="72" spans="2:8" s="34" customFormat="1" ht="108.75" customHeight="1" x14ac:dyDescent="0.2">
      <c r="B72" s="135"/>
      <c r="C72" s="65" t="s">
        <v>921</v>
      </c>
      <c r="D72" s="63" t="s">
        <v>149</v>
      </c>
      <c r="E72" s="62">
        <v>1</v>
      </c>
      <c r="F72" s="61"/>
      <c r="G72" s="60"/>
      <c r="H72" s="122"/>
    </row>
    <row r="73" spans="2:8" s="34" customFormat="1" ht="82.5" customHeight="1" x14ac:dyDescent="0.2">
      <c r="B73" s="135"/>
      <c r="C73" s="65" t="s">
        <v>988</v>
      </c>
      <c r="D73" s="63" t="s">
        <v>560</v>
      </c>
      <c r="E73" s="62">
        <v>1</v>
      </c>
      <c r="F73" s="61"/>
      <c r="G73" s="60"/>
      <c r="H73" s="122"/>
    </row>
    <row r="74" spans="2:8" s="34" customFormat="1" ht="328.5" customHeight="1" x14ac:dyDescent="0.2">
      <c r="B74" s="135"/>
      <c r="C74" s="64" t="s">
        <v>923</v>
      </c>
      <c r="D74" s="63" t="s">
        <v>149</v>
      </c>
      <c r="E74" s="62">
        <v>1</v>
      </c>
      <c r="F74" s="61"/>
      <c r="G74" s="60"/>
      <c r="H74" s="122"/>
    </row>
    <row r="75" spans="2:8" s="34" customFormat="1" ht="18" customHeight="1" x14ac:dyDescent="0.2">
      <c r="B75" s="135"/>
      <c r="C75" s="64" t="s">
        <v>924</v>
      </c>
      <c r="D75" s="63" t="s">
        <v>560</v>
      </c>
      <c r="E75" s="62">
        <v>1</v>
      </c>
      <c r="F75" s="61"/>
      <c r="G75" s="60"/>
      <c r="H75" s="122"/>
    </row>
    <row r="76" spans="2:8" s="34" customFormat="1" ht="18" customHeight="1" x14ac:dyDescent="0.2">
      <c r="B76" s="135"/>
      <c r="C76" s="2755" t="s">
        <v>2522</v>
      </c>
      <c r="D76" s="2751" t="s">
        <v>560</v>
      </c>
      <c r="E76" s="2752">
        <v>1</v>
      </c>
      <c r="F76" s="61">
        <v>0</v>
      </c>
      <c r="G76" s="60">
        <f t="shared" ref="G76" si="1">E76*F76</f>
        <v>0</v>
      </c>
      <c r="H76" s="122"/>
    </row>
    <row r="77" spans="2:8" s="9" customFormat="1" ht="25.5" customHeight="1" x14ac:dyDescent="0.25">
      <c r="B77" s="293" t="s">
        <v>17</v>
      </c>
      <c r="C77" s="294" t="s">
        <v>302</v>
      </c>
      <c r="D77" s="218"/>
      <c r="E77" s="203"/>
      <c r="F77" s="204"/>
      <c r="G77" s="290">
        <f>SUM(G51:G76)</f>
        <v>0</v>
      </c>
      <c r="H77" s="150"/>
    </row>
    <row r="78" spans="2:8" x14ac:dyDescent="0.2">
      <c r="B78" s="129"/>
      <c r="C78" s="197"/>
      <c r="D78" s="207"/>
      <c r="E78" s="199"/>
      <c r="F78" s="200"/>
      <c r="G78" s="201"/>
      <c r="H78" s="122"/>
    </row>
    <row r="79" spans="2:8" ht="24" x14ac:dyDescent="0.2">
      <c r="B79" s="128" t="s">
        <v>83</v>
      </c>
      <c r="C79" s="192" t="s">
        <v>89</v>
      </c>
      <c r="D79" s="192" t="s">
        <v>90</v>
      </c>
      <c r="E79" s="194" t="s">
        <v>91</v>
      </c>
      <c r="F79" s="195" t="s">
        <v>92</v>
      </c>
      <c r="G79" s="196" t="s">
        <v>93</v>
      </c>
    </row>
    <row r="80" spans="2:8" x14ac:dyDescent="0.2">
      <c r="B80" s="51"/>
      <c r="C80" s="50"/>
      <c r="D80" s="50"/>
      <c r="E80" s="359"/>
      <c r="F80" s="360"/>
      <c r="G80" s="361"/>
    </row>
    <row r="81" spans="2:7" ht="20.25" x14ac:dyDescent="0.2">
      <c r="B81" s="296" t="s">
        <v>18</v>
      </c>
      <c r="C81" s="297" t="s">
        <v>367</v>
      </c>
      <c r="D81" s="298"/>
      <c r="E81" s="299"/>
      <c r="F81" s="300"/>
      <c r="G81" s="301"/>
    </row>
    <row r="82" spans="2:7" x14ac:dyDescent="0.2">
      <c r="B82" s="3205" t="s">
        <v>539</v>
      </c>
      <c r="C82" s="3206"/>
      <c r="D82" s="3206"/>
      <c r="E82" s="3206"/>
      <c r="F82" s="3206"/>
      <c r="G82" s="3207"/>
    </row>
    <row r="83" spans="2:7" ht="25.5" customHeight="1" x14ac:dyDescent="0.2">
      <c r="B83" s="3205" t="s">
        <v>540</v>
      </c>
      <c r="C83" s="3206"/>
      <c r="D83" s="3206"/>
      <c r="E83" s="3206"/>
      <c r="F83" s="3206"/>
      <c r="G83" s="3207"/>
    </row>
    <row r="84" spans="2:7" x14ac:dyDescent="0.2">
      <c r="B84" s="3205" t="s">
        <v>541</v>
      </c>
      <c r="C84" s="3206"/>
      <c r="D84" s="3206"/>
      <c r="E84" s="3206"/>
      <c r="F84" s="3206"/>
      <c r="G84" s="3207"/>
    </row>
    <row r="85" spans="2:7" ht="25.5" customHeight="1" x14ac:dyDescent="0.2">
      <c r="B85" s="3205" t="s">
        <v>542</v>
      </c>
      <c r="C85" s="3206"/>
      <c r="D85" s="3206"/>
      <c r="E85" s="3206"/>
      <c r="F85" s="3206"/>
      <c r="G85" s="3207"/>
    </row>
    <row r="86" spans="2:7" ht="25.5" customHeight="1" x14ac:dyDescent="0.2">
      <c r="B86" s="3205" t="s">
        <v>543</v>
      </c>
      <c r="C86" s="3206"/>
      <c r="D86" s="3206"/>
      <c r="E86" s="3206"/>
      <c r="F86" s="3206"/>
      <c r="G86" s="3207"/>
    </row>
    <row r="87" spans="2:7" ht="25.5" customHeight="1" x14ac:dyDescent="0.2">
      <c r="B87" s="3205" t="s">
        <v>544</v>
      </c>
      <c r="C87" s="3206"/>
      <c r="D87" s="3206"/>
      <c r="E87" s="3206"/>
      <c r="F87" s="3206"/>
      <c r="G87" s="3207"/>
    </row>
    <row r="88" spans="2:7" x14ac:dyDescent="0.2">
      <c r="B88" s="3205" t="s">
        <v>545</v>
      </c>
      <c r="C88" s="3206"/>
      <c r="D88" s="3206"/>
      <c r="E88" s="3206"/>
      <c r="F88" s="3206"/>
      <c r="G88" s="3207"/>
    </row>
    <row r="89" spans="2:7" x14ac:dyDescent="0.2">
      <c r="B89" s="153">
        <v>1</v>
      </c>
      <c r="C89" s="357" t="s">
        <v>550</v>
      </c>
      <c r="D89" s="207"/>
      <c r="E89" s="199"/>
      <c r="F89" s="269"/>
      <c r="G89" s="270"/>
    </row>
    <row r="90" spans="2:7" ht="108" x14ac:dyDescent="0.2">
      <c r="B90" s="129"/>
      <c r="C90" s="197" t="s">
        <v>815</v>
      </c>
      <c r="D90" s="207" t="s">
        <v>98</v>
      </c>
      <c r="E90" s="199">
        <v>1</v>
      </c>
      <c r="F90" s="269">
        <v>0</v>
      </c>
      <c r="G90" s="270">
        <f t="shared" ref="G90:G110" si="2">E90*F90</f>
        <v>0</v>
      </c>
    </row>
    <row r="91" spans="2:7" ht="60" x14ac:dyDescent="0.2">
      <c r="B91" s="129"/>
      <c r="C91" s="197" t="s">
        <v>751</v>
      </c>
      <c r="D91" s="207" t="s">
        <v>123</v>
      </c>
      <c r="E91" s="199">
        <v>1</v>
      </c>
      <c r="F91" s="269">
        <v>0</v>
      </c>
      <c r="G91" s="270">
        <f t="shared" si="2"/>
        <v>0</v>
      </c>
    </row>
    <row r="92" spans="2:7" ht="60" x14ac:dyDescent="0.2">
      <c r="B92" s="129"/>
      <c r="C92" s="197" t="s">
        <v>752</v>
      </c>
      <c r="D92" s="207" t="s">
        <v>123</v>
      </c>
      <c r="E92" s="199">
        <v>1</v>
      </c>
      <c r="F92" s="269">
        <v>0</v>
      </c>
      <c r="G92" s="270">
        <f t="shared" si="2"/>
        <v>0</v>
      </c>
    </row>
    <row r="93" spans="2:7" ht="60" x14ac:dyDescent="0.2">
      <c r="B93" s="129"/>
      <c r="C93" s="197" t="s">
        <v>753</v>
      </c>
      <c r="D93" s="207" t="s">
        <v>123</v>
      </c>
      <c r="E93" s="199">
        <v>2</v>
      </c>
      <c r="F93" s="269">
        <v>0</v>
      </c>
      <c r="G93" s="270">
        <f t="shared" si="2"/>
        <v>0</v>
      </c>
    </row>
    <row r="94" spans="2:7" ht="60" x14ac:dyDescent="0.2">
      <c r="B94" s="129"/>
      <c r="C94" s="197" t="s">
        <v>754</v>
      </c>
      <c r="D94" s="207" t="s">
        <v>123</v>
      </c>
      <c r="E94" s="199">
        <v>1</v>
      </c>
      <c r="F94" s="269">
        <v>0</v>
      </c>
      <c r="G94" s="270">
        <f t="shared" si="2"/>
        <v>0</v>
      </c>
    </row>
    <row r="95" spans="2:7" ht="48" x14ac:dyDescent="0.2">
      <c r="B95" s="129"/>
      <c r="C95" s="197" t="s">
        <v>755</v>
      </c>
      <c r="D95" s="207" t="s">
        <v>123</v>
      </c>
      <c r="E95" s="199">
        <v>1</v>
      </c>
      <c r="F95" s="269">
        <v>0</v>
      </c>
      <c r="G95" s="270">
        <f t="shared" si="2"/>
        <v>0</v>
      </c>
    </row>
    <row r="96" spans="2:7" ht="60" x14ac:dyDescent="0.2">
      <c r="B96" s="129"/>
      <c r="C96" s="311" t="s">
        <v>756</v>
      </c>
      <c r="D96" s="207" t="s">
        <v>98</v>
      </c>
      <c r="E96" s="199">
        <v>1</v>
      </c>
      <c r="F96" s="269">
        <v>0</v>
      </c>
      <c r="G96" s="270">
        <f t="shared" si="2"/>
        <v>0</v>
      </c>
    </row>
    <row r="97" spans="2:8" ht="48" x14ac:dyDescent="0.2">
      <c r="B97" s="129"/>
      <c r="C97" s="197" t="s">
        <v>757</v>
      </c>
      <c r="D97" s="207" t="s">
        <v>123</v>
      </c>
      <c r="E97" s="199">
        <v>1</v>
      </c>
      <c r="F97" s="269">
        <v>0</v>
      </c>
      <c r="G97" s="270">
        <f t="shared" si="2"/>
        <v>0</v>
      </c>
    </row>
    <row r="98" spans="2:8" ht="108" x14ac:dyDescent="0.2">
      <c r="B98" s="129"/>
      <c r="C98" s="197" t="s">
        <v>619</v>
      </c>
      <c r="D98" s="207" t="s">
        <v>123</v>
      </c>
      <c r="E98" s="199">
        <v>1</v>
      </c>
      <c r="F98" s="269">
        <v>0</v>
      </c>
      <c r="G98" s="270">
        <f t="shared" si="2"/>
        <v>0</v>
      </c>
    </row>
    <row r="99" spans="2:8" ht="36" x14ac:dyDescent="0.2">
      <c r="B99" s="129"/>
      <c r="C99" s="197" t="s">
        <v>758</v>
      </c>
      <c r="D99" s="207" t="s">
        <v>123</v>
      </c>
      <c r="E99" s="199">
        <v>40</v>
      </c>
      <c r="F99" s="269">
        <v>0</v>
      </c>
      <c r="G99" s="270">
        <f t="shared" si="2"/>
        <v>0</v>
      </c>
    </row>
    <row r="100" spans="2:8" ht="36" x14ac:dyDescent="0.2">
      <c r="B100" s="129"/>
      <c r="C100" s="197" t="s">
        <v>759</v>
      </c>
      <c r="D100" s="207" t="s">
        <v>123</v>
      </c>
      <c r="E100" s="199">
        <v>10</v>
      </c>
      <c r="F100" s="269">
        <v>0</v>
      </c>
      <c r="G100" s="270">
        <f t="shared" si="2"/>
        <v>0</v>
      </c>
    </row>
    <row r="101" spans="2:8" ht="36" x14ac:dyDescent="0.2">
      <c r="B101" s="129"/>
      <c r="C101" s="197" t="s">
        <v>760</v>
      </c>
      <c r="D101" s="207" t="s">
        <v>123</v>
      </c>
      <c r="E101" s="199">
        <v>2</v>
      </c>
      <c r="F101" s="269">
        <v>0</v>
      </c>
      <c r="G101" s="270">
        <f t="shared" si="2"/>
        <v>0</v>
      </c>
    </row>
    <row r="102" spans="2:8" ht="36" x14ac:dyDescent="0.2">
      <c r="B102" s="129"/>
      <c r="C102" s="197" t="s">
        <v>761</v>
      </c>
      <c r="D102" s="207" t="s">
        <v>123</v>
      </c>
      <c r="E102" s="199">
        <v>12</v>
      </c>
      <c r="F102" s="269">
        <v>0</v>
      </c>
      <c r="G102" s="270">
        <f t="shared" si="2"/>
        <v>0</v>
      </c>
    </row>
    <row r="103" spans="2:8" ht="36" x14ac:dyDescent="0.2">
      <c r="B103" s="129"/>
      <c r="C103" s="197" t="s">
        <v>762</v>
      </c>
      <c r="D103" s="207" t="s">
        <v>123</v>
      </c>
      <c r="E103" s="199">
        <v>1</v>
      </c>
      <c r="F103" s="269">
        <v>0</v>
      </c>
      <c r="G103" s="270">
        <f t="shared" si="2"/>
        <v>0</v>
      </c>
    </row>
    <row r="104" spans="2:8" ht="48" x14ac:dyDescent="0.2">
      <c r="B104" s="129"/>
      <c r="C104" s="197" t="s">
        <v>763</v>
      </c>
      <c r="D104" s="207" t="s">
        <v>123</v>
      </c>
      <c r="E104" s="199">
        <v>1</v>
      </c>
      <c r="F104" s="269">
        <v>0</v>
      </c>
      <c r="G104" s="270">
        <f t="shared" si="2"/>
        <v>0</v>
      </c>
    </row>
    <row r="105" spans="2:8" ht="48" x14ac:dyDescent="0.2">
      <c r="B105" s="129"/>
      <c r="C105" s="197" t="s">
        <v>764</v>
      </c>
      <c r="D105" s="207" t="s">
        <v>123</v>
      </c>
      <c r="E105" s="199">
        <v>3</v>
      </c>
      <c r="F105" s="269">
        <v>0</v>
      </c>
      <c r="G105" s="270">
        <f t="shared" si="2"/>
        <v>0</v>
      </c>
    </row>
    <row r="106" spans="2:8" ht="48" x14ac:dyDescent="0.2">
      <c r="B106" s="129"/>
      <c r="C106" s="197" t="s">
        <v>765</v>
      </c>
      <c r="D106" s="207" t="s">
        <v>123</v>
      </c>
      <c r="E106" s="199">
        <v>3</v>
      </c>
      <c r="F106" s="269">
        <v>0</v>
      </c>
      <c r="G106" s="270">
        <f t="shared" si="2"/>
        <v>0</v>
      </c>
    </row>
    <row r="107" spans="2:8" ht="48" x14ac:dyDescent="0.2">
      <c r="B107" s="129"/>
      <c r="C107" s="197" t="s">
        <v>766</v>
      </c>
      <c r="D107" s="207" t="s">
        <v>123</v>
      </c>
      <c r="E107" s="199">
        <v>3</v>
      </c>
      <c r="F107" s="269">
        <v>0</v>
      </c>
      <c r="G107" s="270">
        <f t="shared" si="2"/>
        <v>0</v>
      </c>
    </row>
    <row r="108" spans="2:8" ht="48" x14ac:dyDescent="0.2">
      <c r="B108" s="129"/>
      <c r="C108" s="197" t="s">
        <v>767</v>
      </c>
      <c r="D108" s="207" t="s">
        <v>98</v>
      </c>
      <c r="E108" s="199">
        <v>1</v>
      </c>
      <c r="F108" s="269">
        <v>0</v>
      </c>
      <c r="G108" s="270">
        <f t="shared" si="2"/>
        <v>0</v>
      </c>
    </row>
    <row r="109" spans="2:8" ht="60" x14ac:dyDescent="0.2">
      <c r="B109" s="129"/>
      <c r="C109" s="197" t="s">
        <v>768</v>
      </c>
      <c r="D109" s="207" t="s">
        <v>123</v>
      </c>
      <c r="E109" s="199">
        <v>1</v>
      </c>
      <c r="F109" s="269">
        <v>0</v>
      </c>
      <c r="G109" s="270">
        <f t="shared" si="2"/>
        <v>0</v>
      </c>
    </row>
    <row r="110" spans="2:8" ht="84" x14ac:dyDescent="0.2">
      <c r="B110" s="129"/>
      <c r="C110" s="197" t="s">
        <v>620</v>
      </c>
      <c r="D110" s="207" t="s">
        <v>123</v>
      </c>
      <c r="E110" s="199">
        <v>1</v>
      </c>
      <c r="F110" s="269">
        <v>0</v>
      </c>
      <c r="G110" s="270">
        <f t="shared" si="2"/>
        <v>0</v>
      </c>
    </row>
    <row r="111" spans="2:8" x14ac:dyDescent="0.2">
      <c r="B111" s="153">
        <v>2</v>
      </c>
      <c r="C111" s="357" t="s">
        <v>769</v>
      </c>
      <c r="D111" s="207"/>
      <c r="E111" s="199"/>
      <c r="F111" s="269"/>
      <c r="G111" s="270"/>
    </row>
    <row r="112" spans="2:8" s="121" customFormat="1" ht="387.75" customHeight="1" x14ac:dyDescent="0.2">
      <c r="B112" s="2743"/>
      <c r="C112" s="2744"/>
      <c r="D112" s="2745"/>
      <c r="E112" s="2746"/>
      <c r="F112" s="2747"/>
      <c r="G112" s="2736"/>
      <c r="H112" s="122"/>
    </row>
    <row r="113" spans="2:8" s="121" customFormat="1" ht="24.75" customHeight="1" x14ac:dyDescent="0.2">
      <c r="B113" s="2743"/>
      <c r="C113" s="2744" t="s">
        <v>2465</v>
      </c>
      <c r="D113" s="2748" t="s">
        <v>98</v>
      </c>
      <c r="E113" s="2746">
        <v>1</v>
      </c>
      <c r="F113" s="2747">
        <v>0</v>
      </c>
      <c r="G113" s="2736">
        <f t="shared" ref="G113" si="3">E113*F113</f>
        <v>0</v>
      </c>
      <c r="H113" s="122"/>
    </row>
    <row r="114" spans="2:8" ht="60" x14ac:dyDescent="0.2">
      <c r="B114" s="129"/>
      <c r="C114" s="197" t="s">
        <v>772</v>
      </c>
      <c r="D114" s="207" t="s">
        <v>123</v>
      </c>
      <c r="E114" s="199">
        <v>1</v>
      </c>
      <c r="F114" s="269">
        <v>0</v>
      </c>
      <c r="G114" s="270">
        <f t="shared" ref="G114:G121" si="4">E114*F114</f>
        <v>0</v>
      </c>
    </row>
    <row r="115" spans="2:8" ht="48" x14ac:dyDescent="0.2">
      <c r="B115" s="129"/>
      <c r="C115" s="197" t="s">
        <v>625</v>
      </c>
      <c r="D115" s="207" t="s">
        <v>123</v>
      </c>
      <c r="E115" s="199">
        <v>1</v>
      </c>
      <c r="F115" s="269">
        <v>0</v>
      </c>
      <c r="G115" s="270">
        <f t="shared" si="4"/>
        <v>0</v>
      </c>
    </row>
    <row r="116" spans="2:8" ht="48" x14ac:dyDescent="0.2">
      <c r="B116" s="362"/>
      <c r="C116" s="311" t="s">
        <v>771</v>
      </c>
      <c r="D116" s="207" t="s">
        <v>123</v>
      </c>
      <c r="E116" s="199">
        <v>1</v>
      </c>
      <c r="F116" s="269">
        <v>0</v>
      </c>
      <c r="G116" s="270">
        <f t="shared" si="4"/>
        <v>0</v>
      </c>
    </row>
    <row r="117" spans="2:8" ht="48" x14ac:dyDescent="0.2">
      <c r="B117" s="362"/>
      <c r="C117" s="311" t="s">
        <v>943</v>
      </c>
      <c r="D117" s="207" t="s">
        <v>123</v>
      </c>
      <c r="E117" s="199">
        <v>1</v>
      </c>
      <c r="F117" s="269">
        <v>0</v>
      </c>
      <c r="G117" s="270">
        <f t="shared" si="4"/>
        <v>0</v>
      </c>
    </row>
    <row r="118" spans="2:8" ht="180" x14ac:dyDescent="0.2">
      <c r="B118" s="153"/>
      <c r="C118" s="311" t="s">
        <v>773</v>
      </c>
      <c r="D118" s="207" t="s">
        <v>123</v>
      </c>
      <c r="E118" s="199">
        <v>1</v>
      </c>
      <c r="F118" s="269">
        <v>0</v>
      </c>
      <c r="G118" s="270">
        <f t="shared" si="4"/>
        <v>0</v>
      </c>
    </row>
    <row r="119" spans="2:8" ht="60" x14ac:dyDescent="0.2">
      <c r="B119" s="153"/>
      <c r="C119" s="311" t="s">
        <v>944</v>
      </c>
      <c r="D119" s="207" t="s">
        <v>98</v>
      </c>
      <c r="E119" s="199">
        <v>1</v>
      </c>
      <c r="F119" s="269">
        <v>0</v>
      </c>
      <c r="G119" s="270">
        <f t="shared" si="4"/>
        <v>0</v>
      </c>
    </row>
    <row r="120" spans="2:8" ht="36" x14ac:dyDescent="0.2">
      <c r="B120" s="129"/>
      <c r="C120" s="197" t="s">
        <v>603</v>
      </c>
      <c r="D120" s="207" t="s">
        <v>123</v>
      </c>
      <c r="E120" s="199">
        <v>1</v>
      </c>
      <c r="F120" s="269">
        <v>0</v>
      </c>
      <c r="G120" s="270">
        <f t="shared" si="4"/>
        <v>0</v>
      </c>
    </row>
    <row r="121" spans="2:8" ht="288" x14ac:dyDescent="0.2">
      <c r="B121" s="129"/>
      <c r="C121" s="197" t="s">
        <v>630</v>
      </c>
      <c r="D121" s="207" t="s">
        <v>98</v>
      </c>
      <c r="E121" s="199">
        <v>2</v>
      </c>
      <c r="F121" s="269">
        <v>0</v>
      </c>
      <c r="G121" s="270">
        <f t="shared" si="4"/>
        <v>0</v>
      </c>
    </row>
    <row r="122" spans="2:8" x14ac:dyDescent="0.2">
      <c r="B122" s="153">
        <v>3</v>
      </c>
      <c r="C122" s="357" t="s">
        <v>775</v>
      </c>
      <c r="D122" s="207"/>
      <c r="E122" s="199"/>
      <c r="F122" s="269"/>
      <c r="G122" s="270"/>
    </row>
    <row r="123" spans="2:8" ht="276" x14ac:dyDescent="0.2">
      <c r="B123" s="129"/>
      <c r="C123" s="197" t="s">
        <v>776</v>
      </c>
      <c r="D123" s="207" t="s">
        <v>98</v>
      </c>
      <c r="E123" s="199">
        <v>1</v>
      </c>
      <c r="F123" s="269">
        <v>0</v>
      </c>
      <c r="G123" s="270">
        <f>E123*F123</f>
        <v>0</v>
      </c>
    </row>
    <row r="124" spans="2:8" ht="72" x14ac:dyDescent="0.2">
      <c r="B124" s="129"/>
      <c r="C124" s="197" t="s">
        <v>777</v>
      </c>
      <c r="D124" s="207" t="s">
        <v>98</v>
      </c>
      <c r="E124" s="199">
        <v>1</v>
      </c>
      <c r="F124" s="269">
        <v>0</v>
      </c>
      <c r="G124" s="270">
        <f>E124*F124</f>
        <v>0</v>
      </c>
    </row>
    <row r="125" spans="2:8" ht="84" x14ac:dyDescent="0.2">
      <c r="B125" s="129"/>
      <c r="C125" s="197" t="s">
        <v>778</v>
      </c>
      <c r="D125" s="207" t="s">
        <v>98</v>
      </c>
      <c r="E125" s="199">
        <v>1</v>
      </c>
      <c r="F125" s="269">
        <v>0</v>
      </c>
      <c r="G125" s="270">
        <f>E125*F125</f>
        <v>0</v>
      </c>
    </row>
    <row r="126" spans="2:8" x14ac:dyDescent="0.2">
      <c r="B126" s="153">
        <v>4</v>
      </c>
      <c r="C126" s="357" t="s">
        <v>779</v>
      </c>
      <c r="D126" s="207"/>
      <c r="E126" s="199"/>
      <c r="F126" s="269"/>
      <c r="G126" s="270"/>
    </row>
    <row r="127" spans="2:8" ht="60" x14ac:dyDescent="0.2">
      <c r="B127" s="153"/>
      <c r="C127" s="311" t="s">
        <v>780</v>
      </c>
      <c r="D127" s="207" t="s">
        <v>98</v>
      </c>
      <c r="E127" s="199">
        <v>2</v>
      </c>
      <c r="F127" s="269">
        <v>0</v>
      </c>
      <c r="G127" s="270">
        <f t="shared" ref="G127:G133" si="5">E127*F127</f>
        <v>0</v>
      </c>
    </row>
    <row r="128" spans="2:8" ht="60" x14ac:dyDescent="0.2">
      <c r="B128" s="129"/>
      <c r="C128" s="197" t="s">
        <v>781</v>
      </c>
      <c r="D128" s="207" t="s">
        <v>98</v>
      </c>
      <c r="E128" s="199">
        <v>2</v>
      </c>
      <c r="F128" s="269">
        <v>0</v>
      </c>
      <c r="G128" s="270">
        <f t="shared" si="5"/>
        <v>0</v>
      </c>
    </row>
    <row r="129" spans="2:8" ht="60" x14ac:dyDescent="0.2">
      <c r="B129" s="153"/>
      <c r="C129" s="311" t="s">
        <v>945</v>
      </c>
      <c r="D129" s="207" t="s">
        <v>98</v>
      </c>
      <c r="E129" s="199">
        <v>2</v>
      </c>
      <c r="F129" s="269">
        <v>0</v>
      </c>
      <c r="G129" s="270">
        <f t="shared" si="5"/>
        <v>0</v>
      </c>
    </row>
    <row r="130" spans="2:8" ht="72" x14ac:dyDescent="0.2">
      <c r="B130" s="153"/>
      <c r="C130" s="311" t="s">
        <v>533</v>
      </c>
      <c r="D130" s="207" t="s">
        <v>123</v>
      </c>
      <c r="E130" s="199">
        <v>2</v>
      </c>
      <c r="F130" s="269">
        <v>0</v>
      </c>
      <c r="G130" s="270">
        <f t="shared" si="5"/>
        <v>0</v>
      </c>
    </row>
    <row r="131" spans="2:8" ht="36" x14ac:dyDescent="0.2">
      <c r="B131" s="129"/>
      <c r="C131" s="197" t="s">
        <v>782</v>
      </c>
      <c r="D131" s="207" t="s">
        <v>123</v>
      </c>
      <c r="E131" s="199">
        <v>1</v>
      </c>
      <c r="F131" s="269">
        <v>0</v>
      </c>
      <c r="G131" s="270">
        <f t="shared" si="5"/>
        <v>0</v>
      </c>
    </row>
    <row r="132" spans="2:8" ht="132" x14ac:dyDescent="0.2">
      <c r="B132" s="153"/>
      <c r="C132" s="311" t="s">
        <v>508</v>
      </c>
      <c r="D132" s="207" t="s">
        <v>123</v>
      </c>
      <c r="E132" s="199">
        <v>1</v>
      </c>
      <c r="F132" s="269">
        <v>0</v>
      </c>
      <c r="G132" s="270">
        <f t="shared" si="5"/>
        <v>0</v>
      </c>
    </row>
    <row r="133" spans="2:8" ht="96" x14ac:dyDescent="0.2">
      <c r="B133" s="129"/>
      <c r="C133" s="197" t="s">
        <v>783</v>
      </c>
      <c r="D133" s="207" t="s">
        <v>123</v>
      </c>
      <c r="E133" s="199">
        <v>1</v>
      </c>
      <c r="F133" s="269">
        <v>0</v>
      </c>
      <c r="G133" s="270">
        <f t="shared" si="5"/>
        <v>0</v>
      </c>
    </row>
    <row r="134" spans="2:8" x14ac:dyDescent="0.2">
      <c r="B134" s="153">
        <v>5</v>
      </c>
      <c r="C134" s="357" t="s">
        <v>784</v>
      </c>
      <c r="D134" s="207"/>
      <c r="E134" s="199"/>
      <c r="F134" s="269"/>
      <c r="G134" s="270"/>
    </row>
    <row r="135" spans="2:8" x14ac:dyDescent="0.2">
      <c r="B135" s="153"/>
      <c r="C135" s="311" t="s">
        <v>643</v>
      </c>
      <c r="D135" s="207" t="s">
        <v>644</v>
      </c>
      <c r="E135" s="199">
        <v>20</v>
      </c>
      <c r="F135" s="269">
        <v>0</v>
      </c>
      <c r="G135" s="270">
        <f t="shared" ref="G135:G143" si="6">E135*F135</f>
        <v>0</v>
      </c>
    </row>
    <row r="136" spans="2:8" x14ac:dyDescent="0.2">
      <c r="B136" s="153"/>
      <c r="C136" s="311" t="s">
        <v>645</v>
      </c>
      <c r="D136" s="207" t="s">
        <v>644</v>
      </c>
      <c r="E136" s="199">
        <v>30</v>
      </c>
      <c r="F136" s="269">
        <v>0</v>
      </c>
      <c r="G136" s="270">
        <f t="shared" si="6"/>
        <v>0</v>
      </c>
    </row>
    <row r="137" spans="2:8" x14ac:dyDescent="0.2">
      <c r="B137" s="153"/>
      <c r="C137" s="311" t="s">
        <v>646</v>
      </c>
      <c r="D137" s="207" t="s">
        <v>644</v>
      </c>
      <c r="E137" s="199">
        <v>100</v>
      </c>
      <c r="F137" s="269">
        <v>0</v>
      </c>
      <c r="G137" s="270">
        <f t="shared" si="6"/>
        <v>0</v>
      </c>
    </row>
    <row r="138" spans="2:8" x14ac:dyDescent="0.2">
      <c r="B138" s="153"/>
      <c r="C138" s="311" t="s">
        <v>647</v>
      </c>
      <c r="D138" s="207" t="s">
        <v>644</v>
      </c>
      <c r="E138" s="199">
        <v>50</v>
      </c>
      <c r="F138" s="269">
        <v>0</v>
      </c>
      <c r="G138" s="270">
        <f t="shared" si="6"/>
        <v>0</v>
      </c>
    </row>
    <row r="139" spans="2:8" x14ac:dyDescent="0.2">
      <c r="B139" s="153"/>
      <c r="C139" s="311" t="s">
        <v>648</v>
      </c>
      <c r="D139" s="207" t="s">
        <v>644</v>
      </c>
      <c r="E139" s="199">
        <v>30</v>
      </c>
      <c r="F139" s="269">
        <v>0</v>
      </c>
      <c r="G139" s="270">
        <f t="shared" si="6"/>
        <v>0</v>
      </c>
    </row>
    <row r="140" spans="2:8" x14ac:dyDescent="0.2">
      <c r="B140" s="153"/>
      <c r="C140" s="311" t="s">
        <v>650</v>
      </c>
      <c r="D140" s="207" t="s">
        <v>123</v>
      </c>
      <c r="E140" s="199">
        <v>2</v>
      </c>
      <c r="F140" s="269">
        <v>0</v>
      </c>
      <c r="G140" s="270">
        <f t="shared" si="6"/>
        <v>0</v>
      </c>
    </row>
    <row r="141" spans="2:8" x14ac:dyDescent="0.2">
      <c r="B141" s="153"/>
      <c r="C141" s="311" t="s">
        <v>651</v>
      </c>
      <c r="D141" s="207" t="s">
        <v>644</v>
      </c>
      <c r="E141" s="199">
        <v>50</v>
      </c>
      <c r="F141" s="269">
        <v>0</v>
      </c>
      <c r="G141" s="270">
        <f t="shared" si="6"/>
        <v>0</v>
      </c>
    </row>
    <row r="142" spans="2:8" x14ac:dyDescent="0.2">
      <c r="B142" s="153"/>
      <c r="C142" s="311" t="s">
        <v>652</v>
      </c>
      <c r="D142" s="207" t="s">
        <v>644</v>
      </c>
      <c r="E142" s="199">
        <v>30</v>
      </c>
      <c r="F142" s="269">
        <v>0</v>
      </c>
      <c r="G142" s="270">
        <f t="shared" si="6"/>
        <v>0</v>
      </c>
    </row>
    <row r="143" spans="2:8" x14ac:dyDescent="0.2">
      <c r="B143" s="129"/>
      <c r="C143" s="311" t="s">
        <v>632</v>
      </c>
      <c r="D143" s="207" t="s">
        <v>98</v>
      </c>
      <c r="E143" s="199">
        <v>1</v>
      </c>
      <c r="F143" s="269">
        <v>0</v>
      </c>
      <c r="G143" s="270">
        <f t="shared" si="6"/>
        <v>0</v>
      </c>
    </row>
    <row r="144" spans="2:8" s="11" customFormat="1" x14ac:dyDescent="0.2">
      <c r="B144" s="59">
        <v>6</v>
      </c>
      <c r="C144" s="357" t="s">
        <v>785</v>
      </c>
      <c r="D144" s="15"/>
      <c r="E144" s="419"/>
      <c r="F144" s="14"/>
      <c r="G144" s="13"/>
      <c r="H144" s="12"/>
    </row>
    <row r="145" spans="2:8" s="11" customFormat="1" ht="24" x14ac:dyDescent="0.2">
      <c r="B145" s="59"/>
      <c r="C145" s="311" t="s">
        <v>666</v>
      </c>
      <c r="D145" s="207" t="s">
        <v>644</v>
      </c>
      <c r="E145" s="199">
        <v>20</v>
      </c>
      <c r="F145" s="269">
        <v>0</v>
      </c>
      <c r="G145" s="270">
        <f t="shared" ref="G145:G152" si="7">E145*F145</f>
        <v>0</v>
      </c>
      <c r="H145" s="12"/>
    </row>
    <row r="146" spans="2:8" s="11" customFormat="1" x14ac:dyDescent="0.2">
      <c r="B146" s="59"/>
      <c r="C146" s="311" t="s">
        <v>667</v>
      </c>
      <c r="D146" s="207" t="s">
        <v>644</v>
      </c>
      <c r="E146" s="199">
        <v>50</v>
      </c>
      <c r="F146" s="269">
        <v>0</v>
      </c>
      <c r="G146" s="270">
        <f t="shared" si="7"/>
        <v>0</v>
      </c>
      <c r="H146" s="12"/>
    </row>
    <row r="147" spans="2:8" s="11" customFormat="1" x14ac:dyDescent="0.2">
      <c r="B147" s="59"/>
      <c r="C147" s="311" t="s">
        <v>668</v>
      </c>
      <c r="D147" s="207" t="s">
        <v>644</v>
      </c>
      <c r="E147" s="199">
        <v>20</v>
      </c>
      <c r="F147" s="269">
        <v>0</v>
      </c>
      <c r="G147" s="270">
        <f t="shared" si="7"/>
        <v>0</v>
      </c>
      <c r="H147" s="12"/>
    </row>
    <row r="148" spans="2:8" s="11" customFormat="1" x14ac:dyDescent="0.2">
      <c r="B148" s="59"/>
      <c r="C148" s="311" t="s">
        <v>673</v>
      </c>
      <c r="D148" s="207" t="s">
        <v>123</v>
      </c>
      <c r="E148" s="199">
        <v>2</v>
      </c>
      <c r="F148" s="269">
        <v>0</v>
      </c>
      <c r="G148" s="270">
        <f t="shared" si="7"/>
        <v>0</v>
      </c>
      <c r="H148" s="12"/>
    </row>
    <row r="149" spans="2:8" s="11" customFormat="1" x14ac:dyDescent="0.2">
      <c r="B149" s="59"/>
      <c r="C149" s="311" t="s">
        <v>787</v>
      </c>
      <c r="D149" s="207" t="s">
        <v>123</v>
      </c>
      <c r="E149" s="199">
        <v>1</v>
      </c>
      <c r="F149" s="269">
        <v>0</v>
      </c>
      <c r="G149" s="270">
        <f t="shared" si="7"/>
        <v>0</v>
      </c>
      <c r="H149" s="12"/>
    </row>
    <row r="150" spans="2:8" s="11" customFormat="1" x14ac:dyDescent="0.2">
      <c r="B150" s="59"/>
      <c r="C150" s="311" t="s">
        <v>675</v>
      </c>
      <c r="D150" s="207" t="s">
        <v>123</v>
      </c>
      <c r="E150" s="199">
        <v>3</v>
      </c>
      <c r="F150" s="269">
        <v>0</v>
      </c>
      <c r="G150" s="270">
        <f t="shared" si="7"/>
        <v>0</v>
      </c>
      <c r="H150" s="12"/>
    </row>
    <row r="151" spans="2:8" s="11" customFormat="1" x14ac:dyDescent="0.2">
      <c r="B151" s="59"/>
      <c r="C151" s="311" t="s">
        <v>676</v>
      </c>
      <c r="D151" s="207" t="s">
        <v>123</v>
      </c>
      <c r="E151" s="199">
        <v>2</v>
      </c>
      <c r="F151" s="269">
        <v>0</v>
      </c>
      <c r="G151" s="270">
        <f t="shared" si="7"/>
        <v>0</v>
      </c>
      <c r="H151" s="12"/>
    </row>
    <row r="152" spans="2:8" s="11" customFormat="1" ht="24" x14ac:dyDescent="0.2">
      <c r="B152" s="59"/>
      <c r="C152" s="311" t="s">
        <v>677</v>
      </c>
      <c r="D152" s="207" t="s">
        <v>123</v>
      </c>
      <c r="E152" s="199">
        <v>1</v>
      </c>
      <c r="F152" s="269">
        <v>0</v>
      </c>
      <c r="G152" s="270">
        <f t="shared" si="7"/>
        <v>0</v>
      </c>
      <c r="H152" s="12"/>
    </row>
    <row r="153" spans="2:8" x14ac:dyDescent="0.2">
      <c r="B153" s="153">
        <v>7</v>
      </c>
      <c r="C153" s="357" t="s">
        <v>788</v>
      </c>
      <c r="D153" s="207"/>
      <c r="E153" s="199"/>
      <c r="F153" s="269"/>
      <c r="G153" s="270"/>
      <c r="H153" s="122"/>
    </row>
    <row r="154" spans="2:8" x14ac:dyDescent="0.2">
      <c r="B154" s="153"/>
      <c r="C154" s="197" t="s">
        <v>655</v>
      </c>
      <c r="D154" s="207" t="s">
        <v>644</v>
      </c>
      <c r="E154" s="199">
        <v>40</v>
      </c>
      <c r="F154" s="269">
        <v>0</v>
      </c>
      <c r="G154" s="270">
        <f>E154*F154</f>
        <v>0</v>
      </c>
      <c r="H154" s="122"/>
    </row>
    <row r="155" spans="2:8" ht="36" x14ac:dyDescent="0.2">
      <c r="B155" s="153"/>
      <c r="C155" s="197" t="s">
        <v>656</v>
      </c>
      <c r="D155" s="207" t="s">
        <v>98</v>
      </c>
      <c r="E155" s="199">
        <v>2</v>
      </c>
      <c r="F155" s="269">
        <v>0</v>
      </c>
      <c r="G155" s="270">
        <f>E155*F155</f>
        <v>0</v>
      </c>
      <c r="H155" s="122"/>
    </row>
    <row r="156" spans="2:8" ht="24" x14ac:dyDescent="0.2">
      <c r="B156" s="153"/>
      <c r="C156" s="197" t="s">
        <v>657</v>
      </c>
      <c r="D156" s="207" t="s">
        <v>98</v>
      </c>
      <c r="E156" s="199">
        <v>1</v>
      </c>
      <c r="F156" s="269">
        <v>0</v>
      </c>
      <c r="G156" s="270">
        <f>E156*F156</f>
        <v>0</v>
      </c>
      <c r="H156" s="122"/>
    </row>
    <row r="157" spans="2:8" x14ac:dyDescent="0.2">
      <c r="B157" s="153"/>
      <c r="C157" s="197" t="s">
        <v>663</v>
      </c>
      <c r="D157" s="207" t="s">
        <v>98</v>
      </c>
      <c r="E157" s="199">
        <v>1</v>
      </c>
      <c r="F157" s="269">
        <v>0</v>
      </c>
      <c r="G157" s="270">
        <f>E157*F157</f>
        <v>0</v>
      </c>
      <c r="H157" s="122"/>
    </row>
    <row r="158" spans="2:8" x14ac:dyDescent="0.2">
      <c r="B158" s="153">
        <v>8</v>
      </c>
      <c r="C158" s="357" t="s">
        <v>679</v>
      </c>
      <c r="D158" s="207"/>
      <c r="E158" s="199"/>
      <c r="F158" s="269"/>
      <c r="G158" s="270"/>
      <c r="H158" s="122"/>
    </row>
    <row r="159" spans="2:8" ht="48" x14ac:dyDescent="0.2">
      <c r="B159" s="129"/>
      <c r="C159" s="197" t="s">
        <v>789</v>
      </c>
      <c r="D159" s="207" t="s">
        <v>98</v>
      </c>
      <c r="E159" s="199">
        <v>1</v>
      </c>
      <c r="F159" s="269">
        <v>0</v>
      </c>
      <c r="G159" s="270">
        <f>E159*F159</f>
        <v>0</v>
      </c>
      <c r="H159" s="122"/>
    </row>
    <row r="160" spans="2:8" ht="36" x14ac:dyDescent="0.2">
      <c r="B160" s="129"/>
      <c r="C160" s="197" t="s">
        <v>790</v>
      </c>
      <c r="D160" s="207" t="s">
        <v>98</v>
      </c>
      <c r="E160" s="199">
        <v>1</v>
      </c>
      <c r="F160" s="269">
        <v>0</v>
      </c>
      <c r="G160" s="270">
        <f>E160*F160</f>
        <v>0</v>
      </c>
    </row>
    <row r="161" spans="2:7" ht="36" x14ac:dyDescent="0.2">
      <c r="B161" s="129"/>
      <c r="C161" s="197" t="s">
        <v>791</v>
      </c>
      <c r="D161" s="207" t="s">
        <v>98</v>
      </c>
      <c r="E161" s="199">
        <v>1</v>
      </c>
      <c r="F161" s="269">
        <v>0</v>
      </c>
      <c r="G161" s="270">
        <f>E161*F161</f>
        <v>0</v>
      </c>
    </row>
    <row r="162" spans="2:7" ht="36" x14ac:dyDescent="0.2">
      <c r="B162" s="153"/>
      <c r="C162" s="311" t="s">
        <v>792</v>
      </c>
      <c r="D162" s="207" t="s">
        <v>98</v>
      </c>
      <c r="E162" s="199">
        <v>1</v>
      </c>
      <c r="F162" s="269">
        <v>0</v>
      </c>
      <c r="G162" s="270">
        <f>E162*F162</f>
        <v>0</v>
      </c>
    </row>
    <row r="163" spans="2:7" x14ac:dyDescent="0.2">
      <c r="B163" s="293" t="s">
        <v>18</v>
      </c>
      <c r="C163" s="294" t="s">
        <v>794</v>
      </c>
      <c r="D163" s="218"/>
      <c r="E163" s="203"/>
      <c r="F163" s="204"/>
      <c r="G163" s="290">
        <f>SUM(G90:G162)</f>
        <v>0</v>
      </c>
    </row>
  </sheetData>
  <mergeCells count="9">
    <mergeCell ref="B85:G85"/>
    <mergeCell ref="B86:G86"/>
    <mergeCell ref="B87:G87"/>
    <mergeCell ref="B88:G88"/>
    <mergeCell ref="B32:G32"/>
    <mergeCell ref="B50:G50"/>
    <mergeCell ref="B82:G82"/>
    <mergeCell ref="B83:G83"/>
    <mergeCell ref="B84:G84"/>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28"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9B6D8-2D31-41EC-8732-B91673A71365}">
  <sheetPr codeName="Sheet32">
    <tabColor rgb="FF00B0F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1054</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1060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10" t="s">
        <v>123</v>
      </c>
      <c r="E60" s="199">
        <v>1</v>
      </c>
      <c r="F60" s="269">
        <v>0</v>
      </c>
      <c r="G60" s="270">
        <f t="shared" si="2"/>
        <v>0</v>
      </c>
      <c r="H60" s="122"/>
      <c r="I60" s="121"/>
      <c r="J60" s="121"/>
      <c r="K60" s="121"/>
      <c r="L60" s="121"/>
    </row>
    <row r="61" spans="1:12" s="2" customFormat="1" ht="288" x14ac:dyDescent="0.2">
      <c r="A61" s="121"/>
      <c r="B61" s="153"/>
      <c r="C61" s="311" t="s">
        <v>630</v>
      </c>
      <c r="D61" s="10" t="s">
        <v>98</v>
      </c>
      <c r="E61" s="199">
        <v>1</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10"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10"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207" t="s">
        <v>123</v>
      </c>
      <c r="E70" s="199">
        <v>1</v>
      </c>
      <c r="F70" s="269">
        <v>0</v>
      </c>
      <c r="G70" s="270">
        <f>E70*F70</f>
        <v>0</v>
      </c>
      <c r="H70" s="122"/>
      <c r="I70" s="121"/>
      <c r="J70" s="121"/>
      <c r="K70" s="121"/>
      <c r="L70" s="121"/>
    </row>
    <row r="71" spans="1:12" s="2" customFormat="1" ht="96" x14ac:dyDescent="0.2">
      <c r="A71" s="121"/>
      <c r="B71" s="153"/>
      <c r="C71" s="311" t="s">
        <v>783</v>
      </c>
      <c r="D71" s="10"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10"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E8C71-9BB2-4E49-8E7E-2B14A38427B6}">
  <sheetPr>
    <tabColor rgb="FF00B0F0"/>
  </sheetPr>
  <dimension ref="A2:L139"/>
  <sheetViews>
    <sheetView showZeros="0" topLeftCell="A46" zoomScale="110" zoomScaleNormal="110" workbookViewId="0">
      <selection activeCell="B67" sqref="B67:G67"/>
    </sheetView>
  </sheetViews>
  <sheetFormatPr defaultColWidth="10.42578125" defaultRowHeight="12.75" x14ac:dyDescent="0.2"/>
  <cols>
    <col min="1" max="1" width="4.42578125" style="121" customWidth="1"/>
    <col min="2" max="2" width="7.42578125" style="120" customWidth="1"/>
    <col min="3" max="3" width="54.140625" style="188" customWidth="1"/>
    <col min="4" max="4" width="10.42578125" style="189" customWidth="1"/>
    <col min="5" max="5" width="9.28515625" style="190" customWidth="1"/>
    <col min="6" max="6" width="12.140625" style="191" customWidth="1"/>
    <col min="7" max="7" width="13.85546875" style="187" customWidth="1"/>
    <col min="8" max="8" width="16" style="122"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588" t="s">
        <v>59</v>
      </c>
      <c r="D2" s="155"/>
      <c r="E2" s="156"/>
      <c r="F2" s="157"/>
      <c r="G2" s="355" t="s">
        <v>60</v>
      </c>
    </row>
    <row r="4" spans="1:12" s="597" customFormat="1" ht="15" x14ac:dyDescent="0.25">
      <c r="B4" s="611" t="s">
        <v>7</v>
      </c>
      <c r="C4" s="612" t="s">
        <v>1054</v>
      </c>
      <c r="D4" s="613"/>
      <c r="E4" s="614"/>
      <c r="F4" s="615"/>
      <c r="G4" s="616"/>
      <c r="H4" s="26"/>
    </row>
    <row r="5" spans="1:12" s="597" customFormat="1" ht="12" customHeight="1" x14ac:dyDescent="0.25">
      <c r="B5" s="617"/>
      <c r="C5" s="618"/>
      <c r="D5" s="619"/>
      <c r="E5" s="620"/>
      <c r="F5" s="621"/>
      <c r="G5" s="622"/>
      <c r="H5" s="26"/>
    </row>
    <row r="6" spans="1:12" s="589" customFormat="1" ht="21" customHeight="1" x14ac:dyDescent="0.2">
      <c r="B6" s="623" t="s">
        <v>80</v>
      </c>
      <c r="C6" s="624" t="s">
        <v>1061</v>
      </c>
      <c r="D6" s="613"/>
      <c r="E6" s="614"/>
      <c r="F6" s="615"/>
      <c r="G6" s="616"/>
      <c r="H6" s="123"/>
      <c r="I6" s="596"/>
      <c r="J6" s="596"/>
      <c r="K6" s="596"/>
      <c r="L6" s="596"/>
    </row>
    <row r="7" spans="1:12" s="589" customFormat="1" ht="14.25" x14ac:dyDescent="0.2">
      <c r="B7" s="617"/>
      <c r="C7" s="618"/>
      <c r="D7" s="619"/>
      <c r="E7" s="620"/>
      <c r="F7" s="621"/>
      <c r="G7" s="625"/>
      <c r="H7" s="123"/>
      <c r="I7" s="596"/>
      <c r="J7" s="596"/>
      <c r="K7" s="596"/>
      <c r="L7" s="596"/>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589" customFormat="1" ht="14.25" x14ac:dyDescent="0.2">
      <c r="B12" s="590"/>
      <c r="C12" s="591"/>
      <c r="D12" s="592"/>
      <c r="E12" s="593"/>
      <c r="F12" s="594"/>
      <c r="G12" s="595"/>
      <c r="H12" s="123"/>
      <c r="I12" s="596"/>
      <c r="J12" s="596"/>
      <c r="K12" s="596"/>
      <c r="L12" s="596"/>
    </row>
    <row r="13" spans="1:12" s="589" customFormat="1" ht="18.75" customHeight="1" x14ac:dyDescent="0.2">
      <c r="B13" s="626"/>
      <c r="C13" s="627" t="s">
        <v>82</v>
      </c>
      <c r="D13" s="628"/>
      <c r="E13" s="629"/>
      <c r="F13" s="630"/>
      <c r="G13" s="631"/>
      <c r="H13" s="123"/>
      <c r="I13" s="596"/>
      <c r="J13" s="596"/>
      <c r="K13" s="596"/>
      <c r="L13" s="596"/>
    </row>
    <row r="14" spans="1:12" s="597" customFormat="1" ht="18.75" customHeight="1" x14ac:dyDescent="0.2">
      <c r="B14" s="632" t="s">
        <v>83</v>
      </c>
      <c r="C14" s="633" t="s">
        <v>84</v>
      </c>
      <c r="D14" s="634"/>
      <c r="E14" s="635"/>
      <c r="F14" s="636"/>
      <c r="G14" s="637" t="s">
        <v>64</v>
      </c>
      <c r="H14" s="22"/>
    </row>
    <row r="15" spans="1:12" s="638" customFormat="1" ht="18.75" customHeight="1" x14ac:dyDescent="0.25">
      <c r="B15" s="639" t="s">
        <v>10</v>
      </c>
      <c r="C15" s="640" t="s">
        <v>85</v>
      </c>
      <c r="D15" s="641"/>
      <c r="E15" s="642"/>
      <c r="F15" s="643"/>
      <c r="G15" s="20">
        <f>G34</f>
        <v>0</v>
      </c>
      <c r="H15" s="18"/>
    </row>
    <row r="16" spans="1:12" s="638" customFormat="1" ht="18.75" customHeight="1" x14ac:dyDescent="0.25">
      <c r="B16" s="639" t="s">
        <v>12</v>
      </c>
      <c r="C16" s="640" t="s">
        <v>86</v>
      </c>
      <c r="D16" s="641"/>
      <c r="E16" s="642"/>
      <c r="F16" s="643"/>
      <c r="G16" s="20">
        <f>G57</f>
        <v>0</v>
      </c>
      <c r="H16" s="18"/>
    </row>
    <row r="17" spans="2:8" s="638" customFormat="1" ht="18.75" customHeight="1" x14ac:dyDescent="0.25">
      <c r="B17" s="639" t="s">
        <v>18</v>
      </c>
      <c r="C17" s="640" t="s">
        <v>367</v>
      </c>
      <c r="D17" s="641"/>
      <c r="E17" s="642"/>
      <c r="F17" s="2788"/>
      <c r="G17" s="20">
        <f>G139</f>
        <v>0</v>
      </c>
      <c r="H17" s="18"/>
    </row>
    <row r="18" spans="2:8" s="638" customFormat="1" ht="18.75" customHeight="1" x14ac:dyDescent="0.25">
      <c r="B18" s="644"/>
      <c r="C18" s="645" t="s">
        <v>88</v>
      </c>
      <c r="D18" s="646"/>
      <c r="E18" s="647"/>
      <c r="F18" s="648"/>
      <c r="G18" s="19">
        <f>SUM(G15:G17)</f>
        <v>0</v>
      </c>
      <c r="H18" s="18"/>
    </row>
    <row r="19" spans="2:8" x14ac:dyDescent="0.2">
      <c r="B19" s="127"/>
      <c r="C19" s="183"/>
      <c r="D19" s="184"/>
      <c r="E19" s="185"/>
      <c r="F19" s="186"/>
    </row>
    <row r="21" spans="2:8" ht="24" x14ac:dyDescent="0.2">
      <c r="B21" s="128" t="s">
        <v>83</v>
      </c>
      <c r="C21" s="192" t="s">
        <v>89</v>
      </c>
      <c r="D21" s="193" t="s">
        <v>90</v>
      </c>
      <c r="E21" s="194" t="s">
        <v>91</v>
      </c>
      <c r="F21" s="195" t="s">
        <v>92</v>
      </c>
      <c r="G21" s="196" t="s">
        <v>93</v>
      </c>
    </row>
    <row r="22" spans="2:8" x14ac:dyDescent="0.2">
      <c r="B22" s="129"/>
      <c r="C22" s="197"/>
      <c r="D22" s="198"/>
      <c r="E22" s="199"/>
      <c r="F22" s="200"/>
      <c r="G22" s="201"/>
    </row>
    <row r="23" spans="2:8" s="295" customFormat="1" ht="20.25" x14ac:dyDescent="0.3">
      <c r="B23" s="303" t="s">
        <v>10</v>
      </c>
      <c r="C23" s="306" t="s">
        <v>85</v>
      </c>
      <c r="D23" s="305"/>
      <c r="E23" s="299"/>
      <c r="F23" s="300"/>
      <c r="G23" s="301"/>
      <c r="H23" s="302"/>
    </row>
    <row r="24" spans="2:8" ht="27.75" customHeight="1" x14ac:dyDescent="0.2">
      <c r="B24" s="129">
        <v>1</v>
      </c>
      <c r="C24" s="206" t="s">
        <v>1062</v>
      </c>
      <c r="D24" s="2789" t="s">
        <v>117</v>
      </c>
      <c r="E24" s="199">
        <v>20</v>
      </c>
      <c r="F24" s="2790">
        <v>0</v>
      </c>
      <c r="G24" s="270">
        <f t="shared" ref="G24:G33" si="0">E24*F24</f>
        <v>0</v>
      </c>
    </row>
    <row r="25" spans="2:8" x14ac:dyDescent="0.2">
      <c r="B25" s="129">
        <v>2</v>
      </c>
      <c r="C25" s="206" t="s">
        <v>96</v>
      </c>
      <c r="D25" s="207" t="s">
        <v>149</v>
      </c>
      <c r="E25" s="199">
        <v>8</v>
      </c>
      <c r="F25" s="2790">
        <v>0</v>
      </c>
      <c r="G25" s="270">
        <f t="shared" si="0"/>
        <v>0</v>
      </c>
    </row>
    <row r="26" spans="2:8" ht="53.25" customHeight="1" x14ac:dyDescent="0.2">
      <c r="B26" s="129">
        <v>3</v>
      </c>
      <c r="C26" s="206" t="s">
        <v>97</v>
      </c>
      <c r="D26" s="207" t="s">
        <v>98</v>
      </c>
      <c r="E26" s="199">
        <v>1</v>
      </c>
      <c r="F26" s="2790">
        <v>0</v>
      </c>
      <c r="G26" s="270">
        <f t="shared" si="0"/>
        <v>0</v>
      </c>
    </row>
    <row r="27" spans="2:8" ht="104.25" customHeight="1" x14ac:dyDescent="0.2">
      <c r="B27" s="129">
        <v>4</v>
      </c>
      <c r="C27" s="208" t="s">
        <v>99</v>
      </c>
      <c r="D27" s="209" t="s">
        <v>98</v>
      </c>
      <c r="E27" s="199">
        <v>1</v>
      </c>
      <c r="F27" s="2790">
        <v>0</v>
      </c>
      <c r="G27" s="270">
        <f t="shared" si="0"/>
        <v>0</v>
      </c>
    </row>
    <row r="28" spans="2:8" ht="30.75" customHeight="1" x14ac:dyDescent="0.2">
      <c r="B28" s="129">
        <v>5</v>
      </c>
      <c r="C28" s="208" t="s">
        <v>100</v>
      </c>
      <c r="D28" s="210" t="s">
        <v>98</v>
      </c>
      <c r="E28" s="199">
        <v>1</v>
      </c>
      <c r="F28" s="2790">
        <v>0</v>
      </c>
      <c r="G28" s="270">
        <f t="shared" si="0"/>
        <v>0</v>
      </c>
    </row>
    <row r="29" spans="2:8" ht="29.25" customHeight="1" x14ac:dyDescent="0.2">
      <c r="B29" s="129">
        <v>6</v>
      </c>
      <c r="C29" s="3165" t="s">
        <v>2590</v>
      </c>
      <c r="D29" s="2789" t="s">
        <v>149</v>
      </c>
      <c r="E29" s="199">
        <v>1</v>
      </c>
      <c r="F29" s="2790">
        <v>0</v>
      </c>
      <c r="G29" s="270">
        <f t="shared" si="0"/>
        <v>0</v>
      </c>
    </row>
    <row r="30" spans="2:8" ht="26.25" customHeight="1" x14ac:dyDescent="0.2">
      <c r="B30" s="129">
        <v>7</v>
      </c>
      <c r="C30" s="3165" t="s">
        <v>2591</v>
      </c>
      <c r="D30" s="210" t="s">
        <v>98</v>
      </c>
      <c r="E30" s="199">
        <v>1</v>
      </c>
      <c r="F30" s="2790">
        <v>0</v>
      </c>
      <c r="G30" s="270">
        <f t="shared" si="0"/>
        <v>0</v>
      </c>
    </row>
    <row r="31" spans="2:8" ht="14.25" customHeight="1" x14ac:dyDescent="0.2">
      <c r="B31" s="129">
        <v>8</v>
      </c>
      <c r="C31" s="649" t="s">
        <v>105</v>
      </c>
      <c r="D31" s="210" t="s">
        <v>98</v>
      </c>
      <c r="E31" s="199">
        <v>1</v>
      </c>
      <c r="F31" s="2790">
        <v>0</v>
      </c>
      <c r="G31" s="270">
        <f t="shared" si="0"/>
        <v>0</v>
      </c>
    </row>
    <row r="32" spans="2:8" ht="38.25" customHeight="1" x14ac:dyDescent="0.2">
      <c r="B32" s="129">
        <v>9</v>
      </c>
      <c r="C32" s="212" t="s">
        <v>106</v>
      </c>
      <c r="D32" s="210" t="s">
        <v>98</v>
      </c>
      <c r="E32" s="213">
        <v>1</v>
      </c>
      <c r="F32" s="2790">
        <v>0</v>
      </c>
      <c r="G32" s="270">
        <f t="shared" si="0"/>
        <v>0</v>
      </c>
    </row>
    <row r="33" spans="2:12" ht="39.75" customHeight="1" x14ac:dyDescent="0.2">
      <c r="B33" s="129">
        <v>10</v>
      </c>
      <c r="C33" s="307" t="s">
        <v>107</v>
      </c>
      <c r="D33" s="210" t="s">
        <v>98</v>
      </c>
      <c r="E33" s="213">
        <v>1</v>
      </c>
      <c r="F33" s="2790">
        <v>0</v>
      </c>
      <c r="G33" s="270">
        <f t="shared" si="0"/>
        <v>0</v>
      </c>
    </row>
    <row r="34" spans="2:12" s="147" customFormat="1" ht="23.25" customHeight="1" x14ac:dyDescent="0.25">
      <c r="B34" s="327" t="s">
        <v>10</v>
      </c>
      <c r="C34" s="214" t="s">
        <v>108</v>
      </c>
      <c r="D34" s="214"/>
      <c r="E34" s="215"/>
      <c r="F34" s="216"/>
      <c r="G34" s="290">
        <f>SUM(G24:G33)</f>
        <v>0</v>
      </c>
      <c r="H34" s="150"/>
    </row>
    <row r="35" spans="2:12" x14ac:dyDescent="0.2">
      <c r="B35" s="129"/>
      <c r="C35" s="197"/>
      <c r="D35" s="198"/>
      <c r="E35" s="199"/>
      <c r="F35" s="200"/>
      <c r="G35" s="201"/>
    </row>
    <row r="36" spans="2:12" ht="24" x14ac:dyDescent="0.2">
      <c r="B36" s="128" t="s">
        <v>83</v>
      </c>
      <c r="C36" s="192" t="s">
        <v>89</v>
      </c>
      <c r="D36" s="193" t="s">
        <v>90</v>
      </c>
      <c r="E36" s="194" t="s">
        <v>91</v>
      </c>
      <c r="F36" s="195" t="s">
        <v>92</v>
      </c>
      <c r="G36" s="196" t="s">
        <v>93</v>
      </c>
    </row>
    <row r="37" spans="2:12" x14ac:dyDescent="0.2">
      <c r="B37" s="129"/>
      <c r="C37" s="217"/>
      <c r="D37" s="207"/>
      <c r="E37" s="199"/>
      <c r="F37" s="200"/>
      <c r="G37" s="201"/>
    </row>
    <row r="38" spans="2:12" s="295" customFormat="1" ht="20.25" x14ac:dyDescent="0.3">
      <c r="B38" s="303" t="s">
        <v>12</v>
      </c>
      <c r="C38" s="304" t="s">
        <v>109</v>
      </c>
      <c r="D38" s="298"/>
      <c r="E38" s="299"/>
      <c r="F38" s="300"/>
      <c r="G38" s="301"/>
      <c r="H38" s="302"/>
    </row>
    <row r="39" spans="2:12" s="130" customFormat="1" ht="71.25" customHeight="1" x14ac:dyDescent="0.2">
      <c r="B39" s="3184" t="s">
        <v>110</v>
      </c>
      <c r="C39" s="3185"/>
      <c r="D39" s="3185"/>
      <c r="E39" s="3185"/>
      <c r="F39" s="3185"/>
      <c r="G39" s="3186"/>
      <c r="H39" s="122"/>
    </row>
    <row r="40" spans="2:12" s="130" customFormat="1" ht="42" customHeight="1" x14ac:dyDescent="0.2">
      <c r="B40" s="3184" t="s">
        <v>1063</v>
      </c>
      <c r="C40" s="3185"/>
      <c r="D40" s="3185"/>
      <c r="E40" s="3185"/>
      <c r="F40" s="3185"/>
      <c r="G40" s="3186"/>
      <c r="H40" s="122"/>
    </row>
    <row r="41" spans="2:12" ht="24" x14ac:dyDescent="0.2">
      <c r="B41" s="131">
        <v>1</v>
      </c>
      <c r="C41" s="206" t="s">
        <v>1064</v>
      </c>
      <c r="D41" s="207" t="s">
        <v>112</v>
      </c>
      <c r="E41" s="199">
        <f>250*0.2*1.2</f>
        <v>60</v>
      </c>
      <c r="F41" s="2790">
        <v>0</v>
      </c>
      <c r="G41" s="270">
        <f t="shared" ref="G41:G56" si="1">E41*F41</f>
        <v>0</v>
      </c>
      <c r="I41" s="132"/>
    </row>
    <row r="42" spans="2:12" x14ac:dyDescent="0.2">
      <c r="B42" s="131">
        <v>2</v>
      </c>
      <c r="C42" s="206" t="s">
        <v>1065</v>
      </c>
      <c r="D42" s="209" t="s">
        <v>98</v>
      </c>
      <c r="E42" s="199">
        <v>1</v>
      </c>
      <c r="F42" s="2790">
        <v>0</v>
      </c>
      <c r="G42" s="270">
        <f t="shared" si="1"/>
        <v>0</v>
      </c>
      <c r="I42" s="133"/>
      <c r="K42" s="134"/>
      <c r="L42" s="134"/>
    </row>
    <row r="43" spans="2:12" ht="24" x14ac:dyDescent="0.2">
      <c r="B43" s="131">
        <v>3</v>
      </c>
      <c r="C43" s="206" t="s">
        <v>1066</v>
      </c>
      <c r="D43" s="209" t="s">
        <v>112</v>
      </c>
      <c r="E43" s="199">
        <v>3</v>
      </c>
      <c r="F43" s="2790">
        <v>0</v>
      </c>
      <c r="G43" s="270">
        <f t="shared" si="1"/>
        <v>0</v>
      </c>
      <c r="I43" s="133"/>
      <c r="K43" s="134"/>
      <c r="L43" s="134"/>
    </row>
    <row r="44" spans="2:12" ht="29.25" customHeight="1" x14ac:dyDescent="0.2">
      <c r="B44" s="131">
        <v>4</v>
      </c>
      <c r="C44" s="206" t="s">
        <v>1067</v>
      </c>
      <c r="D44" s="209" t="s">
        <v>112</v>
      </c>
      <c r="E44" s="199">
        <v>30</v>
      </c>
      <c r="F44" s="2790">
        <v>0</v>
      </c>
      <c r="G44" s="270">
        <f t="shared" si="1"/>
        <v>0</v>
      </c>
      <c r="I44" s="133"/>
    </row>
    <row r="45" spans="2:12" ht="40.5" customHeight="1" x14ac:dyDescent="0.2">
      <c r="B45" s="131">
        <v>5</v>
      </c>
      <c r="C45" s="311" t="s">
        <v>1068</v>
      </c>
      <c r="D45" s="219" t="s">
        <v>1069</v>
      </c>
      <c r="E45" s="220">
        <v>7</v>
      </c>
      <c r="F45" s="2790">
        <v>0</v>
      </c>
      <c r="G45" s="270">
        <f t="shared" si="1"/>
        <v>0</v>
      </c>
      <c r="I45" s="132"/>
    </row>
    <row r="46" spans="2:12" ht="33" customHeight="1" x14ac:dyDescent="0.2">
      <c r="B46" s="131">
        <v>6</v>
      </c>
      <c r="C46" s="206" t="s">
        <v>1070</v>
      </c>
      <c r="D46" s="209" t="s">
        <v>117</v>
      </c>
      <c r="E46" s="199">
        <v>28</v>
      </c>
      <c r="F46" s="2790">
        <v>0</v>
      </c>
      <c r="G46" s="270">
        <f t="shared" si="1"/>
        <v>0</v>
      </c>
      <c r="I46" s="132"/>
    </row>
    <row r="47" spans="2:12" ht="33" customHeight="1" x14ac:dyDescent="0.2">
      <c r="B47" s="131">
        <v>7</v>
      </c>
      <c r="C47" s="206" t="s">
        <v>1071</v>
      </c>
      <c r="D47" s="209" t="s">
        <v>117</v>
      </c>
      <c r="E47" s="199">
        <v>35</v>
      </c>
      <c r="F47" s="2790">
        <v>0</v>
      </c>
      <c r="G47" s="270">
        <f t="shared" si="1"/>
        <v>0</v>
      </c>
      <c r="I47" s="132"/>
    </row>
    <row r="48" spans="2:12" ht="40.5" customHeight="1" x14ac:dyDescent="0.2">
      <c r="B48" s="131">
        <v>8</v>
      </c>
      <c r="C48" s="208" t="s">
        <v>1072</v>
      </c>
      <c r="D48" s="209" t="s">
        <v>112</v>
      </c>
      <c r="E48" s="199">
        <v>3.5</v>
      </c>
      <c r="F48" s="2790">
        <v>0</v>
      </c>
      <c r="G48" s="270">
        <f t="shared" si="1"/>
        <v>0</v>
      </c>
    </row>
    <row r="49" spans="2:8" s="130" customFormat="1" ht="39" customHeight="1" x14ac:dyDescent="0.2">
      <c r="B49" s="131">
        <v>9</v>
      </c>
      <c r="C49" s="314" t="s">
        <v>1073</v>
      </c>
      <c r="D49" s="210" t="s">
        <v>112</v>
      </c>
      <c r="E49" s="199">
        <v>1.8</v>
      </c>
      <c r="F49" s="2790">
        <v>0</v>
      </c>
      <c r="G49" s="270">
        <f t="shared" si="1"/>
        <v>0</v>
      </c>
      <c r="H49" s="122"/>
    </row>
    <row r="50" spans="2:8" s="130" customFormat="1" ht="40.5" customHeight="1" x14ac:dyDescent="0.2">
      <c r="B50" s="131">
        <v>10</v>
      </c>
      <c r="C50" s="314" t="s">
        <v>1074</v>
      </c>
      <c r="D50" s="210" t="s">
        <v>112</v>
      </c>
      <c r="E50" s="199">
        <v>10.8</v>
      </c>
      <c r="F50" s="2790">
        <v>0</v>
      </c>
      <c r="G50" s="270">
        <f t="shared" si="1"/>
        <v>0</v>
      </c>
      <c r="H50" s="122"/>
    </row>
    <row r="51" spans="2:8" ht="25.5" customHeight="1" x14ac:dyDescent="0.2">
      <c r="B51" s="131">
        <v>11</v>
      </c>
      <c r="C51" s="206" t="s">
        <v>1075</v>
      </c>
      <c r="D51" s="209" t="s">
        <v>413</v>
      </c>
      <c r="E51" s="199">
        <v>865</v>
      </c>
      <c r="F51" s="2790">
        <v>0</v>
      </c>
      <c r="G51" s="270">
        <f t="shared" si="1"/>
        <v>0</v>
      </c>
    </row>
    <row r="52" spans="2:8" ht="30.75" customHeight="1" x14ac:dyDescent="0.2">
      <c r="B52" s="131">
        <v>12</v>
      </c>
      <c r="C52" s="2791" t="s">
        <v>1076</v>
      </c>
      <c r="D52" s="207" t="s">
        <v>112</v>
      </c>
      <c r="E52" s="199">
        <v>0.57999999999999996</v>
      </c>
      <c r="F52" s="2790">
        <v>0</v>
      </c>
      <c r="G52" s="270">
        <f t="shared" si="1"/>
        <v>0</v>
      </c>
    </row>
    <row r="53" spans="2:8" ht="18" customHeight="1" x14ac:dyDescent="0.2">
      <c r="B53" s="131">
        <v>13</v>
      </c>
      <c r="C53" s="206" t="s">
        <v>1077</v>
      </c>
      <c r="D53" s="207" t="s">
        <v>413</v>
      </c>
      <c r="E53" s="199">
        <v>85</v>
      </c>
      <c r="F53" s="2790">
        <v>0</v>
      </c>
      <c r="G53" s="270">
        <f t="shared" si="1"/>
        <v>0</v>
      </c>
    </row>
    <row r="54" spans="2:8" ht="18" customHeight="1" x14ac:dyDescent="0.2">
      <c r="B54" s="131">
        <v>14</v>
      </c>
      <c r="C54" s="314" t="s">
        <v>1078</v>
      </c>
      <c r="D54" s="209" t="s">
        <v>112</v>
      </c>
      <c r="E54" s="199">
        <v>5.0999999999999996</v>
      </c>
      <c r="F54" s="2790">
        <v>0</v>
      </c>
      <c r="G54" s="270">
        <f t="shared" si="1"/>
        <v>0</v>
      </c>
    </row>
    <row r="55" spans="2:8" ht="18.75" customHeight="1" x14ac:dyDescent="0.2">
      <c r="B55" s="131">
        <v>15</v>
      </c>
      <c r="C55" s="208" t="s">
        <v>1079</v>
      </c>
      <c r="D55" s="209" t="s">
        <v>413</v>
      </c>
      <c r="E55" s="199">
        <v>615</v>
      </c>
      <c r="F55" s="2790">
        <v>0</v>
      </c>
      <c r="G55" s="270">
        <f t="shared" si="1"/>
        <v>0</v>
      </c>
    </row>
    <row r="56" spans="2:8" ht="28.5" customHeight="1" x14ac:dyDescent="0.2">
      <c r="B56" s="131">
        <v>16</v>
      </c>
      <c r="C56" s="223" t="s">
        <v>1080</v>
      </c>
      <c r="D56" s="222" t="s">
        <v>149</v>
      </c>
      <c r="E56" s="47">
        <v>2</v>
      </c>
      <c r="F56" s="2790">
        <v>0</v>
      </c>
      <c r="G56" s="270">
        <f t="shared" si="1"/>
        <v>0</v>
      </c>
    </row>
    <row r="57" spans="2:8" s="147" customFormat="1" ht="21.75" customHeight="1" x14ac:dyDescent="0.25">
      <c r="B57" s="327" t="s">
        <v>12</v>
      </c>
      <c r="C57" s="214" t="s">
        <v>157</v>
      </c>
      <c r="D57" s="224"/>
      <c r="E57" s="215"/>
      <c r="F57" s="216"/>
      <c r="G57" s="290">
        <f>SUM(G41:G56)</f>
        <v>0</v>
      </c>
      <c r="H57" s="150"/>
    </row>
    <row r="58" spans="2:8" x14ac:dyDescent="0.2">
      <c r="B58" s="129"/>
      <c r="C58" s="197"/>
      <c r="D58" s="207"/>
      <c r="E58" s="199"/>
      <c r="F58" s="200"/>
      <c r="G58" s="201"/>
    </row>
    <row r="59" spans="2:8" ht="24" x14ac:dyDescent="0.2">
      <c r="B59" s="128" t="s">
        <v>83</v>
      </c>
      <c r="C59" s="192" t="s">
        <v>89</v>
      </c>
      <c r="D59" s="192" t="s">
        <v>90</v>
      </c>
      <c r="E59" s="194" t="s">
        <v>91</v>
      </c>
      <c r="F59" s="195" t="s">
        <v>92</v>
      </c>
      <c r="G59" s="196" t="s">
        <v>93</v>
      </c>
    </row>
    <row r="60" spans="2:8" x14ac:dyDescent="0.2">
      <c r="B60" s="51"/>
      <c r="C60" s="50"/>
      <c r="D60" s="50"/>
      <c r="E60" s="359"/>
      <c r="F60" s="360"/>
      <c r="G60" s="361"/>
    </row>
    <row r="61" spans="2:8" ht="20.25" x14ac:dyDescent="0.2">
      <c r="B61" s="296" t="s">
        <v>18</v>
      </c>
      <c r="C61" s="297" t="s">
        <v>367</v>
      </c>
      <c r="D61" s="298"/>
      <c r="E61" s="299"/>
      <c r="F61" s="300"/>
      <c r="G61" s="301"/>
    </row>
    <row r="62" spans="2:8" x14ac:dyDescent="0.2">
      <c r="B62" s="3205" t="s">
        <v>539</v>
      </c>
      <c r="C62" s="3206"/>
      <c r="D62" s="3206"/>
      <c r="E62" s="3206"/>
      <c r="F62" s="3206"/>
      <c r="G62" s="3207"/>
    </row>
    <row r="63" spans="2:8" x14ac:dyDescent="0.2">
      <c r="B63" s="3205" t="s">
        <v>540</v>
      </c>
      <c r="C63" s="3206"/>
      <c r="D63" s="3206"/>
      <c r="E63" s="3206"/>
      <c r="F63" s="3206"/>
      <c r="G63" s="3207"/>
    </row>
    <row r="64" spans="2:8" x14ac:dyDescent="0.2">
      <c r="B64" s="3205" t="s">
        <v>541</v>
      </c>
      <c r="C64" s="3206"/>
      <c r="D64" s="3206"/>
      <c r="E64" s="3206"/>
      <c r="F64" s="3206"/>
      <c r="G64" s="3207"/>
    </row>
    <row r="65" spans="2:7" x14ac:dyDescent="0.2">
      <c r="B65" s="3205" t="s">
        <v>542</v>
      </c>
      <c r="C65" s="3206"/>
      <c r="D65" s="3206"/>
      <c r="E65" s="3206"/>
      <c r="F65" s="3206"/>
      <c r="G65" s="3207"/>
    </row>
    <row r="66" spans="2:7" x14ac:dyDescent="0.2">
      <c r="B66" s="3205" t="s">
        <v>543</v>
      </c>
      <c r="C66" s="3206"/>
      <c r="D66" s="3206"/>
      <c r="E66" s="3206"/>
      <c r="F66" s="3206"/>
      <c r="G66" s="3207"/>
    </row>
    <row r="67" spans="2:7" x14ac:dyDescent="0.2">
      <c r="B67" s="3205" t="s">
        <v>544</v>
      </c>
      <c r="C67" s="3206"/>
      <c r="D67" s="3206"/>
      <c r="E67" s="3206"/>
      <c r="F67" s="3206"/>
      <c r="G67" s="3207"/>
    </row>
    <row r="68" spans="2:7" x14ac:dyDescent="0.2">
      <c r="B68" s="3205" t="s">
        <v>545</v>
      </c>
      <c r="C68" s="3206"/>
      <c r="D68" s="3206"/>
      <c r="E68" s="3206"/>
      <c r="F68" s="3206"/>
      <c r="G68" s="3207"/>
    </row>
    <row r="69" spans="2:7" x14ac:dyDescent="0.2">
      <c r="B69" s="153">
        <v>1</v>
      </c>
      <c r="C69" s="357" t="s">
        <v>550</v>
      </c>
      <c r="D69" s="207"/>
      <c r="E69" s="199"/>
      <c r="F69" s="269"/>
      <c r="G69" s="270"/>
    </row>
    <row r="70" spans="2:7" ht="108" x14ac:dyDescent="0.2">
      <c r="B70" s="70"/>
      <c r="C70" s="197" t="s">
        <v>815</v>
      </c>
      <c r="D70" s="207" t="s">
        <v>98</v>
      </c>
      <c r="E70" s="199">
        <v>1</v>
      </c>
      <c r="F70" s="2790">
        <v>0</v>
      </c>
      <c r="G70" s="270">
        <f t="shared" ref="G70:G90" si="2">E70*F70</f>
        <v>0</v>
      </c>
    </row>
    <row r="71" spans="2:7" ht="36" x14ac:dyDescent="0.2">
      <c r="B71" s="70"/>
      <c r="C71" s="197" t="s">
        <v>942</v>
      </c>
      <c r="D71" s="207" t="s">
        <v>123</v>
      </c>
      <c r="E71" s="199">
        <v>3</v>
      </c>
      <c r="F71" s="2790">
        <v>0</v>
      </c>
      <c r="G71" s="270">
        <f t="shared" si="2"/>
        <v>0</v>
      </c>
    </row>
    <row r="72" spans="2:7" ht="96" x14ac:dyDescent="0.2">
      <c r="B72" s="70"/>
      <c r="C72" s="197" t="s">
        <v>748</v>
      </c>
      <c r="D72" s="207" t="s">
        <v>98</v>
      </c>
      <c r="E72" s="199">
        <v>1</v>
      </c>
      <c r="F72" s="2790">
        <v>0</v>
      </c>
      <c r="G72" s="270">
        <f t="shared" si="2"/>
        <v>0</v>
      </c>
    </row>
    <row r="73" spans="2:7" ht="60" x14ac:dyDescent="0.2">
      <c r="B73" s="70"/>
      <c r="C73" s="197" t="s">
        <v>751</v>
      </c>
      <c r="D73" s="207" t="s">
        <v>123</v>
      </c>
      <c r="E73" s="199">
        <v>1</v>
      </c>
      <c r="F73" s="2790">
        <v>0</v>
      </c>
      <c r="G73" s="270">
        <f t="shared" si="2"/>
        <v>0</v>
      </c>
    </row>
    <row r="74" spans="2:7" ht="60" x14ac:dyDescent="0.2">
      <c r="B74" s="70"/>
      <c r="C74" s="197" t="s">
        <v>752</v>
      </c>
      <c r="D74" s="207" t="s">
        <v>123</v>
      </c>
      <c r="E74" s="199">
        <v>1</v>
      </c>
      <c r="F74" s="2790">
        <v>0</v>
      </c>
      <c r="G74" s="270">
        <f t="shared" si="2"/>
        <v>0</v>
      </c>
    </row>
    <row r="75" spans="2:7" ht="60" x14ac:dyDescent="0.2">
      <c r="B75" s="70"/>
      <c r="C75" s="197" t="s">
        <v>753</v>
      </c>
      <c r="D75" s="207" t="s">
        <v>123</v>
      </c>
      <c r="E75" s="199">
        <v>2</v>
      </c>
      <c r="F75" s="2790">
        <v>0</v>
      </c>
      <c r="G75" s="270">
        <f t="shared" si="2"/>
        <v>0</v>
      </c>
    </row>
    <row r="76" spans="2:7" ht="60" x14ac:dyDescent="0.2">
      <c r="B76" s="70"/>
      <c r="C76" s="197" t="s">
        <v>754</v>
      </c>
      <c r="D76" s="207" t="s">
        <v>123</v>
      </c>
      <c r="E76" s="199">
        <v>1</v>
      </c>
      <c r="F76" s="2790">
        <v>0</v>
      </c>
      <c r="G76" s="270">
        <f t="shared" si="2"/>
        <v>0</v>
      </c>
    </row>
    <row r="77" spans="2:7" ht="48" x14ac:dyDescent="0.2">
      <c r="B77" s="70"/>
      <c r="C77" s="197" t="s">
        <v>755</v>
      </c>
      <c r="D77" s="207" t="s">
        <v>123</v>
      </c>
      <c r="E77" s="199">
        <v>1</v>
      </c>
      <c r="F77" s="2790">
        <v>0</v>
      </c>
      <c r="G77" s="270">
        <f t="shared" si="2"/>
        <v>0</v>
      </c>
    </row>
    <row r="78" spans="2:7" ht="60" x14ac:dyDescent="0.2">
      <c r="B78" s="70"/>
      <c r="C78" s="311" t="s">
        <v>756</v>
      </c>
      <c r="D78" s="207" t="s">
        <v>98</v>
      </c>
      <c r="E78" s="199">
        <v>1</v>
      </c>
      <c r="F78" s="2790">
        <v>0</v>
      </c>
      <c r="G78" s="270">
        <f t="shared" si="2"/>
        <v>0</v>
      </c>
    </row>
    <row r="79" spans="2:7" ht="48" x14ac:dyDescent="0.2">
      <c r="B79" s="70"/>
      <c r="C79" s="197" t="s">
        <v>757</v>
      </c>
      <c r="D79" s="207" t="s">
        <v>123</v>
      </c>
      <c r="E79" s="199">
        <v>1</v>
      </c>
      <c r="F79" s="2790">
        <v>0</v>
      </c>
      <c r="G79" s="270">
        <f t="shared" si="2"/>
        <v>0</v>
      </c>
    </row>
    <row r="80" spans="2:7" ht="108" x14ac:dyDescent="0.2">
      <c r="B80" s="70"/>
      <c r="C80" s="197" t="s">
        <v>619</v>
      </c>
      <c r="D80" s="207" t="s">
        <v>123</v>
      </c>
      <c r="E80" s="199">
        <v>1</v>
      </c>
      <c r="F80" s="2790">
        <v>0</v>
      </c>
      <c r="G80" s="270">
        <f t="shared" si="2"/>
        <v>0</v>
      </c>
    </row>
    <row r="81" spans="2:7" ht="36" x14ac:dyDescent="0.2">
      <c r="B81" s="70"/>
      <c r="C81" s="197" t="s">
        <v>758</v>
      </c>
      <c r="D81" s="207" t="s">
        <v>123</v>
      </c>
      <c r="E81" s="199">
        <v>40</v>
      </c>
      <c r="F81" s="2790">
        <v>0</v>
      </c>
      <c r="G81" s="270">
        <f t="shared" si="2"/>
        <v>0</v>
      </c>
    </row>
    <row r="82" spans="2:7" ht="36" x14ac:dyDescent="0.2">
      <c r="B82" s="70"/>
      <c r="C82" s="197" t="s">
        <v>759</v>
      </c>
      <c r="D82" s="207" t="s">
        <v>123</v>
      </c>
      <c r="E82" s="199">
        <v>10</v>
      </c>
      <c r="F82" s="2790">
        <v>0</v>
      </c>
      <c r="G82" s="270">
        <f t="shared" si="2"/>
        <v>0</v>
      </c>
    </row>
    <row r="83" spans="2:7" ht="36" x14ac:dyDescent="0.2">
      <c r="B83" s="70"/>
      <c r="C83" s="197" t="s">
        <v>760</v>
      </c>
      <c r="D83" s="207" t="s">
        <v>123</v>
      </c>
      <c r="E83" s="199">
        <v>2</v>
      </c>
      <c r="F83" s="2790">
        <v>0</v>
      </c>
      <c r="G83" s="270">
        <f t="shared" si="2"/>
        <v>0</v>
      </c>
    </row>
    <row r="84" spans="2:7" ht="36" x14ac:dyDescent="0.2">
      <c r="B84" s="70"/>
      <c r="C84" s="197" t="s">
        <v>761</v>
      </c>
      <c r="D84" s="207" t="s">
        <v>123</v>
      </c>
      <c r="E84" s="199">
        <v>12</v>
      </c>
      <c r="F84" s="2790">
        <v>0</v>
      </c>
      <c r="G84" s="270">
        <f t="shared" si="2"/>
        <v>0</v>
      </c>
    </row>
    <row r="85" spans="2:7" ht="36" x14ac:dyDescent="0.2">
      <c r="B85" s="70"/>
      <c r="C85" s="197" t="s">
        <v>762</v>
      </c>
      <c r="D85" s="207" t="s">
        <v>123</v>
      </c>
      <c r="E85" s="199">
        <v>1</v>
      </c>
      <c r="F85" s="2790">
        <v>0</v>
      </c>
      <c r="G85" s="270">
        <f t="shared" si="2"/>
        <v>0</v>
      </c>
    </row>
    <row r="86" spans="2:7" ht="48" x14ac:dyDescent="0.2">
      <c r="B86" s="70"/>
      <c r="C86" s="197" t="s">
        <v>763</v>
      </c>
      <c r="D86" s="207" t="s">
        <v>123</v>
      </c>
      <c r="E86" s="199">
        <v>1</v>
      </c>
      <c r="F86" s="2790">
        <v>0</v>
      </c>
      <c r="G86" s="270">
        <f t="shared" si="2"/>
        <v>0</v>
      </c>
    </row>
    <row r="87" spans="2:7" ht="48" x14ac:dyDescent="0.2">
      <c r="B87" s="70"/>
      <c r="C87" s="197" t="s">
        <v>764</v>
      </c>
      <c r="D87" s="207" t="s">
        <v>123</v>
      </c>
      <c r="E87" s="199">
        <v>3</v>
      </c>
      <c r="F87" s="2790">
        <v>0</v>
      </c>
      <c r="G87" s="270">
        <f t="shared" si="2"/>
        <v>0</v>
      </c>
    </row>
    <row r="88" spans="2:7" ht="48" x14ac:dyDescent="0.2">
      <c r="B88" s="70"/>
      <c r="C88" s="197" t="s">
        <v>765</v>
      </c>
      <c r="D88" s="207" t="s">
        <v>123</v>
      </c>
      <c r="E88" s="199">
        <v>3</v>
      </c>
      <c r="F88" s="2790">
        <v>0</v>
      </c>
      <c r="G88" s="270">
        <f t="shared" si="2"/>
        <v>0</v>
      </c>
    </row>
    <row r="89" spans="2:7" ht="48" x14ac:dyDescent="0.2">
      <c r="B89" s="70"/>
      <c r="C89" s="197" t="s">
        <v>766</v>
      </c>
      <c r="D89" s="207" t="s">
        <v>123</v>
      </c>
      <c r="E89" s="199">
        <v>3</v>
      </c>
      <c r="F89" s="2790">
        <v>0</v>
      </c>
      <c r="G89" s="270">
        <f t="shared" si="2"/>
        <v>0</v>
      </c>
    </row>
    <row r="90" spans="2:7" ht="48" x14ac:dyDescent="0.2">
      <c r="B90" s="70"/>
      <c r="C90" s="197" t="s">
        <v>767</v>
      </c>
      <c r="D90" s="207" t="s">
        <v>98</v>
      </c>
      <c r="E90" s="199">
        <v>1</v>
      </c>
      <c r="F90" s="2790">
        <v>0</v>
      </c>
      <c r="G90" s="270">
        <f t="shared" si="2"/>
        <v>0</v>
      </c>
    </row>
    <row r="91" spans="2:7" ht="60" x14ac:dyDescent="0.2">
      <c r="B91" s="362"/>
      <c r="C91" s="311" t="s">
        <v>768</v>
      </c>
      <c r="D91" s="207" t="s">
        <v>123</v>
      </c>
      <c r="E91" s="199">
        <v>1</v>
      </c>
      <c r="F91" s="2790">
        <v>0</v>
      </c>
      <c r="G91" s="270"/>
    </row>
    <row r="92" spans="2:7" ht="84" x14ac:dyDescent="0.2">
      <c r="B92" s="362"/>
      <c r="C92" s="311" t="s">
        <v>620</v>
      </c>
      <c r="D92" s="207" t="s">
        <v>123</v>
      </c>
      <c r="E92" s="199">
        <v>1</v>
      </c>
      <c r="F92" s="2790">
        <v>0</v>
      </c>
      <c r="G92" s="270">
        <f>E92*F92</f>
        <v>0</v>
      </c>
    </row>
    <row r="93" spans="2:7" x14ac:dyDescent="0.2">
      <c r="B93" s="153">
        <v>2</v>
      </c>
      <c r="C93" s="357" t="s">
        <v>769</v>
      </c>
      <c r="D93" s="207"/>
      <c r="E93" s="199"/>
      <c r="F93" s="269"/>
      <c r="G93" s="270"/>
    </row>
    <row r="94" spans="2:7" ht="387.75" customHeight="1" x14ac:dyDescent="0.2">
      <c r="B94" s="2743"/>
      <c r="C94" s="2744"/>
      <c r="D94" s="2745"/>
      <c r="E94" s="2746"/>
      <c r="F94" s="2747"/>
      <c r="G94" s="2736"/>
    </row>
    <row r="95" spans="2:7" ht="24.75" customHeight="1" x14ac:dyDescent="0.2">
      <c r="B95" s="2743"/>
      <c r="C95" s="2744" t="s">
        <v>2465</v>
      </c>
      <c r="D95" s="2748" t="s">
        <v>98</v>
      </c>
      <c r="E95" s="2746">
        <v>1</v>
      </c>
      <c r="F95" s="2747">
        <v>0</v>
      </c>
      <c r="G95" s="2736">
        <f t="shared" ref="G95:G101" si="3">E95*F95</f>
        <v>0</v>
      </c>
    </row>
    <row r="96" spans="2:7" ht="48" x14ac:dyDescent="0.2">
      <c r="B96" s="70"/>
      <c r="C96" s="197" t="s">
        <v>771</v>
      </c>
      <c r="D96" s="207" t="s">
        <v>123</v>
      </c>
      <c r="E96" s="199">
        <v>1</v>
      </c>
      <c r="F96" s="2790">
        <v>0</v>
      </c>
      <c r="G96" s="270">
        <f t="shared" si="3"/>
        <v>0</v>
      </c>
    </row>
    <row r="97" spans="2:7" ht="60" x14ac:dyDescent="0.2">
      <c r="B97" s="70"/>
      <c r="C97" s="197" t="s">
        <v>772</v>
      </c>
      <c r="D97" s="207" t="s">
        <v>123</v>
      </c>
      <c r="E97" s="199">
        <v>1</v>
      </c>
      <c r="F97" s="2790">
        <v>0</v>
      </c>
      <c r="G97" s="270">
        <f t="shared" si="3"/>
        <v>0</v>
      </c>
    </row>
    <row r="98" spans="2:7" ht="180" x14ac:dyDescent="0.2">
      <c r="B98" s="362"/>
      <c r="C98" s="311" t="s">
        <v>773</v>
      </c>
      <c r="D98" s="207" t="s">
        <v>123</v>
      </c>
      <c r="E98" s="199">
        <v>1</v>
      </c>
      <c r="F98" s="2790">
        <v>0</v>
      </c>
      <c r="G98" s="270">
        <f t="shared" si="3"/>
        <v>0</v>
      </c>
    </row>
    <row r="99" spans="2:7" ht="60" x14ac:dyDescent="0.2">
      <c r="B99" s="362"/>
      <c r="C99" s="311" t="s">
        <v>774</v>
      </c>
      <c r="D99" s="207" t="s">
        <v>98</v>
      </c>
      <c r="E99" s="199">
        <v>1</v>
      </c>
      <c r="F99" s="2790">
        <v>0</v>
      </c>
      <c r="G99" s="270">
        <f t="shared" si="3"/>
        <v>0</v>
      </c>
    </row>
    <row r="100" spans="2:7" ht="36" x14ac:dyDescent="0.2">
      <c r="B100" s="362"/>
      <c r="C100" s="311" t="s">
        <v>603</v>
      </c>
      <c r="D100" s="207" t="s">
        <v>123</v>
      </c>
      <c r="E100" s="199">
        <v>1</v>
      </c>
      <c r="F100" s="2790">
        <v>0</v>
      </c>
      <c r="G100" s="270">
        <f t="shared" si="3"/>
        <v>0</v>
      </c>
    </row>
    <row r="101" spans="2:7" ht="288" x14ac:dyDescent="0.2">
      <c r="B101" s="70"/>
      <c r="C101" s="197" t="s">
        <v>630</v>
      </c>
      <c r="D101" s="207" t="s">
        <v>98</v>
      </c>
      <c r="E101" s="199">
        <v>2</v>
      </c>
      <c r="F101" s="2790">
        <v>0</v>
      </c>
      <c r="G101" s="270">
        <f t="shared" si="3"/>
        <v>0</v>
      </c>
    </row>
    <row r="102" spans="2:7" x14ac:dyDescent="0.2">
      <c r="B102" s="153">
        <v>3</v>
      </c>
      <c r="C102" s="357" t="s">
        <v>775</v>
      </c>
      <c r="D102" s="207"/>
      <c r="E102" s="199"/>
      <c r="F102" s="269"/>
      <c r="G102" s="270"/>
    </row>
    <row r="103" spans="2:7" ht="264" x14ac:dyDescent="0.2">
      <c r="B103" s="70"/>
      <c r="C103" s="197" t="s">
        <v>776</v>
      </c>
      <c r="D103" s="207" t="s">
        <v>98</v>
      </c>
      <c r="E103" s="199">
        <v>1</v>
      </c>
      <c r="F103" s="2790">
        <v>0</v>
      </c>
      <c r="G103" s="270">
        <f>E103*F103</f>
        <v>0</v>
      </c>
    </row>
    <row r="104" spans="2:7" ht="72" x14ac:dyDescent="0.2">
      <c r="B104" s="362"/>
      <c r="C104" s="311" t="s">
        <v>777</v>
      </c>
      <c r="D104" s="207" t="s">
        <v>98</v>
      </c>
      <c r="E104" s="199">
        <v>1</v>
      </c>
      <c r="F104" s="2790">
        <v>0</v>
      </c>
      <c r="G104" s="270">
        <f>E104*F104</f>
        <v>0</v>
      </c>
    </row>
    <row r="105" spans="2:7" ht="84" x14ac:dyDescent="0.2">
      <c r="B105" s="362"/>
      <c r="C105" s="311" t="s">
        <v>778</v>
      </c>
      <c r="D105" s="207" t="s">
        <v>98</v>
      </c>
      <c r="E105" s="199">
        <v>1</v>
      </c>
      <c r="F105" s="2790">
        <v>0</v>
      </c>
      <c r="G105" s="270">
        <f>E105*F105</f>
        <v>0</v>
      </c>
    </row>
    <row r="106" spans="2:7" x14ac:dyDescent="0.2">
      <c r="B106" s="153">
        <v>4</v>
      </c>
      <c r="C106" s="357" t="s">
        <v>779</v>
      </c>
      <c r="D106" s="207"/>
      <c r="E106" s="199"/>
      <c r="F106" s="269"/>
      <c r="G106" s="270"/>
    </row>
    <row r="107" spans="2:7" ht="60" x14ac:dyDescent="0.2">
      <c r="B107" s="70"/>
      <c r="C107" s="197" t="s">
        <v>780</v>
      </c>
      <c r="D107" s="207" t="s">
        <v>98</v>
      </c>
      <c r="E107" s="199">
        <v>2</v>
      </c>
      <c r="F107" s="2790">
        <v>0</v>
      </c>
      <c r="G107" s="270">
        <f>E107*F107</f>
        <v>0</v>
      </c>
    </row>
    <row r="108" spans="2:7" ht="48" x14ac:dyDescent="0.2">
      <c r="B108" s="70"/>
      <c r="C108" s="197" t="s">
        <v>781</v>
      </c>
      <c r="D108" s="207" t="s">
        <v>98</v>
      </c>
      <c r="E108" s="199">
        <v>2</v>
      </c>
      <c r="F108" s="2790">
        <v>0</v>
      </c>
      <c r="G108" s="270">
        <f>E108*F108</f>
        <v>0</v>
      </c>
    </row>
    <row r="109" spans="2:7" ht="36" x14ac:dyDescent="0.2">
      <c r="B109" s="70"/>
      <c r="C109" s="197" t="s">
        <v>782</v>
      </c>
      <c r="D109" s="207" t="s">
        <v>123</v>
      </c>
      <c r="E109" s="199">
        <v>1</v>
      </c>
      <c r="F109" s="2790">
        <v>0</v>
      </c>
      <c r="G109" s="270">
        <f>E109*F109</f>
        <v>0</v>
      </c>
    </row>
    <row r="110" spans="2:7" ht="132" x14ac:dyDescent="0.2">
      <c r="B110" s="362"/>
      <c r="C110" s="311" t="s">
        <v>508</v>
      </c>
      <c r="D110" s="207" t="s">
        <v>123</v>
      </c>
      <c r="E110" s="199">
        <v>1</v>
      </c>
      <c r="F110" s="2790">
        <v>0</v>
      </c>
      <c r="G110" s="270">
        <f>E110*F110</f>
        <v>0</v>
      </c>
    </row>
    <row r="111" spans="2:7" ht="96" x14ac:dyDescent="0.2">
      <c r="B111" s="362"/>
      <c r="C111" s="311" t="s">
        <v>783</v>
      </c>
      <c r="D111" s="207" t="s">
        <v>123</v>
      </c>
      <c r="E111" s="199">
        <v>1</v>
      </c>
      <c r="F111" s="2790">
        <v>0</v>
      </c>
      <c r="G111" s="270">
        <f>E111*F111</f>
        <v>0</v>
      </c>
    </row>
    <row r="112" spans="2:7" x14ac:dyDescent="0.2">
      <c r="B112" s="153">
        <v>5</v>
      </c>
      <c r="C112" s="357" t="s">
        <v>784</v>
      </c>
      <c r="D112" s="207"/>
      <c r="E112" s="199"/>
      <c r="F112" s="269"/>
      <c r="G112" s="270"/>
    </row>
    <row r="113" spans="2:8" x14ac:dyDescent="0.2">
      <c r="B113" s="153"/>
      <c r="C113" s="311" t="s">
        <v>645</v>
      </c>
      <c r="D113" s="207" t="s">
        <v>644</v>
      </c>
      <c r="E113" s="199">
        <v>15</v>
      </c>
      <c r="F113" s="2790">
        <v>0</v>
      </c>
      <c r="G113" s="270">
        <f t="shared" ref="G113:G120" si="4">E113*F113</f>
        <v>0</v>
      </c>
    </row>
    <row r="114" spans="2:8" x14ac:dyDescent="0.2">
      <c r="B114" s="153"/>
      <c r="C114" s="311" t="s">
        <v>646</v>
      </c>
      <c r="D114" s="207" t="s">
        <v>644</v>
      </c>
      <c r="E114" s="199">
        <v>50</v>
      </c>
      <c r="F114" s="2790">
        <v>0</v>
      </c>
      <c r="G114" s="270">
        <f t="shared" si="4"/>
        <v>0</v>
      </c>
    </row>
    <row r="115" spans="2:8" x14ac:dyDescent="0.2">
      <c r="B115" s="153"/>
      <c r="C115" s="311" t="s">
        <v>647</v>
      </c>
      <c r="D115" s="207" t="s">
        <v>644</v>
      </c>
      <c r="E115" s="199">
        <v>25</v>
      </c>
      <c r="F115" s="2790">
        <v>0</v>
      </c>
      <c r="G115" s="270">
        <f t="shared" si="4"/>
        <v>0</v>
      </c>
    </row>
    <row r="116" spans="2:8" x14ac:dyDescent="0.2">
      <c r="B116" s="153"/>
      <c r="C116" s="311" t="s">
        <v>648</v>
      </c>
      <c r="D116" s="207" t="s">
        <v>644</v>
      </c>
      <c r="E116" s="199">
        <v>15</v>
      </c>
      <c r="F116" s="2790">
        <v>0</v>
      </c>
      <c r="G116" s="270">
        <f t="shared" si="4"/>
        <v>0</v>
      </c>
    </row>
    <row r="117" spans="2:8" x14ac:dyDescent="0.2">
      <c r="B117" s="153"/>
      <c r="C117" s="311" t="s">
        <v>650</v>
      </c>
      <c r="D117" s="207" t="s">
        <v>123</v>
      </c>
      <c r="E117" s="199">
        <v>2</v>
      </c>
      <c r="F117" s="2790">
        <v>0</v>
      </c>
      <c r="G117" s="270">
        <f t="shared" si="4"/>
        <v>0</v>
      </c>
    </row>
    <row r="118" spans="2:8" x14ac:dyDescent="0.2">
      <c r="B118" s="153"/>
      <c r="C118" s="311" t="s">
        <v>651</v>
      </c>
      <c r="D118" s="207" t="s">
        <v>644</v>
      </c>
      <c r="E118" s="199">
        <v>20</v>
      </c>
      <c r="F118" s="2790">
        <v>0</v>
      </c>
      <c r="G118" s="270">
        <f t="shared" si="4"/>
        <v>0</v>
      </c>
    </row>
    <row r="119" spans="2:8" x14ac:dyDescent="0.2">
      <c r="B119" s="153"/>
      <c r="C119" s="311" t="s">
        <v>652</v>
      </c>
      <c r="D119" s="207" t="s">
        <v>644</v>
      </c>
      <c r="E119" s="199">
        <v>15</v>
      </c>
      <c r="F119" s="2790">
        <v>0</v>
      </c>
      <c r="G119" s="270">
        <f t="shared" si="4"/>
        <v>0</v>
      </c>
    </row>
    <row r="120" spans="2:8" x14ac:dyDescent="0.2">
      <c r="B120" s="70"/>
      <c r="C120" s="311" t="s">
        <v>632</v>
      </c>
      <c r="D120" s="207" t="s">
        <v>98</v>
      </c>
      <c r="E120" s="199">
        <v>1</v>
      </c>
      <c r="F120" s="2790">
        <v>0</v>
      </c>
      <c r="G120" s="270">
        <f t="shared" si="4"/>
        <v>0</v>
      </c>
    </row>
    <row r="121" spans="2:8" s="11" customFormat="1" x14ac:dyDescent="0.2">
      <c r="B121" s="59">
        <v>6</v>
      </c>
      <c r="C121" s="357" t="s">
        <v>785</v>
      </c>
      <c r="D121" s="15"/>
      <c r="E121" s="419"/>
      <c r="F121" s="14"/>
      <c r="G121" s="13"/>
      <c r="H121" s="12"/>
    </row>
    <row r="122" spans="2:8" s="11" customFormat="1" ht="24" x14ac:dyDescent="0.2">
      <c r="B122" s="59"/>
      <c r="C122" s="311" t="s">
        <v>666</v>
      </c>
      <c r="D122" s="207" t="s">
        <v>644</v>
      </c>
      <c r="E122" s="199">
        <v>8</v>
      </c>
      <c r="F122" s="269">
        <v>0</v>
      </c>
      <c r="G122" s="270">
        <f t="shared" ref="G122:G128" si="5">E122*F122</f>
        <v>0</v>
      </c>
      <c r="H122" s="12"/>
    </row>
    <row r="123" spans="2:8" s="11" customFormat="1" x14ac:dyDescent="0.2">
      <c r="B123" s="59"/>
      <c r="C123" s="311" t="s">
        <v>667</v>
      </c>
      <c r="D123" s="207" t="s">
        <v>644</v>
      </c>
      <c r="E123" s="199">
        <v>50</v>
      </c>
      <c r="F123" s="269">
        <v>0</v>
      </c>
      <c r="G123" s="270">
        <f t="shared" si="5"/>
        <v>0</v>
      </c>
      <c r="H123" s="12"/>
    </row>
    <row r="124" spans="2:8" s="11" customFormat="1" x14ac:dyDescent="0.2">
      <c r="B124" s="59"/>
      <c r="C124" s="311" t="s">
        <v>668</v>
      </c>
      <c r="D124" s="207" t="s">
        <v>644</v>
      </c>
      <c r="E124" s="199">
        <v>20</v>
      </c>
      <c r="F124" s="269">
        <v>0</v>
      </c>
      <c r="G124" s="270">
        <f t="shared" si="5"/>
        <v>0</v>
      </c>
      <c r="H124" s="12"/>
    </row>
    <row r="125" spans="2:8" s="11" customFormat="1" x14ac:dyDescent="0.2">
      <c r="B125" s="59"/>
      <c r="C125" s="311" t="s">
        <v>673</v>
      </c>
      <c r="D125" s="207" t="s">
        <v>123</v>
      </c>
      <c r="E125" s="199">
        <v>1</v>
      </c>
      <c r="F125" s="269">
        <v>0</v>
      </c>
      <c r="G125" s="270">
        <f t="shared" si="5"/>
        <v>0</v>
      </c>
      <c r="H125" s="12"/>
    </row>
    <row r="126" spans="2:8" s="11" customFormat="1" x14ac:dyDescent="0.2">
      <c r="B126" s="59"/>
      <c r="C126" s="311" t="s">
        <v>675</v>
      </c>
      <c r="D126" s="207" t="s">
        <v>123</v>
      </c>
      <c r="E126" s="199">
        <v>3</v>
      </c>
      <c r="F126" s="269">
        <v>0</v>
      </c>
      <c r="G126" s="270">
        <f t="shared" si="5"/>
        <v>0</v>
      </c>
      <c r="H126" s="12"/>
    </row>
    <row r="127" spans="2:8" s="11" customFormat="1" x14ac:dyDescent="0.2">
      <c r="B127" s="59"/>
      <c r="C127" s="311" t="s">
        <v>676</v>
      </c>
      <c r="D127" s="207" t="s">
        <v>123</v>
      </c>
      <c r="E127" s="199">
        <v>2</v>
      </c>
      <c r="F127" s="269">
        <v>0</v>
      </c>
      <c r="G127" s="270">
        <f t="shared" si="5"/>
        <v>0</v>
      </c>
      <c r="H127" s="12"/>
    </row>
    <row r="128" spans="2:8" s="11" customFormat="1" ht="24" x14ac:dyDescent="0.2">
      <c r="B128" s="59"/>
      <c r="C128" s="311" t="s">
        <v>677</v>
      </c>
      <c r="D128" s="207" t="s">
        <v>123</v>
      </c>
      <c r="E128" s="199">
        <v>1</v>
      </c>
      <c r="F128" s="269">
        <v>0</v>
      </c>
      <c r="G128" s="270">
        <f t="shared" si="5"/>
        <v>0</v>
      </c>
      <c r="H128" s="12"/>
    </row>
    <row r="129" spans="2:7" x14ac:dyDescent="0.2">
      <c r="B129" s="153">
        <v>7</v>
      </c>
      <c r="C129" s="357" t="s">
        <v>788</v>
      </c>
      <c r="D129" s="207"/>
      <c r="E129" s="199"/>
      <c r="F129" s="269"/>
      <c r="G129" s="270"/>
    </row>
    <row r="130" spans="2:7" x14ac:dyDescent="0.2">
      <c r="B130" s="153"/>
      <c r="C130" s="197" t="s">
        <v>655</v>
      </c>
      <c r="D130" s="207" t="s">
        <v>644</v>
      </c>
      <c r="E130" s="199">
        <v>10</v>
      </c>
      <c r="F130" s="269">
        <v>0</v>
      </c>
      <c r="G130" s="270">
        <f>E130*F130</f>
        <v>0</v>
      </c>
    </row>
    <row r="131" spans="2:7" ht="36" x14ac:dyDescent="0.2">
      <c r="B131" s="153"/>
      <c r="C131" s="197" t="s">
        <v>656</v>
      </c>
      <c r="D131" s="207" t="s">
        <v>98</v>
      </c>
      <c r="E131" s="199">
        <v>1</v>
      </c>
      <c r="F131" s="269">
        <v>0</v>
      </c>
      <c r="G131" s="270">
        <f>E131*F131</f>
        <v>0</v>
      </c>
    </row>
    <row r="132" spans="2:7" ht="24" x14ac:dyDescent="0.2">
      <c r="B132" s="153"/>
      <c r="C132" s="197" t="s">
        <v>657</v>
      </c>
      <c r="D132" s="207" t="s">
        <v>98</v>
      </c>
      <c r="E132" s="199">
        <v>1</v>
      </c>
      <c r="F132" s="269">
        <v>0</v>
      </c>
      <c r="G132" s="270">
        <f>E132*F132</f>
        <v>0</v>
      </c>
    </row>
    <row r="133" spans="2:7" x14ac:dyDescent="0.2">
      <c r="B133" s="362"/>
      <c r="C133" s="197" t="s">
        <v>663</v>
      </c>
      <c r="D133" s="207" t="s">
        <v>98</v>
      </c>
      <c r="E133" s="199">
        <v>1</v>
      </c>
      <c r="F133" s="269">
        <v>0</v>
      </c>
      <c r="G133" s="270">
        <f>E133*F133</f>
        <v>0</v>
      </c>
    </row>
    <row r="134" spans="2:7" x14ac:dyDescent="0.2">
      <c r="B134" s="153">
        <v>8</v>
      </c>
      <c r="C134" s="357" t="s">
        <v>679</v>
      </c>
      <c r="D134" s="207"/>
      <c r="E134" s="199"/>
      <c r="F134" s="269"/>
      <c r="G134" s="270"/>
    </row>
    <row r="135" spans="2:7" ht="48" x14ac:dyDescent="0.2">
      <c r="B135" s="362"/>
      <c r="C135" s="311" t="s">
        <v>789</v>
      </c>
      <c r="D135" s="207" t="s">
        <v>98</v>
      </c>
      <c r="E135" s="199">
        <v>1</v>
      </c>
      <c r="F135" s="269">
        <v>0</v>
      </c>
      <c r="G135" s="270">
        <f>E135*F135</f>
        <v>0</v>
      </c>
    </row>
    <row r="136" spans="2:7" ht="36" x14ac:dyDescent="0.2">
      <c r="B136" s="70"/>
      <c r="C136" s="197" t="s">
        <v>790</v>
      </c>
      <c r="D136" s="207" t="s">
        <v>98</v>
      </c>
      <c r="E136" s="199">
        <v>1</v>
      </c>
      <c r="F136" s="269">
        <v>0</v>
      </c>
      <c r="G136" s="270">
        <f>E136*F136</f>
        <v>0</v>
      </c>
    </row>
    <row r="137" spans="2:7" ht="36" x14ac:dyDescent="0.2">
      <c r="B137" s="362"/>
      <c r="C137" s="311" t="s">
        <v>791</v>
      </c>
      <c r="D137" s="207" t="s">
        <v>98</v>
      </c>
      <c r="E137" s="199">
        <v>1</v>
      </c>
      <c r="F137" s="269">
        <v>0</v>
      </c>
      <c r="G137" s="270">
        <f>E137*F137</f>
        <v>0</v>
      </c>
    </row>
    <row r="138" spans="2:7" ht="36" x14ac:dyDescent="0.2">
      <c r="B138" s="362"/>
      <c r="C138" s="311" t="s">
        <v>792</v>
      </c>
      <c r="D138" s="207" t="s">
        <v>98</v>
      </c>
      <c r="E138" s="199">
        <v>1</v>
      </c>
      <c r="F138" s="269">
        <v>0</v>
      </c>
      <c r="G138" s="270">
        <f>E138*F138</f>
        <v>0</v>
      </c>
    </row>
    <row r="139" spans="2:7" x14ac:dyDescent="0.2">
      <c r="B139" s="293" t="s">
        <v>18</v>
      </c>
      <c r="C139" s="294" t="s">
        <v>794</v>
      </c>
      <c r="D139" s="218"/>
      <c r="E139" s="203"/>
      <c r="F139" s="204"/>
      <c r="G139" s="290">
        <f>SUM(G70:G138)</f>
        <v>0</v>
      </c>
    </row>
  </sheetData>
  <mergeCells count="9">
    <mergeCell ref="B66:G66"/>
    <mergeCell ref="B67:G67"/>
    <mergeCell ref="B68:G68"/>
    <mergeCell ref="B39:G39"/>
    <mergeCell ref="B40:G40"/>
    <mergeCell ref="B62:G62"/>
    <mergeCell ref="B63:G63"/>
    <mergeCell ref="B64:G64"/>
    <mergeCell ref="B65:G65"/>
  </mergeCells>
  <pageMargins left="0.7" right="0.7" top="0.75" bottom="0.75" header="0.3" footer="0.3"/>
  <pageSetup paperSize="9" scale="85" orientation="portrait" r:id="rId1"/>
  <headerFooter alignWithMargins="0">
    <oddFooter>&amp;C&amp;8&amp;P/&amp;N</oddFooter>
  </headerFooter>
  <rowBreaks count="2" manualBreakCount="2">
    <brk id="19" max="16383" man="1"/>
    <brk id="3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0AEC-4157-432C-8EE0-300110E6D298}">
  <sheetPr codeName="Sheet33">
    <tabColor rgb="FF00B0F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1054</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1081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10"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10"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10"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10"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10"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EA365-4722-44FD-8621-7F77CD59BA93}">
  <sheetPr codeName="Sheet34">
    <tabColor rgb="FF00B0F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1054</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1082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10"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10"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10"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F883-A545-47D3-AE4B-7F75075D83F9}">
  <sheetPr codeName="Sheet35">
    <tabColor rgb="FF00B0F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1054</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1083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10"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10"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207"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2E0E-B689-4F89-85F1-9849EEAA4A32}">
  <sheetPr codeName="Sheet53">
    <tabColor rgb="FFFFC000"/>
  </sheetPr>
  <dimension ref="A2:L167"/>
  <sheetViews>
    <sheetView showZeros="0" topLeftCell="A54" zoomScale="110" zoomScaleNormal="110" workbookViewId="0">
      <selection activeCell="C66" sqref="C6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710937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16.5" customHeight="1" x14ac:dyDescent="0.2">
      <c r="B2" s="137"/>
      <c r="C2" s="108" t="s">
        <v>59</v>
      </c>
      <c r="D2" s="155"/>
      <c r="E2" s="156"/>
      <c r="F2" s="157"/>
      <c r="G2" s="363" t="s">
        <v>60</v>
      </c>
      <c r="H2" s="122"/>
    </row>
    <row r="4" spans="1:12" s="119" customFormat="1" ht="15" x14ac:dyDescent="0.25">
      <c r="B4" s="146" t="s">
        <v>7</v>
      </c>
      <c r="C4" s="330" t="s">
        <v>63</v>
      </c>
      <c r="D4" s="158"/>
      <c r="E4" s="159"/>
      <c r="F4" s="160"/>
      <c r="G4" s="161"/>
      <c r="H4" s="566"/>
    </row>
    <row r="5" spans="1:12" s="119" customFormat="1" ht="12" customHeight="1" x14ac:dyDescent="0.25">
      <c r="B5" s="145"/>
      <c r="C5" s="162"/>
      <c r="D5" s="163"/>
      <c r="E5" s="164"/>
      <c r="F5" s="165"/>
      <c r="G5" s="166"/>
      <c r="H5" s="566"/>
    </row>
    <row r="6" spans="1:12" s="125" customFormat="1" ht="21" customHeight="1" x14ac:dyDescent="0.2">
      <c r="B6" s="328" t="s">
        <v>80</v>
      </c>
      <c r="C6" s="473" t="s">
        <v>303</v>
      </c>
      <c r="D6" s="158"/>
      <c r="E6" s="159"/>
      <c r="F6" s="160"/>
      <c r="G6" s="161"/>
      <c r="H6" s="567"/>
      <c r="I6" s="124"/>
      <c r="J6" s="124"/>
      <c r="K6" s="124"/>
      <c r="L6" s="124"/>
    </row>
    <row r="7" spans="1:12" s="125" customFormat="1" ht="14.25" x14ac:dyDescent="0.2">
      <c r="B7" s="145"/>
      <c r="C7" s="162"/>
      <c r="D7" s="163"/>
      <c r="E7" s="164"/>
      <c r="F7" s="165"/>
      <c r="G7" s="167"/>
      <c r="H7" s="567"/>
      <c r="I7" s="124"/>
      <c r="J7" s="124"/>
      <c r="K7" s="124"/>
      <c r="L7" s="124"/>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25" customFormat="1" ht="14.25" x14ac:dyDescent="0.2">
      <c r="B12" s="142"/>
      <c r="C12" s="174"/>
      <c r="D12" s="175"/>
      <c r="E12" s="176"/>
      <c r="F12" s="177"/>
      <c r="G12" s="178"/>
      <c r="H12" s="567"/>
      <c r="I12" s="124"/>
      <c r="J12" s="124"/>
      <c r="K12" s="124"/>
      <c r="L12" s="124"/>
    </row>
    <row r="13" spans="1:12" s="125" customFormat="1" ht="18.75" customHeight="1" x14ac:dyDescent="0.2">
      <c r="B13" s="138"/>
      <c r="C13" s="334" t="s">
        <v>82</v>
      </c>
      <c r="D13" s="179"/>
      <c r="E13" s="180"/>
      <c r="F13" s="181"/>
      <c r="G13" s="182"/>
      <c r="H13" s="567"/>
      <c r="I13" s="124"/>
      <c r="J13" s="124"/>
      <c r="K13" s="124"/>
      <c r="L13" s="124"/>
    </row>
    <row r="14" spans="1:12" s="126" customFormat="1" ht="18.75" customHeight="1" x14ac:dyDescent="0.2">
      <c r="B14" s="315" t="s">
        <v>83</v>
      </c>
      <c r="C14" s="335" t="s">
        <v>84</v>
      </c>
      <c r="D14" s="336"/>
      <c r="E14" s="337"/>
      <c r="F14" s="338"/>
      <c r="G14" s="339" t="s">
        <v>64</v>
      </c>
      <c r="H14" s="568"/>
    </row>
    <row r="15" spans="1:12" s="331" customFormat="1" ht="18.75" customHeight="1" x14ac:dyDescent="0.25">
      <c r="B15" s="332" t="s">
        <v>10</v>
      </c>
      <c r="C15" s="340" t="s">
        <v>85</v>
      </c>
      <c r="D15" s="341"/>
      <c r="E15" s="342"/>
      <c r="F15" s="343"/>
      <c r="G15" s="474">
        <f>G36</f>
        <v>0</v>
      </c>
      <c r="H15" s="569"/>
    </row>
    <row r="16" spans="1:12" s="331" customFormat="1" ht="18.75" customHeight="1" x14ac:dyDescent="0.25">
      <c r="B16" s="332" t="s">
        <v>12</v>
      </c>
      <c r="C16" s="340" t="s">
        <v>86</v>
      </c>
      <c r="D16" s="341"/>
      <c r="E16" s="342"/>
      <c r="F16" s="343"/>
      <c r="G16" s="474">
        <f>G78</f>
        <v>0</v>
      </c>
      <c r="H16" s="569"/>
    </row>
    <row r="17" spans="2:8" s="331" customFormat="1" ht="18.75" customHeight="1" x14ac:dyDescent="0.25">
      <c r="B17" s="332" t="s">
        <v>17</v>
      </c>
      <c r="C17" s="340" t="s">
        <v>87</v>
      </c>
      <c r="D17" s="341"/>
      <c r="E17" s="342"/>
      <c r="F17" s="343"/>
      <c r="G17" s="474">
        <f>G167</f>
        <v>0</v>
      </c>
      <c r="H17" s="569"/>
    </row>
    <row r="18" spans="2:8" s="331" customFormat="1" ht="18.75" customHeight="1" x14ac:dyDescent="0.25">
      <c r="B18" s="333"/>
      <c r="C18" s="344" t="s">
        <v>88</v>
      </c>
      <c r="D18" s="345"/>
      <c r="E18" s="346"/>
      <c r="F18" s="347"/>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1771</v>
      </c>
      <c r="F24" s="467">
        <v>0</v>
      </c>
      <c r="G24" s="352">
        <f t="shared" ref="G24" si="0">E24*F24</f>
        <v>0</v>
      </c>
    </row>
    <row r="25" spans="2:8" x14ac:dyDescent="0.2">
      <c r="B25" s="129">
        <v>2</v>
      </c>
      <c r="C25" s="206" t="s">
        <v>96</v>
      </c>
      <c r="D25" s="207" t="s">
        <v>95</v>
      </c>
      <c r="E25" s="353">
        <v>1771</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27.5" customHeight="1" x14ac:dyDescent="0.2">
      <c r="B27" s="129">
        <v>4</v>
      </c>
      <c r="C27" s="208" t="s">
        <v>99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211" t="s">
        <v>101</v>
      </c>
      <c r="D29" s="210" t="s">
        <v>98</v>
      </c>
      <c r="E29" s="353">
        <v>1</v>
      </c>
      <c r="F29" s="467">
        <v>0</v>
      </c>
      <c r="G29" s="352">
        <f t="shared" si="1"/>
        <v>0</v>
      </c>
    </row>
    <row r="30" spans="2:8" ht="52.5" customHeight="1" x14ac:dyDescent="0.2">
      <c r="B30" s="129">
        <v>7</v>
      </c>
      <c r="C30" s="211" t="s">
        <v>102</v>
      </c>
      <c r="D30" s="210" t="s">
        <v>98</v>
      </c>
      <c r="E30" s="353">
        <v>1</v>
      </c>
      <c r="F30" s="467">
        <v>0</v>
      </c>
      <c r="G30" s="352">
        <f t="shared" si="1"/>
        <v>0</v>
      </c>
    </row>
    <row r="31" spans="2:8" ht="37.5" customHeight="1" x14ac:dyDescent="0.2">
      <c r="B31" s="129">
        <v>8</v>
      </c>
      <c r="C31" s="3165" t="s">
        <v>2590</v>
      </c>
      <c r="D31" s="210" t="s">
        <v>95</v>
      </c>
      <c r="E31" s="353">
        <v>1771</v>
      </c>
      <c r="F31" s="467">
        <v>0</v>
      </c>
      <c r="G31" s="352">
        <f t="shared" si="1"/>
        <v>0</v>
      </c>
      <c r="H31" s="571"/>
    </row>
    <row r="32" spans="2:8" ht="27.75" customHeight="1" x14ac:dyDescent="0.2">
      <c r="B32" s="129">
        <v>9</v>
      </c>
      <c r="C32" s="3165" t="s">
        <v>2591</v>
      </c>
      <c r="D32" s="210" t="s">
        <v>98</v>
      </c>
      <c r="E32" s="353">
        <v>1</v>
      </c>
      <c r="F32" s="467">
        <v>0</v>
      </c>
      <c r="G32" s="352">
        <f t="shared" si="1"/>
        <v>0</v>
      </c>
    </row>
    <row r="33" spans="2:12" ht="14.25" customHeight="1" x14ac:dyDescent="0.2">
      <c r="B33" s="129">
        <v>10</v>
      </c>
      <c r="C33" s="211"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1</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v>199</v>
      </c>
      <c r="F42" s="467">
        <v>0</v>
      </c>
      <c r="G42" s="352">
        <f t="shared" ref="G42:G77" si="2">E42*F42</f>
        <v>0</v>
      </c>
      <c r="I42" s="132"/>
    </row>
    <row r="43" spans="2:12" ht="39" customHeight="1" x14ac:dyDescent="0.2">
      <c r="B43" s="131">
        <v>2</v>
      </c>
      <c r="C43" s="206" t="s">
        <v>113</v>
      </c>
      <c r="D43" s="207" t="s">
        <v>95</v>
      </c>
      <c r="E43" s="353">
        <v>1600</v>
      </c>
      <c r="F43" s="467">
        <v>0</v>
      </c>
      <c r="G43" s="352">
        <f t="shared" si="2"/>
        <v>0</v>
      </c>
      <c r="I43" s="132"/>
    </row>
    <row r="44" spans="2:12" ht="36" x14ac:dyDescent="0.2">
      <c r="B44" s="131">
        <v>3</v>
      </c>
      <c r="C44" s="206" t="s">
        <v>114</v>
      </c>
      <c r="D44" s="209" t="s">
        <v>112</v>
      </c>
      <c r="E44" s="353">
        <v>637.55999999999995</v>
      </c>
      <c r="F44" s="467">
        <v>0</v>
      </c>
      <c r="G44" s="352">
        <f t="shared" si="2"/>
        <v>0</v>
      </c>
      <c r="I44" s="133"/>
      <c r="K44" s="134"/>
      <c r="L44" s="134"/>
    </row>
    <row r="45" spans="2:12" ht="39.75" customHeight="1" x14ac:dyDescent="0.2">
      <c r="B45" s="131">
        <v>4</v>
      </c>
      <c r="C45" s="206" t="s">
        <v>115</v>
      </c>
      <c r="D45" s="209" t="s">
        <v>112</v>
      </c>
      <c r="E45" s="353">
        <v>3612.8399999999997</v>
      </c>
      <c r="F45" s="467">
        <v>0</v>
      </c>
      <c r="G45" s="352">
        <f t="shared" si="2"/>
        <v>0</v>
      </c>
      <c r="I45" s="133"/>
    </row>
    <row r="46" spans="2:12" ht="29.25" customHeight="1" x14ac:dyDescent="0.2">
      <c r="B46" s="131">
        <v>5</v>
      </c>
      <c r="C46" s="311" t="s">
        <v>116</v>
      </c>
      <c r="D46" s="219" t="s">
        <v>117</v>
      </c>
      <c r="E46" s="471">
        <v>3542</v>
      </c>
      <c r="F46" s="467">
        <v>0</v>
      </c>
      <c r="G46" s="352">
        <f t="shared" si="2"/>
        <v>0</v>
      </c>
      <c r="I46" s="132"/>
    </row>
    <row r="47" spans="2:12" ht="29.25" customHeight="1" x14ac:dyDescent="0.2">
      <c r="B47" s="131">
        <v>6</v>
      </c>
      <c r="C47" s="206" t="s">
        <v>118</v>
      </c>
      <c r="D47" s="209" t="s">
        <v>117</v>
      </c>
      <c r="E47" s="353">
        <v>1771</v>
      </c>
      <c r="F47" s="467">
        <v>0</v>
      </c>
      <c r="G47" s="352">
        <f t="shared" si="2"/>
        <v>0</v>
      </c>
      <c r="I47" s="132"/>
    </row>
    <row r="48" spans="2:12" ht="27" customHeight="1" x14ac:dyDescent="0.2">
      <c r="B48" s="131">
        <v>7</v>
      </c>
      <c r="C48" s="206" t="s">
        <v>304</v>
      </c>
      <c r="D48" s="209" t="s">
        <v>112</v>
      </c>
      <c r="E48" s="353">
        <v>531.29999999999995</v>
      </c>
      <c r="F48" s="467">
        <v>0</v>
      </c>
      <c r="G48" s="352">
        <f t="shared" si="2"/>
        <v>0</v>
      </c>
      <c r="I48" s="133"/>
    </row>
    <row r="49" spans="2:9" ht="24" x14ac:dyDescent="0.2">
      <c r="B49" s="131">
        <v>8</v>
      </c>
      <c r="C49" s="206" t="s">
        <v>119</v>
      </c>
      <c r="D49" s="209" t="s">
        <v>112</v>
      </c>
      <c r="E49" s="353">
        <v>2302.3000000000002</v>
      </c>
      <c r="F49" s="467">
        <v>0</v>
      </c>
      <c r="G49" s="352">
        <f t="shared" si="2"/>
        <v>0</v>
      </c>
      <c r="I49" s="134"/>
    </row>
    <row r="50" spans="2:9" ht="40.5" customHeight="1" x14ac:dyDescent="0.2">
      <c r="B50" s="131">
        <v>9</v>
      </c>
      <c r="C50" s="208" t="s">
        <v>120</v>
      </c>
      <c r="D50" s="209" t="s">
        <v>112</v>
      </c>
      <c r="E50" s="353">
        <v>566.71999999999957</v>
      </c>
      <c r="F50" s="467">
        <v>0</v>
      </c>
      <c r="G50" s="352">
        <f t="shared" si="2"/>
        <v>0</v>
      </c>
    </row>
    <row r="51" spans="2:9" s="130" customFormat="1" ht="39" customHeight="1" x14ac:dyDescent="0.2">
      <c r="B51" s="131">
        <v>10</v>
      </c>
      <c r="C51" s="314" t="s">
        <v>121</v>
      </c>
      <c r="D51" s="210" t="s">
        <v>112</v>
      </c>
      <c r="E51" s="353">
        <v>850.07999999999993</v>
      </c>
      <c r="F51" s="467">
        <v>0</v>
      </c>
      <c r="G51" s="352">
        <f t="shared" si="2"/>
        <v>0</v>
      </c>
      <c r="H51" s="565"/>
    </row>
    <row r="52" spans="2:9" s="147" customFormat="1" ht="54" customHeight="1" x14ac:dyDescent="0.25">
      <c r="B52" s="3187">
        <v>11</v>
      </c>
      <c r="C52" s="308" t="s">
        <v>122</v>
      </c>
      <c r="D52" s="210"/>
      <c r="E52" s="353">
        <v>0</v>
      </c>
      <c r="F52" s="467"/>
      <c r="G52" s="352"/>
      <c r="H52" s="572"/>
    </row>
    <row r="53" spans="2:9" s="147" customFormat="1" ht="15" customHeight="1" x14ac:dyDescent="0.25">
      <c r="B53" s="3188"/>
      <c r="C53" s="308" t="s">
        <v>124</v>
      </c>
      <c r="D53" s="207" t="s">
        <v>95</v>
      </c>
      <c r="E53" s="353">
        <v>20</v>
      </c>
      <c r="F53" s="467">
        <v>0</v>
      </c>
      <c r="G53" s="352">
        <f t="shared" si="2"/>
        <v>0</v>
      </c>
      <c r="H53" s="572"/>
    </row>
    <row r="54" spans="2:9" s="147" customFormat="1" ht="15" customHeight="1" x14ac:dyDescent="0.25">
      <c r="B54" s="3189"/>
      <c r="C54" s="308" t="s">
        <v>305</v>
      </c>
      <c r="D54" s="207" t="s">
        <v>95</v>
      </c>
      <c r="E54" s="353">
        <v>10</v>
      </c>
      <c r="F54" s="467">
        <v>0</v>
      </c>
      <c r="G54" s="352">
        <f t="shared" si="2"/>
        <v>0</v>
      </c>
      <c r="H54" s="572"/>
    </row>
    <row r="55" spans="2:9" ht="25.5" customHeight="1" x14ac:dyDescent="0.2">
      <c r="B55" s="131">
        <v>12</v>
      </c>
      <c r="C55" s="206" t="s">
        <v>125</v>
      </c>
      <c r="D55" s="209" t="s">
        <v>95</v>
      </c>
      <c r="E55" s="353">
        <v>170</v>
      </c>
      <c r="F55" s="467">
        <v>0</v>
      </c>
      <c r="G55" s="352">
        <f t="shared" si="2"/>
        <v>0</v>
      </c>
      <c r="H55" s="571"/>
    </row>
    <row r="56" spans="2:9" ht="16.5" customHeight="1" x14ac:dyDescent="0.2">
      <c r="B56" s="131">
        <v>13</v>
      </c>
      <c r="C56" s="206" t="s">
        <v>126</v>
      </c>
      <c r="D56" s="207" t="s">
        <v>117</v>
      </c>
      <c r="E56" s="353">
        <v>204</v>
      </c>
      <c r="F56" s="467">
        <v>0</v>
      </c>
      <c r="G56" s="352">
        <f t="shared" si="2"/>
        <v>0</v>
      </c>
      <c r="H56" s="571"/>
    </row>
    <row r="57" spans="2:9" ht="41.25" customHeight="1" x14ac:dyDescent="0.2">
      <c r="B57" s="131">
        <v>14</v>
      </c>
      <c r="C57" s="206" t="s">
        <v>127</v>
      </c>
      <c r="D57" s="207" t="s">
        <v>117</v>
      </c>
      <c r="E57" s="353">
        <v>204</v>
      </c>
      <c r="F57" s="467">
        <v>0</v>
      </c>
      <c r="G57" s="352">
        <f t="shared" si="2"/>
        <v>0</v>
      </c>
      <c r="H57" s="571"/>
    </row>
    <row r="58" spans="2:9" ht="51.75" customHeight="1" x14ac:dyDescent="0.2">
      <c r="B58" s="312" t="s">
        <v>306</v>
      </c>
      <c r="C58" s="208" t="s">
        <v>307</v>
      </c>
      <c r="D58" s="209" t="s">
        <v>117</v>
      </c>
      <c r="E58" s="353">
        <v>204</v>
      </c>
      <c r="F58" s="467">
        <v>0</v>
      </c>
      <c r="G58" s="352">
        <f t="shared" si="2"/>
        <v>0</v>
      </c>
      <c r="H58" s="571"/>
    </row>
    <row r="59" spans="2:9" ht="64.5" customHeight="1" x14ac:dyDescent="0.2">
      <c r="B59" s="312" t="s">
        <v>130</v>
      </c>
      <c r="C59" s="208" t="s">
        <v>131</v>
      </c>
      <c r="D59" s="209" t="s">
        <v>117</v>
      </c>
      <c r="E59" s="353">
        <v>285.60000000000002</v>
      </c>
      <c r="F59" s="467">
        <v>0</v>
      </c>
      <c r="G59" s="352">
        <f>E59*F59</f>
        <v>0</v>
      </c>
      <c r="H59" s="571"/>
    </row>
    <row r="60" spans="2:9" ht="38.25" customHeight="1" x14ac:dyDescent="0.2">
      <c r="B60" s="131">
        <v>16</v>
      </c>
      <c r="C60" s="206" t="s">
        <v>132</v>
      </c>
      <c r="D60" s="207" t="s">
        <v>117</v>
      </c>
      <c r="E60" s="353">
        <v>81.599999999999994</v>
      </c>
      <c r="F60" s="467">
        <v>0</v>
      </c>
      <c r="G60" s="352">
        <f t="shared" si="2"/>
        <v>0</v>
      </c>
    </row>
    <row r="61" spans="2:9" ht="14.25" customHeight="1" x14ac:dyDescent="0.2">
      <c r="B61" s="131">
        <v>17</v>
      </c>
      <c r="C61" s="206" t="s">
        <v>133</v>
      </c>
      <c r="D61" s="209" t="s">
        <v>112</v>
      </c>
      <c r="E61" s="353">
        <v>199</v>
      </c>
      <c r="F61" s="467">
        <v>0</v>
      </c>
      <c r="G61" s="352">
        <f t="shared" si="2"/>
        <v>0</v>
      </c>
      <c r="I61" s="134"/>
    </row>
    <row r="62" spans="2:9" ht="14.25" customHeight="1" x14ac:dyDescent="0.2">
      <c r="B62" s="131">
        <v>18</v>
      </c>
      <c r="C62" s="206" t="s">
        <v>134</v>
      </c>
      <c r="D62" s="209" t="s">
        <v>112</v>
      </c>
      <c r="E62" s="353">
        <v>2019.5879999999997</v>
      </c>
      <c r="F62" s="467">
        <v>0</v>
      </c>
      <c r="G62" s="352">
        <f t="shared" si="2"/>
        <v>0</v>
      </c>
    </row>
    <row r="63" spans="2:9" ht="15.75" customHeight="1" x14ac:dyDescent="0.2">
      <c r="B63" s="131">
        <v>19</v>
      </c>
      <c r="C63" s="206" t="s">
        <v>135</v>
      </c>
      <c r="D63" s="209" t="s">
        <v>112</v>
      </c>
      <c r="E63" s="353">
        <v>2019.5879999999997</v>
      </c>
      <c r="F63" s="467">
        <v>0</v>
      </c>
      <c r="G63" s="352">
        <f t="shared" si="2"/>
        <v>0</v>
      </c>
    </row>
    <row r="64" spans="2:9" ht="27.75" customHeight="1" x14ac:dyDescent="0.2">
      <c r="B64" s="131">
        <v>20</v>
      </c>
      <c r="C64" s="206" t="s">
        <v>136</v>
      </c>
      <c r="D64" s="209" t="s">
        <v>117</v>
      </c>
      <c r="E64" s="353">
        <v>40.800000000000004</v>
      </c>
      <c r="F64" s="467">
        <v>0</v>
      </c>
      <c r="G64" s="352">
        <f t="shared" si="2"/>
        <v>0</v>
      </c>
    </row>
    <row r="65" spans="2:8" ht="30" customHeight="1" x14ac:dyDescent="0.2">
      <c r="B65" s="131">
        <v>21</v>
      </c>
      <c r="C65" s="206" t="s">
        <v>138</v>
      </c>
      <c r="D65" s="207" t="s">
        <v>117</v>
      </c>
      <c r="E65" s="353">
        <v>1328.25</v>
      </c>
      <c r="F65" s="467">
        <v>0</v>
      </c>
      <c r="G65" s="352">
        <f t="shared" si="2"/>
        <v>0</v>
      </c>
    </row>
    <row r="66" spans="2:8" s="130" customFormat="1" ht="51.75" customHeight="1" x14ac:dyDescent="0.2">
      <c r="B66" s="3187">
        <v>22</v>
      </c>
      <c r="C66" s="408" t="s">
        <v>139</v>
      </c>
      <c r="D66" s="221"/>
      <c r="E66" s="353"/>
      <c r="F66" s="467"/>
      <c r="G66" s="352"/>
      <c r="H66" s="565"/>
    </row>
    <row r="67" spans="2:8" s="130" customFormat="1" x14ac:dyDescent="0.2">
      <c r="B67" s="3188"/>
      <c r="C67" s="291" t="s">
        <v>308</v>
      </c>
      <c r="D67" s="221" t="s">
        <v>95</v>
      </c>
      <c r="E67" s="353">
        <v>9</v>
      </c>
      <c r="F67" s="467">
        <v>0</v>
      </c>
      <c r="G67" s="352">
        <f t="shared" si="2"/>
        <v>0</v>
      </c>
      <c r="H67" s="565"/>
    </row>
    <row r="68" spans="2:8" ht="39.75" customHeight="1" x14ac:dyDescent="0.2">
      <c r="B68" s="3187">
        <v>23</v>
      </c>
      <c r="C68" s="409" t="s">
        <v>309</v>
      </c>
      <c r="D68" s="207"/>
      <c r="E68" s="353"/>
      <c r="F68" s="467"/>
      <c r="G68" s="352"/>
    </row>
    <row r="69" spans="2:8" s="130" customFormat="1" x14ac:dyDescent="0.2">
      <c r="B69" s="3188"/>
      <c r="C69" s="291" t="s">
        <v>310</v>
      </c>
      <c r="D69" s="221" t="s">
        <v>95</v>
      </c>
      <c r="E69" s="353">
        <v>25</v>
      </c>
      <c r="F69" s="467">
        <v>0</v>
      </c>
      <c r="G69" s="352">
        <f t="shared" ref="G69" si="3">E69*F69</f>
        <v>0</v>
      </c>
      <c r="H69" s="565"/>
    </row>
    <row r="70" spans="2:8" ht="39.75" customHeight="1" x14ac:dyDescent="0.2">
      <c r="B70" s="131">
        <v>24</v>
      </c>
      <c r="C70" s="409" t="s">
        <v>142</v>
      </c>
      <c r="D70" s="207" t="s">
        <v>117</v>
      </c>
      <c r="E70" s="353">
        <v>10</v>
      </c>
      <c r="F70" s="467">
        <v>0</v>
      </c>
      <c r="G70" s="352">
        <f t="shared" si="2"/>
        <v>0</v>
      </c>
    </row>
    <row r="71" spans="2:8" ht="25.5" customHeight="1" x14ac:dyDescent="0.2">
      <c r="B71" s="312"/>
      <c r="C71" s="409" t="s">
        <v>311</v>
      </c>
      <c r="D71" s="207" t="s">
        <v>123</v>
      </c>
      <c r="E71" s="353">
        <v>20</v>
      </c>
      <c r="F71" s="467">
        <v>0</v>
      </c>
      <c r="G71" s="352">
        <f t="shared" si="2"/>
        <v>0</v>
      </c>
      <c r="H71" s="571"/>
    </row>
    <row r="72" spans="2:8" ht="25.5" customHeight="1" x14ac:dyDescent="0.2">
      <c r="B72" s="312"/>
      <c r="C72" s="409" t="s">
        <v>312</v>
      </c>
      <c r="D72" s="207" t="s">
        <v>123</v>
      </c>
      <c r="E72" s="353">
        <v>20</v>
      </c>
      <c r="F72" s="467">
        <v>0</v>
      </c>
      <c r="G72" s="352">
        <f t="shared" si="2"/>
        <v>0</v>
      </c>
      <c r="H72" s="571"/>
    </row>
    <row r="73" spans="2:8" ht="162.75" customHeight="1" x14ac:dyDescent="0.2">
      <c r="B73" s="131">
        <v>29</v>
      </c>
      <c r="C73" s="410" t="s">
        <v>150</v>
      </c>
      <c r="D73" s="222" t="s">
        <v>149</v>
      </c>
      <c r="E73" s="472">
        <v>2</v>
      </c>
      <c r="F73" s="467">
        <v>0</v>
      </c>
      <c r="G73" s="352">
        <f t="shared" si="2"/>
        <v>0</v>
      </c>
    </row>
    <row r="74" spans="2:8" ht="29.25" customHeight="1" x14ac:dyDescent="0.2">
      <c r="B74" s="411">
        <v>30</v>
      </c>
      <c r="C74" s="410" t="s">
        <v>151</v>
      </c>
      <c r="D74" s="222" t="s">
        <v>112</v>
      </c>
      <c r="E74" s="472">
        <v>7</v>
      </c>
      <c r="F74" s="467">
        <v>0</v>
      </c>
      <c r="G74" s="352">
        <f t="shared" si="2"/>
        <v>0</v>
      </c>
    </row>
    <row r="75" spans="2:8" ht="36.75" customHeight="1" x14ac:dyDescent="0.2">
      <c r="B75" s="131">
        <v>31</v>
      </c>
      <c r="C75" s="223" t="s">
        <v>152</v>
      </c>
      <c r="D75" s="222" t="s">
        <v>149</v>
      </c>
      <c r="E75" s="472">
        <v>9</v>
      </c>
      <c r="F75" s="467">
        <v>0</v>
      </c>
      <c r="G75" s="352">
        <f t="shared" si="2"/>
        <v>0</v>
      </c>
    </row>
    <row r="76" spans="2:8" ht="30" customHeight="1" x14ac:dyDescent="0.2">
      <c r="B76" s="411">
        <v>32</v>
      </c>
      <c r="C76" s="223" t="s">
        <v>153</v>
      </c>
      <c r="D76" s="222" t="s">
        <v>112</v>
      </c>
      <c r="E76" s="472">
        <v>3</v>
      </c>
      <c r="F76" s="467">
        <v>0</v>
      </c>
      <c r="G76" s="352">
        <f t="shared" si="2"/>
        <v>0</v>
      </c>
    </row>
    <row r="77" spans="2:8" ht="28.5" customHeight="1" x14ac:dyDescent="0.2">
      <c r="B77" s="131">
        <v>33</v>
      </c>
      <c r="C77" s="223" t="s">
        <v>155</v>
      </c>
      <c r="D77" s="222" t="s">
        <v>156</v>
      </c>
      <c r="E77" s="472">
        <v>60</v>
      </c>
      <c r="F77" s="467">
        <v>0</v>
      </c>
      <c r="G77" s="352">
        <f t="shared" si="2"/>
        <v>0</v>
      </c>
    </row>
    <row r="78" spans="2:8" s="147" customFormat="1" ht="21.75" customHeight="1" x14ac:dyDescent="0.25">
      <c r="B78" s="327" t="s">
        <v>12</v>
      </c>
      <c r="C78" s="214" t="s">
        <v>157</v>
      </c>
      <c r="D78" s="224"/>
      <c r="E78" s="215"/>
      <c r="F78" s="216"/>
      <c r="G78" s="290">
        <f>SUM(G42:G77)</f>
        <v>0</v>
      </c>
      <c r="H78" s="150"/>
    </row>
    <row r="79" spans="2:8" x14ac:dyDescent="0.2">
      <c r="B79" s="129"/>
      <c r="C79" s="197"/>
      <c r="D79" s="198"/>
      <c r="E79" s="353"/>
      <c r="F79" s="358"/>
      <c r="G79" s="350"/>
    </row>
    <row r="80" spans="2:8"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225" t="s">
        <v>162</v>
      </c>
      <c r="D90" s="226"/>
      <c r="E90" s="353"/>
      <c r="F90" s="358"/>
      <c r="G90" s="350"/>
    </row>
    <row r="91" spans="1:9" s="147" customFormat="1" ht="18.75" customHeight="1" x14ac:dyDescent="0.25">
      <c r="B91" s="148"/>
      <c r="C91" s="149" t="s">
        <v>313</v>
      </c>
      <c r="D91" s="226" t="s">
        <v>95</v>
      </c>
      <c r="E91" s="353">
        <v>531.29999999999995</v>
      </c>
      <c r="F91" s="467">
        <v>0</v>
      </c>
      <c r="G91" s="352">
        <f t="shared" ref="G91:G93" si="4">E91*F91</f>
        <v>0</v>
      </c>
      <c r="H91" s="150"/>
    </row>
    <row r="92" spans="1:9" s="147" customFormat="1" ht="18.75" customHeight="1" x14ac:dyDescent="0.25">
      <c r="B92" s="148"/>
      <c r="C92" s="149" t="s">
        <v>314</v>
      </c>
      <c r="D92" s="226" t="s">
        <v>95</v>
      </c>
      <c r="E92" s="353">
        <v>1239.6999999999998</v>
      </c>
      <c r="F92" s="467">
        <v>0</v>
      </c>
      <c r="G92" s="352">
        <f t="shared" si="4"/>
        <v>0</v>
      </c>
      <c r="H92" s="150"/>
      <c r="I92" s="490"/>
    </row>
    <row r="93" spans="1:9" ht="40.5" customHeight="1" x14ac:dyDescent="0.2">
      <c r="B93" s="154">
        <v>2</v>
      </c>
      <c r="C93" s="227" t="s">
        <v>172</v>
      </c>
      <c r="D93" s="209" t="s">
        <v>95</v>
      </c>
      <c r="E93" s="348">
        <v>1771</v>
      </c>
      <c r="F93" s="467">
        <v>0</v>
      </c>
      <c r="G93" s="352">
        <f t="shared" si="4"/>
        <v>0</v>
      </c>
    </row>
    <row r="94" spans="1:9" ht="41.25" customHeight="1" x14ac:dyDescent="0.2">
      <c r="B94" s="309" t="s">
        <v>173</v>
      </c>
      <c r="C94" s="227" t="s">
        <v>174</v>
      </c>
      <c r="D94" s="209" t="s">
        <v>95</v>
      </c>
      <c r="E94" s="348">
        <v>1771</v>
      </c>
      <c r="F94" s="467">
        <v>0</v>
      </c>
      <c r="G94" s="352">
        <f>E94*F94</f>
        <v>0</v>
      </c>
    </row>
    <row r="95" spans="1:9" ht="27" customHeight="1" x14ac:dyDescent="0.2">
      <c r="B95" s="309" t="s">
        <v>175</v>
      </c>
      <c r="C95" s="227" t="s">
        <v>176</v>
      </c>
      <c r="D95" s="209" t="s">
        <v>95</v>
      </c>
      <c r="E95" s="348">
        <v>1771</v>
      </c>
      <c r="F95" s="467">
        <v>0</v>
      </c>
      <c r="G95" s="352">
        <f>E95*F95</f>
        <v>0</v>
      </c>
    </row>
    <row r="96" spans="1:9" ht="39" customHeight="1" x14ac:dyDescent="0.2">
      <c r="B96" s="309" t="s">
        <v>177</v>
      </c>
      <c r="C96" s="227" t="s">
        <v>178</v>
      </c>
      <c r="D96" s="209" t="s">
        <v>95</v>
      </c>
      <c r="E96" s="348">
        <v>1771</v>
      </c>
      <c r="F96" s="467">
        <v>0</v>
      </c>
      <c r="G96" s="352">
        <f>E96*F96</f>
        <v>0</v>
      </c>
    </row>
    <row r="97" spans="2:8" ht="27.75" customHeight="1" x14ac:dyDescent="0.2">
      <c r="B97" s="153">
        <v>3</v>
      </c>
      <c r="C97" s="229" t="s">
        <v>179</v>
      </c>
      <c r="D97" s="198"/>
      <c r="E97" s="353"/>
      <c r="F97" s="353"/>
      <c r="G97" s="350"/>
    </row>
    <row r="98" spans="2:8" x14ac:dyDescent="0.2">
      <c r="B98" s="292" t="s">
        <v>180</v>
      </c>
      <c r="C98" s="230" t="s">
        <v>181</v>
      </c>
      <c r="D98" s="231"/>
      <c r="E98" s="232"/>
      <c r="F98" s="233"/>
      <c r="G98" s="234"/>
    </row>
    <row r="99" spans="2:8" x14ac:dyDescent="0.2">
      <c r="B99" s="129"/>
      <c r="C99" s="230" t="s">
        <v>315</v>
      </c>
      <c r="D99" s="231"/>
      <c r="E99" s="232"/>
      <c r="F99" s="233"/>
      <c r="G99" s="234"/>
    </row>
    <row r="100" spans="2:8" ht="18" customHeight="1" x14ac:dyDescent="0.2">
      <c r="B100" s="129"/>
      <c r="C100" s="237" t="s">
        <v>316</v>
      </c>
      <c r="D100" s="236" t="s">
        <v>149</v>
      </c>
      <c r="E100" s="232">
        <v>4</v>
      </c>
      <c r="F100" s="271">
        <v>0</v>
      </c>
      <c r="G100" s="272">
        <f t="shared" ref="G100:G104" si="5">E100*F100</f>
        <v>0</v>
      </c>
    </row>
    <row r="101" spans="2:8" ht="18" customHeight="1" x14ac:dyDescent="0.2">
      <c r="B101" s="129"/>
      <c r="C101" s="237" t="s">
        <v>317</v>
      </c>
      <c r="D101" s="236" t="s">
        <v>149</v>
      </c>
      <c r="E101" s="232">
        <v>2</v>
      </c>
      <c r="F101" s="271">
        <v>0</v>
      </c>
      <c r="G101" s="272">
        <f t="shared" si="5"/>
        <v>0</v>
      </c>
    </row>
    <row r="102" spans="2:8" ht="18" customHeight="1" x14ac:dyDescent="0.2">
      <c r="B102" s="129"/>
      <c r="C102" s="237" t="s">
        <v>318</v>
      </c>
      <c r="D102" s="236" t="s">
        <v>149</v>
      </c>
      <c r="E102" s="232">
        <v>2</v>
      </c>
      <c r="F102" s="271">
        <v>0</v>
      </c>
      <c r="G102" s="272">
        <f t="shared" si="5"/>
        <v>0</v>
      </c>
    </row>
    <row r="103" spans="2:8" ht="18" customHeight="1" x14ac:dyDescent="0.2">
      <c r="B103" s="129"/>
      <c r="C103" s="237" t="s">
        <v>319</v>
      </c>
      <c r="D103" s="236" t="s">
        <v>149</v>
      </c>
      <c r="E103" s="232">
        <v>1</v>
      </c>
      <c r="F103" s="271">
        <v>0</v>
      </c>
      <c r="G103" s="272">
        <f t="shared" si="5"/>
        <v>0</v>
      </c>
    </row>
    <row r="104" spans="2:8" s="147" customFormat="1" ht="18" customHeight="1" x14ac:dyDescent="0.25">
      <c r="B104" s="152"/>
      <c r="C104" s="235" t="s">
        <v>320</v>
      </c>
      <c r="D104" s="236" t="s">
        <v>149</v>
      </c>
      <c r="E104" s="232">
        <v>18</v>
      </c>
      <c r="F104" s="271">
        <v>0</v>
      </c>
      <c r="G104" s="272">
        <f t="shared" si="5"/>
        <v>0</v>
      </c>
      <c r="H104" s="150"/>
    </row>
    <row r="105" spans="2:8" s="136" customFormat="1" x14ac:dyDescent="0.2">
      <c r="B105" s="292" t="s">
        <v>188</v>
      </c>
      <c r="C105" s="238" t="s">
        <v>189</v>
      </c>
      <c r="D105" s="239"/>
      <c r="E105" s="240"/>
      <c r="F105" s="241">
        <v>0</v>
      </c>
      <c r="G105" s="242"/>
      <c r="H105" s="565"/>
    </row>
    <row r="106" spans="2:8" s="136" customFormat="1" x14ac:dyDescent="0.2">
      <c r="B106" s="135"/>
      <c r="C106" s="238" t="s">
        <v>321</v>
      </c>
      <c r="D106" s="476"/>
      <c r="E106" s="477"/>
      <c r="F106" s="478"/>
      <c r="G106" s="479"/>
      <c r="H106" s="565"/>
    </row>
    <row r="107" spans="2:8" s="136" customFormat="1" x14ac:dyDescent="0.2">
      <c r="B107" s="135"/>
      <c r="C107" s="243" t="s">
        <v>322</v>
      </c>
      <c r="D107" s="239" t="s">
        <v>149</v>
      </c>
      <c r="E107" s="240">
        <v>2</v>
      </c>
      <c r="F107" s="273">
        <v>0</v>
      </c>
      <c r="G107" s="274">
        <f t="shared" ref="G107:G113" si="6">E107*F107</f>
        <v>0</v>
      </c>
      <c r="H107" s="565"/>
    </row>
    <row r="108" spans="2:8" s="136" customFormat="1" ht="38.25" customHeight="1" x14ac:dyDescent="0.2">
      <c r="B108" s="135"/>
      <c r="C108" s="244" t="s">
        <v>285</v>
      </c>
      <c r="D108" s="239" t="s">
        <v>149</v>
      </c>
      <c r="E108" s="240">
        <v>2</v>
      </c>
      <c r="F108" s="273">
        <v>0</v>
      </c>
      <c r="G108" s="274">
        <f t="shared" si="6"/>
        <v>0</v>
      </c>
      <c r="H108" s="565"/>
    </row>
    <row r="109" spans="2:8" s="136" customFormat="1" x14ac:dyDescent="0.2">
      <c r="B109" s="135"/>
      <c r="C109" s="244" t="s">
        <v>193</v>
      </c>
      <c r="D109" s="239" t="s">
        <v>149</v>
      </c>
      <c r="E109" s="240">
        <v>2</v>
      </c>
      <c r="F109" s="273">
        <v>0</v>
      </c>
      <c r="G109" s="274">
        <f t="shared" si="6"/>
        <v>0</v>
      </c>
      <c r="H109" s="565"/>
    </row>
    <row r="110" spans="2:8" s="136" customFormat="1" x14ac:dyDescent="0.2">
      <c r="B110" s="135"/>
      <c r="C110" s="244" t="s">
        <v>194</v>
      </c>
      <c r="D110" s="239" t="s">
        <v>149</v>
      </c>
      <c r="E110" s="240">
        <v>2</v>
      </c>
      <c r="F110" s="273">
        <v>0</v>
      </c>
      <c r="G110" s="274">
        <f t="shared" si="6"/>
        <v>0</v>
      </c>
      <c r="H110" s="565"/>
    </row>
    <row r="111" spans="2:8" s="136" customFormat="1" x14ac:dyDescent="0.2">
      <c r="B111" s="135"/>
      <c r="C111" s="245" t="s">
        <v>323</v>
      </c>
      <c r="D111" s="239" t="s">
        <v>149</v>
      </c>
      <c r="E111" s="240">
        <v>4</v>
      </c>
      <c r="F111" s="273">
        <v>0</v>
      </c>
      <c r="G111" s="274">
        <f t="shared" si="6"/>
        <v>0</v>
      </c>
      <c r="H111" s="565"/>
    </row>
    <row r="112" spans="2:8" s="136" customFormat="1" x14ac:dyDescent="0.2">
      <c r="B112" s="135"/>
      <c r="C112" s="245" t="s">
        <v>197</v>
      </c>
      <c r="D112" s="239" t="s">
        <v>149</v>
      </c>
      <c r="E112" s="240">
        <v>2</v>
      </c>
      <c r="F112" s="273">
        <v>0</v>
      </c>
      <c r="G112" s="274">
        <f t="shared" si="6"/>
        <v>0</v>
      </c>
      <c r="H112" s="565"/>
    </row>
    <row r="113" spans="2:8" s="136" customFormat="1" x14ac:dyDescent="0.2">
      <c r="B113" s="135"/>
      <c r="C113" s="246" t="s">
        <v>198</v>
      </c>
      <c r="D113" s="239" t="s">
        <v>149</v>
      </c>
      <c r="E113" s="240">
        <v>2</v>
      </c>
      <c r="F113" s="273">
        <v>0</v>
      </c>
      <c r="G113" s="274">
        <f t="shared" si="6"/>
        <v>0</v>
      </c>
      <c r="H113" s="565"/>
    </row>
    <row r="114" spans="2:8" s="136" customFormat="1" x14ac:dyDescent="0.2">
      <c r="B114" s="292" t="s">
        <v>204</v>
      </c>
      <c r="C114" s="253" t="s">
        <v>205</v>
      </c>
      <c r="D114" s="254"/>
      <c r="E114" s="255"/>
      <c r="F114" s="256"/>
      <c r="G114" s="257"/>
      <c r="H114" s="565"/>
    </row>
    <row r="115" spans="2:8" s="136" customFormat="1" x14ac:dyDescent="0.2">
      <c r="B115" s="135"/>
      <c r="C115" s="253" t="s">
        <v>324</v>
      </c>
      <c r="D115" s="482"/>
      <c r="E115" s="483"/>
      <c r="F115" s="484"/>
      <c r="G115" s="485"/>
      <c r="H115" s="565"/>
    </row>
    <row r="116" spans="2:8" s="136" customFormat="1" x14ac:dyDescent="0.2">
      <c r="B116" s="135"/>
      <c r="C116" s="258" t="s">
        <v>325</v>
      </c>
      <c r="D116" s="254" t="s">
        <v>149</v>
      </c>
      <c r="E116" s="255">
        <v>1</v>
      </c>
      <c r="F116" s="277">
        <v>0</v>
      </c>
      <c r="G116" s="278">
        <f t="shared" ref="G116:G130" si="7">E116*F116</f>
        <v>0</v>
      </c>
      <c r="H116" s="565"/>
    </row>
    <row r="117" spans="2:8" s="136" customFormat="1" x14ac:dyDescent="0.2">
      <c r="B117" s="135"/>
      <c r="C117" s="258" t="s">
        <v>326</v>
      </c>
      <c r="D117" s="254" t="s">
        <v>149</v>
      </c>
      <c r="E117" s="255">
        <v>2</v>
      </c>
      <c r="F117" s="277">
        <v>0</v>
      </c>
      <c r="G117" s="278">
        <f t="shared" si="7"/>
        <v>0</v>
      </c>
      <c r="H117" s="565"/>
    </row>
    <row r="118" spans="2:8" s="136" customFormat="1" ht="12.75" customHeight="1" x14ac:dyDescent="0.2">
      <c r="B118" s="135"/>
      <c r="C118" s="259" t="s">
        <v>209</v>
      </c>
      <c r="D118" s="254" t="s">
        <v>149</v>
      </c>
      <c r="E118" s="255">
        <v>1</v>
      </c>
      <c r="F118" s="277">
        <v>0</v>
      </c>
      <c r="G118" s="278">
        <f t="shared" si="7"/>
        <v>0</v>
      </c>
      <c r="H118" s="565"/>
    </row>
    <row r="119" spans="2:8" s="136" customFormat="1" x14ac:dyDescent="0.2">
      <c r="B119" s="135"/>
      <c r="C119" s="259" t="s">
        <v>327</v>
      </c>
      <c r="D119" s="254" t="s">
        <v>149</v>
      </c>
      <c r="E119" s="255">
        <v>1</v>
      </c>
      <c r="F119" s="277">
        <v>0</v>
      </c>
      <c r="G119" s="278">
        <f t="shared" si="7"/>
        <v>0</v>
      </c>
      <c r="H119" s="565"/>
    </row>
    <row r="120" spans="2:8" s="136" customFormat="1" x14ac:dyDescent="0.2">
      <c r="B120" s="135"/>
      <c r="C120" s="259" t="s">
        <v>211</v>
      </c>
      <c r="D120" s="254" t="s">
        <v>149</v>
      </c>
      <c r="E120" s="255">
        <v>1</v>
      </c>
      <c r="F120" s="277">
        <v>0</v>
      </c>
      <c r="G120" s="278">
        <f t="shared" si="7"/>
        <v>0</v>
      </c>
      <c r="H120" s="565"/>
    </row>
    <row r="121" spans="2:8" s="136" customFormat="1" x14ac:dyDescent="0.2">
      <c r="B121" s="135"/>
      <c r="C121" s="259" t="s">
        <v>328</v>
      </c>
      <c r="D121" s="254" t="s">
        <v>149</v>
      </c>
      <c r="E121" s="255">
        <v>1</v>
      </c>
      <c r="F121" s="277">
        <v>0</v>
      </c>
      <c r="G121" s="278">
        <f t="shared" si="7"/>
        <v>0</v>
      </c>
      <c r="H121" s="565"/>
    </row>
    <row r="122" spans="2:8" s="136" customFormat="1" x14ac:dyDescent="0.2">
      <c r="B122" s="135"/>
      <c r="C122" s="259" t="s">
        <v>213</v>
      </c>
      <c r="D122" s="254" t="s">
        <v>149</v>
      </c>
      <c r="E122" s="255">
        <v>1</v>
      </c>
      <c r="F122" s="277">
        <v>0</v>
      </c>
      <c r="G122" s="278">
        <f t="shared" si="7"/>
        <v>0</v>
      </c>
      <c r="H122" s="565"/>
    </row>
    <row r="123" spans="2:8" s="136" customFormat="1" x14ac:dyDescent="0.2">
      <c r="B123" s="135"/>
      <c r="C123" s="259" t="s">
        <v>224</v>
      </c>
      <c r="D123" s="254" t="s">
        <v>149</v>
      </c>
      <c r="E123" s="255">
        <v>1</v>
      </c>
      <c r="F123" s="277">
        <v>0</v>
      </c>
      <c r="G123" s="278">
        <f t="shared" si="7"/>
        <v>0</v>
      </c>
      <c r="H123" s="565"/>
    </row>
    <row r="124" spans="2:8" s="136" customFormat="1" x14ac:dyDescent="0.2">
      <c r="B124" s="135"/>
      <c r="C124" s="259" t="s">
        <v>215</v>
      </c>
      <c r="D124" s="254" t="s">
        <v>149</v>
      </c>
      <c r="E124" s="255">
        <v>1</v>
      </c>
      <c r="F124" s="277">
        <v>0</v>
      </c>
      <c r="G124" s="278">
        <f t="shared" si="7"/>
        <v>0</v>
      </c>
      <c r="H124" s="565"/>
    </row>
    <row r="125" spans="2:8" s="136" customFormat="1" x14ac:dyDescent="0.2">
      <c r="B125" s="135"/>
      <c r="C125" s="260" t="s">
        <v>216</v>
      </c>
      <c r="D125" s="254" t="s">
        <v>149</v>
      </c>
      <c r="E125" s="255">
        <v>1</v>
      </c>
      <c r="F125" s="277">
        <v>0</v>
      </c>
      <c r="G125" s="278">
        <f t="shared" si="7"/>
        <v>0</v>
      </c>
      <c r="H125" s="565"/>
    </row>
    <row r="126" spans="2:8" s="136" customFormat="1" x14ac:dyDescent="0.2">
      <c r="B126" s="135"/>
      <c r="C126" s="260" t="s">
        <v>329</v>
      </c>
      <c r="D126" s="254" t="s">
        <v>149</v>
      </c>
      <c r="E126" s="255">
        <v>1</v>
      </c>
      <c r="F126" s="277">
        <v>0</v>
      </c>
      <c r="G126" s="278">
        <f t="shared" si="7"/>
        <v>0</v>
      </c>
      <c r="H126" s="565"/>
    </row>
    <row r="127" spans="2:8" s="136" customFormat="1" x14ac:dyDescent="0.2">
      <c r="B127" s="135"/>
      <c r="C127" s="260" t="s">
        <v>323</v>
      </c>
      <c r="D127" s="254" t="s">
        <v>149</v>
      </c>
      <c r="E127" s="255">
        <v>2</v>
      </c>
      <c r="F127" s="277">
        <v>0</v>
      </c>
      <c r="G127" s="278">
        <f t="shared" si="7"/>
        <v>0</v>
      </c>
      <c r="H127" s="565"/>
    </row>
    <row r="128" spans="2:8" s="136" customFormat="1" x14ac:dyDescent="0.2">
      <c r="B128" s="135"/>
      <c r="C128" s="260" t="s">
        <v>219</v>
      </c>
      <c r="D128" s="254" t="s">
        <v>149</v>
      </c>
      <c r="E128" s="255">
        <v>1</v>
      </c>
      <c r="F128" s="277">
        <v>0</v>
      </c>
      <c r="G128" s="278">
        <f t="shared" si="7"/>
        <v>0</v>
      </c>
      <c r="H128" s="565"/>
    </row>
    <row r="129" spans="2:8" s="136" customFormat="1" x14ac:dyDescent="0.2">
      <c r="B129" s="135"/>
      <c r="C129" s="260" t="s">
        <v>227</v>
      </c>
      <c r="D129" s="254" t="s">
        <v>149</v>
      </c>
      <c r="E129" s="255">
        <v>3</v>
      </c>
      <c r="F129" s="277">
        <v>0</v>
      </c>
      <c r="G129" s="278">
        <f t="shared" si="7"/>
        <v>0</v>
      </c>
      <c r="H129" s="565"/>
    </row>
    <row r="130" spans="2:8" s="136" customFormat="1" x14ac:dyDescent="0.2">
      <c r="B130" s="135"/>
      <c r="C130" s="261" t="s">
        <v>198</v>
      </c>
      <c r="D130" s="254" t="s">
        <v>149</v>
      </c>
      <c r="E130" s="255">
        <v>1</v>
      </c>
      <c r="F130" s="277">
        <v>0</v>
      </c>
      <c r="G130" s="278">
        <f t="shared" si="7"/>
        <v>0</v>
      </c>
      <c r="H130" s="565"/>
    </row>
    <row r="131" spans="2:8" s="136" customFormat="1" x14ac:dyDescent="0.2">
      <c r="B131" s="292" t="s">
        <v>330</v>
      </c>
      <c r="C131" s="247" t="s">
        <v>331</v>
      </c>
      <c r="D131" s="247"/>
      <c r="E131" s="247"/>
      <c r="F131" s="247"/>
      <c r="G131" s="247"/>
      <c r="H131" s="565"/>
    </row>
    <row r="132" spans="2:8" s="136" customFormat="1" x14ac:dyDescent="0.2">
      <c r="B132" s="135"/>
      <c r="C132" s="247" t="s">
        <v>332</v>
      </c>
      <c r="D132" s="214" t="s">
        <v>149</v>
      </c>
      <c r="E132" s="480"/>
      <c r="F132" s="481"/>
      <c r="G132" s="290"/>
      <c r="H132" s="565"/>
    </row>
    <row r="133" spans="2:8" s="136" customFormat="1" ht="24" x14ac:dyDescent="0.2">
      <c r="B133" s="135"/>
      <c r="C133" s="262" t="s">
        <v>333</v>
      </c>
      <c r="D133" s="202" t="s">
        <v>149</v>
      </c>
      <c r="E133" s="248">
        <v>1</v>
      </c>
      <c r="F133" s="275">
        <v>0</v>
      </c>
      <c r="G133" s="276">
        <f t="shared" ref="G133:G136" si="8">E133*F133</f>
        <v>0</v>
      </c>
      <c r="H133" s="565"/>
    </row>
    <row r="134" spans="2:8" s="136" customFormat="1" x14ac:dyDescent="0.2">
      <c r="B134" s="135"/>
      <c r="C134" s="251" t="s">
        <v>323</v>
      </c>
      <c r="D134" s="202" t="s">
        <v>149</v>
      </c>
      <c r="E134" s="248">
        <v>2</v>
      </c>
      <c r="F134" s="275">
        <v>0</v>
      </c>
      <c r="G134" s="276">
        <f t="shared" si="8"/>
        <v>0</v>
      </c>
      <c r="H134" s="565"/>
    </row>
    <row r="135" spans="2:8" s="136" customFormat="1" x14ac:dyDescent="0.2">
      <c r="B135" s="135"/>
      <c r="C135" s="251" t="s">
        <v>227</v>
      </c>
      <c r="D135" s="202" t="s">
        <v>149</v>
      </c>
      <c r="E135" s="248">
        <v>1</v>
      </c>
      <c r="F135" s="275">
        <v>0</v>
      </c>
      <c r="G135" s="276">
        <f t="shared" si="8"/>
        <v>0</v>
      </c>
      <c r="H135" s="565"/>
    </row>
    <row r="136" spans="2:8" s="136" customFormat="1" x14ac:dyDescent="0.2">
      <c r="B136" s="135"/>
      <c r="C136" s="252" t="s">
        <v>198</v>
      </c>
      <c r="D136" s="202" t="s">
        <v>149</v>
      </c>
      <c r="E136" s="248">
        <v>1</v>
      </c>
      <c r="F136" s="275">
        <v>0</v>
      </c>
      <c r="G136" s="276">
        <f t="shared" si="8"/>
        <v>0</v>
      </c>
      <c r="H136" s="565"/>
    </row>
    <row r="137" spans="2:8" s="136" customFormat="1" x14ac:dyDescent="0.2">
      <c r="B137" s="292" t="s">
        <v>230</v>
      </c>
      <c r="C137" s="253" t="s">
        <v>231</v>
      </c>
      <c r="D137" s="254"/>
      <c r="E137" s="255"/>
      <c r="F137" s="256"/>
      <c r="G137" s="257"/>
      <c r="H137" s="565"/>
    </row>
    <row r="138" spans="2:8" s="136" customFormat="1" x14ac:dyDescent="0.2">
      <c r="B138" s="135"/>
      <c r="C138" s="253" t="s">
        <v>334</v>
      </c>
      <c r="D138" s="482" t="s">
        <v>149</v>
      </c>
      <c r="E138" s="483"/>
      <c r="F138" s="484"/>
      <c r="G138" s="485"/>
      <c r="H138" s="565"/>
    </row>
    <row r="139" spans="2:8" s="136" customFormat="1" x14ac:dyDescent="0.2">
      <c r="B139" s="135"/>
      <c r="C139" s="258" t="s">
        <v>335</v>
      </c>
      <c r="D139" s="254" t="s">
        <v>149</v>
      </c>
      <c r="E139" s="255">
        <v>1</v>
      </c>
      <c r="F139" s="277">
        <v>0</v>
      </c>
      <c r="G139" s="278">
        <f t="shared" ref="G139:G145" si="9">E139*F139</f>
        <v>0</v>
      </c>
      <c r="H139" s="565"/>
    </row>
    <row r="140" spans="2:8" s="136" customFormat="1" x14ac:dyDescent="0.2">
      <c r="B140" s="135"/>
      <c r="C140" s="259" t="s">
        <v>326</v>
      </c>
      <c r="D140" s="254" t="s">
        <v>149</v>
      </c>
      <c r="E140" s="255">
        <v>1</v>
      </c>
      <c r="F140" s="277">
        <v>0</v>
      </c>
      <c r="G140" s="278">
        <f t="shared" si="9"/>
        <v>0</v>
      </c>
      <c r="H140" s="565"/>
    </row>
    <row r="141" spans="2:8" s="136" customFormat="1" x14ac:dyDescent="0.2">
      <c r="B141" s="135"/>
      <c r="C141" s="260" t="s">
        <v>336</v>
      </c>
      <c r="D141" s="254" t="s">
        <v>149</v>
      </c>
      <c r="E141" s="255">
        <v>2</v>
      </c>
      <c r="F141" s="277">
        <v>0</v>
      </c>
      <c r="G141" s="278">
        <f t="shared" si="9"/>
        <v>0</v>
      </c>
      <c r="H141" s="565"/>
    </row>
    <row r="142" spans="2:8" s="136" customFormat="1" x14ac:dyDescent="0.2">
      <c r="B142" s="135"/>
      <c r="C142" s="260" t="s">
        <v>337</v>
      </c>
      <c r="D142" s="254" t="s">
        <v>149</v>
      </c>
      <c r="E142" s="255">
        <v>2</v>
      </c>
      <c r="F142" s="277"/>
      <c r="G142" s="278"/>
      <c r="H142" s="565"/>
    </row>
    <row r="143" spans="2:8" s="136" customFormat="1" x14ac:dyDescent="0.2">
      <c r="B143" s="135"/>
      <c r="C143" s="260" t="s">
        <v>323</v>
      </c>
      <c r="D143" s="254" t="s">
        <v>149</v>
      </c>
      <c r="E143" s="255">
        <v>1</v>
      </c>
      <c r="F143" s="277">
        <v>0</v>
      </c>
      <c r="G143" s="278">
        <f t="shared" si="9"/>
        <v>0</v>
      </c>
      <c r="H143" s="565"/>
    </row>
    <row r="144" spans="2:8" s="136" customFormat="1" x14ac:dyDescent="0.2">
      <c r="B144" s="135"/>
      <c r="C144" s="260" t="s">
        <v>227</v>
      </c>
      <c r="D144" s="254" t="s">
        <v>149</v>
      </c>
      <c r="E144" s="255">
        <v>1</v>
      </c>
      <c r="F144" s="277">
        <v>0</v>
      </c>
      <c r="G144" s="278">
        <f t="shared" si="9"/>
        <v>0</v>
      </c>
      <c r="H144" s="565"/>
    </row>
    <row r="145" spans="2:8" s="136" customFormat="1" x14ac:dyDescent="0.2">
      <c r="B145" s="135"/>
      <c r="C145" s="261" t="s">
        <v>198</v>
      </c>
      <c r="D145" s="254" t="s">
        <v>149</v>
      </c>
      <c r="E145" s="255">
        <v>1</v>
      </c>
      <c r="F145" s="277">
        <v>0</v>
      </c>
      <c r="G145" s="278">
        <f t="shared" si="9"/>
        <v>0</v>
      </c>
      <c r="H145" s="565"/>
    </row>
    <row r="146" spans="2:8" s="136" customFormat="1" x14ac:dyDescent="0.2">
      <c r="B146" s="292" t="s">
        <v>251</v>
      </c>
      <c r="C146" s="253" t="s">
        <v>252</v>
      </c>
      <c r="D146" s="254"/>
      <c r="E146" s="255"/>
      <c r="F146" s="256"/>
      <c r="G146" s="257"/>
      <c r="H146" s="565"/>
    </row>
    <row r="147" spans="2:8" s="136" customFormat="1" x14ac:dyDescent="0.2">
      <c r="B147" s="135"/>
      <c r="C147" s="253" t="s">
        <v>338</v>
      </c>
      <c r="D147" s="482" t="s">
        <v>149</v>
      </c>
      <c r="E147" s="483"/>
      <c r="F147" s="484"/>
      <c r="G147" s="485"/>
      <c r="H147" s="565"/>
    </row>
    <row r="148" spans="2:8" s="136" customFormat="1" x14ac:dyDescent="0.2">
      <c r="B148" s="135"/>
      <c r="C148" s="258" t="s">
        <v>339</v>
      </c>
      <c r="D148" s="254" t="s">
        <v>149</v>
      </c>
      <c r="E148" s="255">
        <v>2</v>
      </c>
      <c r="F148" s="277">
        <v>0</v>
      </c>
      <c r="G148" s="278">
        <f t="shared" ref="G148:G166" si="10">E148*F148</f>
        <v>0</v>
      </c>
      <c r="H148" s="571"/>
    </row>
    <row r="149" spans="2:8" s="136" customFormat="1" x14ac:dyDescent="0.2">
      <c r="B149" s="135"/>
      <c r="C149" s="258" t="s">
        <v>340</v>
      </c>
      <c r="D149" s="254" t="s">
        <v>149</v>
      </c>
      <c r="E149" s="255">
        <v>2</v>
      </c>
      <c r="F149" s="277">
        <v>0</v>
      </c>
      <c r="G149" s="278">
        <f t="shared" si="10"/>
        <v>0</v>
      </c>
      <c r="H149" s="571"/>
    </row>
    <row r="150" spans="2:8" s="136" customFormat="1" x14ac:dyDescent="0.2">
      <c r="B150" s="135"/>
      <c r="C150" s="258" t="s">
        <v>341</v>
      </c>
      <c r="D150" s="254" t="s">
        <v>149</v>
      </c>
      <c r="E150" s="255">
        <v>2</v>
      </c>
      <c r="F150" s="277">
        <v>0</v>
      </c>
      <c r="G150" s="278">
        <f t="shared" si="10"/>
        <v>0</v>
      </c>
      <c r="H150" s="571"/>
    </row>
    <row r="151" spans="2:8" s="136" customFormat="1" x14ac:dyDescent="0.2">
      <c r="B151" s="135"/>
      <c r="C151" s="258" t="s">
        <v>342</v>
      </c>
      <c r="D151" s="254" t="s">
        <v>149</v>
      </c>
      <c r="E151" s="255">
        <v>2</v>
      </c>
      <c r="F151" s="277">
        <v>0</v>
      </c>
      <c r="G151" s="278">
        <f t="shared" si="10"/>
        <v>0</v>
      </c>
      <c r="H151" s="571"/>
    </row>
    <row r="152" spans="2:8" s="136" customFormat="1" x14ac:dyDescent="0.2">
      <c r="B152" s="135"/>
      <c r="C152" s="258" t="s">
        <v>343</v>
      </c>
      <c r="D152" s="254" t="s">
        <v>149</v>
      </c>
      <c r="E152" s="255">
        <v>2</v>
      </c>
      <c r="F152" s="277">
        <v>0</v>
      </c>
      <c r="G152" s="278">
        <f t="shared" si="10"/>
        <v>0</v>
      </c>
      <c r="H152" s="571"/>
    </row>
    <row r="153" spans="2:8" s="136" customFormat="1" ht="12.75" customHeight="1" x14ac:dyDescent="0.2">
      <c r="B153" s="135"/>
      <c r="C153" s="258" t="s">
        <v>344</v>
      </c>
      <c r="D153" s="254" t="s">
        <v>149</v>
      </c>
      <c r="E153" s="255">
        <v>2</v>
      </c>
      <c r="F153" s="277">
        <v>0</v>
      </c>
      <c r="G153" s="278">
        <f t="shared" si="10"/>
        <v>0</v>
      </c>
      <c r="H153" s="571"/>
    </row>
    <row r="154" spans="2:8" s="136" customFormat="1" ht="12.75" customHeight="1" x14ac:dyDescent="0.2">
      <c r="B154" s="135"/>
      <c r="C154" s="258" t="s">
        <v>345</v>
      </c>
      <c r="D154" s="254" t="s">
        <v>149</v>
      </c>
      <c r="E154" s="255">
        <v>1</v>
      </c>
      <c r="F154" s="277">
        <v>0</v>
      </c>
      <c r="G154" s="278">
        <f t="shared" si="10"/>
        <v>0</v>
      </c>
      <c r="H154" s="571"/>
    </row>
    <row r="155" spans="2:8" s="136" customFormat="1" ht="12.75" customHeight="1" x14ac:dyDescent="0.2">
      <c r="B155" s="135"/>
      <c r="C155" s="259" t="s">
        <v>346</v>
      </c>
      <c r="D155" s="254" t="s">
        <v>149</v>
      </c>
      <c r="E155" s="255">
        <v>1</v>
      </c>
      <c r="F155" s="277">
        <v>0</v>
      </c>
      <c r="G155" s="278">
        <f t="shared" si="10"/>
        <v>0</v>
      </c>
      <c r="H155" s="571"/>
    </row>
    <row r="156" spans="2:8" s="136" customFormat="1" x14ac:dyDescent="0.2">
      <c r="B156" s="135"/>
      <c r="C156" s="259" t="s">
        <v>347</v>
      </c>
      <c r="D156" s="254" t="s">
        <v>149</v>
      </c>
      <c r="E156" s="255">
        <v>1</v>
      </c>
      <c r="F156" s="277">
        <v>0</v>
      </c>
      <c r="G156" s="278">
        <f t="shared" si="10"/>
        <v>0</v>
      </c>
      <c r="H156" s="571"/>
    </row>
    <row r="157" spans="2:8" s="136" customFormat="1" x14ac:dyDescent="0.2">
      <c r="B157" s="135"/>
      <c r="C157" s="259" t="s">
        <v>348</v>
      </c>
      <c r="D157" s="254" t="s">
        <v>149</v>
      </c>
      <c r="E157" s="255">
        <v>1</v>
      </c>
      <c r="F157" s="277">
        <v>0</v>
      </c>
      <c r="G157" s="278">
        <f t="shared" si="10"/>
        <v>0</v>
      </c>
      <c r="H157" s="571"/>
    </row>
    <row r="158" spans="2:8" s="136" customFormat="1" ht="14.25" customHeight="1" x14ac:dyDescent="0.2">
      <c r="B158" s="135"/>
      <c r="C158" s="259" t="s">
        <v>349</v>
      </c>
      <c r="D158" s="254" t="s">
        <v>149</v>
      </c>
      <c r="E158" s="255">
        <v>1</v>
      </c>
      <c r="F158" s="277">
        <v>0</v>
      </c>
      <c r="G158" s="278">
        <f t="shared" si="10"/>
        <v>0</v>
      </c>
      <c r="H158" s="571"/>
    </row>
    <row r="159" spans="2:8" s="136" customFormat="1" x14ac:dyDescent="0.2">
      <c r="B159" s="135"/>
      <c r="C159" s="259" t="s">
        <v>350</v>
      </c>
      <c r="D159" s="254" t="s">
        <v>149</v>
      </c>
      <c r="E159" s="255">
        <v>1</v>
      </c>
      <c r="F159" s="277">
        <v>0</v>
      </c>
      <c r="G159" s="278">
        <f t="shared" si="10"/>
        <v>0</v>
      </c>
      <c r="H159" s="571"/>
    </row>
    <row r="160" spans="2:8" s="136" customFormat="1" x14ac:dyDescent="0.2">
      <c r="B160" s="135"/>
      <c r="C160" s="414" t="s">
        <v>265</v>
      </c>
      <c r="D160" s="254" t="s">
        <v>149</v>
      </c>
      <c r="E160" s="255">
        <v>1</v>
      </c>
      <c r="F160" s="277">
        <v>0</v>
      </c>
      <c r="G160" s="278">
        <f t="shared" si="10"/>
        <v>0</v>
      </c>
      <c r="H160" s="571"/>
    </row>
    <row r="161" spans="2:8" s="136" customFormat="1" x14ac:dyDescent="0.2">
      <c r="B161" s="135"/>
      <c r="C161" s="414" t="s">
        <v>351</v>
      </c>
      <c r="D161" s="254" t="s">
        <v>149</v>
      </c>
      <c r="E161" s="255">
        <v>1</v>
      </c>
      <c r="F161" s="277">
        <v>0</v>
      </c>
      <c r="G161" s="278">
        <f t="shared" si="10"/>
        <v>0</v>
      </c>
      <c r="H161" s="571"/>
    </row>
    <row r="162" spans="2:8" s="136" customFormat="1" x14ac:dyDescent="0.2">
      <c r="B162" s="135"/>
      <c r="C162" s="258" t="s">
        <v>352</v>
      </c>
      <c r="D162" s="254" t="s">
        <v>149</v>
      </c>
      <c r="E162" s="255">
        <v>1</v>
      </c>
      <c r="F162" s="277">
        <v>0</v>
      </c>
      <c r="G162" s="278">
        <f t="shared" si="10"/>
        <v>0</v>
      </c>
      <c r="H162" s="571"/>
    </row>
    <row r="163" spans="2:8" s="136" customFormat="1" x14ac:dyDescent="0.2">
      <c r="B163" s="135"/>
      <c r="C163" s="414" t="s">
        <v>353</v>
      </c>
      <c r="D163" s="254" t="s">
        <v>149</v>
      </c>
      <c r="E163" s="255">
        <v>2</v>
      </c>
      <c r="F163" s="277">
        <v>0</v>
      </c>
      <c r="G163" s="278">
        <f t="shared" si="10"/>
        <v>0</v>
      </c>
      <c r="H163" s="571"/>
    </row>
    <row r="164" spans="2:8" s="136" customFormat="1" x14ac:dyDescent="0.2">
      <c r="B164" s="135"/>
      <c r="C164" s="414" t="s">
        <v>354</v>
      </c>
      <c r="D164" s="254" t="s">
        <v>149</v>
      </c>
      <c r="E164" s="255">
        <v>4</v>
      </c>
      <c r="F164" s="277">
        <v>0</v>
      </c>
      <c r="G164" s="278">
        <f t="shared" si="10"/>
        <v>0</v>
      </c>
      <c r="H164" s="571"/>
    </row>
    <row r="165" spans="2:8" s="136" customFormat="1" x14ac:dyDescent="0.2">
      <c r="B165" s="135"/>
      <c r="C165" s="414" t="s">
        <v>227</v>
      </c>
      <c r="D165" s="254" t="s">
        <v>149</v>
      </c>
      <c r="E165" s="255">
        <v>2</v>
      </c>
      <c r="F165" s="277">
        <v>0</v>
      </c>
      <c r="G165" s="278">
        <f t="shared" si="10"/>
        <v>0</v>
      </c>
      <c r="H165" s="571"/>
    </row>
    <row r="166" spans="2:8" s="136" customFormat="1" x14ac:dyDescent="0.2">
      <c r="B166" s="135"/>
      <c r="C166" s="415" t="s">
        <v>198</v>
      </c>
      <c r="D166" s="254" t="s">
        <v>149</v>
      </c>
      <c r="E166" s="255">
        <v>1</v>
      </c>
      <c r="F166" s="277">
        <v>0</v>
      </c>
      <c r="G166" s="278">
        <f t="shared" si="10"/>
        <v>0</v>
      </c>
      <c r="H166" s="571"/>
    </row>
    <row r="167" spans="2:8" s="147" customFormat="1" ht="25.5" customHeight="1" x14ac:dyDescent="0.25">
      <c r="B167" s="293" t="s">
        <v>17</v>
      </c>
      <c r="C167" s="294" t="s">
        <v>302</v>
      </c>
      <c r="D167" s="218"/>
      <c r="E167" s="203"/>
      <c r="F167" s="204"/>
      <c r="G167" s="290">
        <f>SUM(G90:G166)</f>
        <v>0</v>
      </c>
      <c r="H167" s="150"/>
    </row>
  </sheetData>
  <mergeCells count="7">
    <mergeCell ref="B89:G89"/>
    <mergeCell ref="B41:G41"/>
    <mergeCell ref="B52:B54"/>
    <mergeCell ref="B66:B67"/>
    <mergeCell ref="B68:B69"/>
    <mergeCell ref="B87:G87"/>
    <mergeCell ref="B88:G88"/>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98A1-503C-406D-AE2D-12400B4B82AB}">
  <sheetPr codeName="Sheet60">
    <tabColor rgb="FF00B0F0"/>
  </sheetPr>
  <dimension ref="A1:J238"/>
  <sheetViews>
    <sheetView topLeftCell="A47" workbookViewId="0">
      <selection activeCell="C64" sqref="C64"/>
    </sheetView>
  </sheetViews>
  <sheetFormatPr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 style="463" customWidth="1"/>
    <col min="8" max="16384" width="9.140625" style="119"/>
  </cols>
  <sheetData>
    <row r="1" spans="1:8" s="121" customFormat="1" ht="24.75" customHeight="1" x14ac:dyDescent="0.2">
      <c r="B1" s="137"/>
      <c r="C1" s="354" t="s">
        <v>59</v>
      </c>
      <c r="D1" s="155"/>
      <c r="E1" s="156"/>
      <c r="F1" s="157"/>
      <c r="G1" s="355" t="s">
        <v>60</v>
      </c>
      <c r="H1" s="122"/>
    </row>
    <row r="3" spans="1:8" s="422" customFormat="1" ht="15.75" x14ac:dyDescent="0.2">
      <c r="B3" s="423" t="s">
        <v>7</v>
      </c>
      <c r="C3" s="354" t="s">
        <v>1054</v>
      </c>
      <c r="D3" s="424"/>
      <c r="E3" s="425"/>
      <c r="F3" s="426"/>
      <c r="G3" s="427"/>
    </row>
    <row r="4" spans="1:8" x14ac:dyDescent="0.2">
      <c r="A4" s="119"/>
      <c r="B4" s="145"/>
      <c r="C4" s="162"/>
      <c r="D4" s="163"/>
      <c r="E4" s="164"/>
      <c r="F4" s="165"/>
      <c r="G4" s="166"/>
    </row>
    <row r="5" spans="1:8" s="422" customFormat="1" ht="15.75" x14ac:dyDescent="0.2">
      <c r="B5" s="423" t="s">
        <v>80</v>
      </c>
      <c r="C5" s="354" t="s">
        <v>1084</v>
      </c>
      <c r="D5" s="424"/>
      <c r="E5" s="425"/>
      <c r="F5" s="426"/>
      <c r="G5" s="427"/>
    </row>
    <row r="6" spans="1:8" s="428" customFormat="1" ht="12" x14ac:dyDescent="0.2">
      <c r="B6" s="429"/>
      <c r="C6" s="430" t="s">
        <v>1085</v>
      </c>
      <c r="D6" s="158"/>
      <c r="E6" s="159"/>
      <c r="F6" s="160"/>
      <c r="G6" s="161"/>
    </row>
    <row r="7" spans="1:8" s="438" customFormat="1" ht="14.25" x14ac:dyDescent="0.2">
      <c r="A7" s="431"/>
      <c r="B7" s="432"/>
      <c r="C7" s="433"/>
      <c r="D7" s="434"/>
      <c r="E7" s="435"/>
      <c r="F7" s="436"/>
      <c r="G7" s="437"/>
    </row>
    <row r="8" spans="1:8" s="139" customFormat="1" ht="18" customHeight="1" x14ac:dyDescent="0.2">
      <c r="A8" s="140"/>
      <c r="B8" s="143" t="s">
        <v>1</v>
      </c>
      <c r="C8" s="168"/>
      <c r="D8" s="170"/>
      <c r="E8" s="170"/>
      <c r="F8" s="170"/>
      <c r="G8" s="169"/>
    </row>
    <row r="9" spans="1:8" s="139" customFormat="1" ht="18" customHeight="1" x14ac:dyDescent="0.25">
      <c r="A9" s="141"/>
      <c r="B9" s="144" t="s">
        <v>2</v>
      </c>
      <c r="C9" s="171"/>
      <c r="D9" s="173"/>
      <c r="E9" s="173"/>
      <c r="F9" s="173"/>
      <c r="G9" s="172"/>
    </row>
    <row r="10" spans="1:8" s="444" customFormat="1" ht="18" customHeight="1" x14ac:dyDescent="0.25">
      <c r="A10" s="439"/>
      <c r="B10" s="440"/>
      <c r="C10" s="441"/>
      <c r="D10" s="442"/>
      <c r="E10" s="442"/>
      <c r="F10" s="442"/>
      <c r="G10" s="443"/>
    </row>
    <row r="11" spans="1:8" ht="15" x14ac:dyDescent="0.2">
      <c r="A11" s="140"/>
      <c r="B11" s="143" t="s">
        <v>3</v>
      </c>
      <c r="C11" s="168"/>
      <c r="D11" s="170"/>
      <c r="E11" s="170"/>
      <c r="F11" s="170"/>
      <c r="G11" s="169"/>
    </row>
    <row r="12" spans="1:8" ht="15.75" x14ac:dyDescent="0.25">
      <c r="A12" s="141"/>
      <c r="B12" s="144" t="s">
        <v>4</v>
      </c>
      <c r="C12" s="171"/>
      <c r="D12" s="173"/>
      <c r="E12" s="173"/>
      <c r="F12" s="173"/>
      <c r="G12" s="172"/>
    </row>
    <row r="13" spans="1:8" ht="14.25" x14ac:dyDescent="0.2">
      <c r="A13" s="125"/>
      <c r="B13" s="142"/>
      <c r="C13" s="174"/>
      <c r="D13" s="175"/>
      <c r="E13" s="176"/>
      <c r="F13" s="177"/>
      <c r="G13" s="178"/>
    </row>
    <row r="14" spans="1:8" s="422" customFormat="1" ht="15.75" x14ac:dyDescent="0.2">
      <c r="B14" s="445"/>
      <c r="C14" s="446" t="s">
        <v>82</v>
      </c>
      <c r="D14" s="447"/>
      <c r="E14" s="448"/>
      <c r="F14" s="449"/>
      <c r="G14" s="450"/>
    </row>
    <row r="15" spans="1:8" s="126" customFormat="1" x14ac:dyDescent="0.2">
      <c r="B15" s="138" t="s">
        <v>83</v>
      </c>
      <c r="C15" s="335" t="s">
        <v>84</v>
      </c>
      <c r="D15" s="336"/>
      <c r="E15" s="337"/>
      <c r="F15" s="338"/>
      <c r="G15" s="339" t="s">
        <v>64</v>
      </c>
    </row>
    <row r="16" spans="1:8" x14ac:dyDescent="0.2">
      <c r="A16" s="126"/>
      <c r="B16" s="451" t="s">
        <v>10</v>
      </c>
      <c r="C16" s="452" t="s">
        <v>85</v>
      </c>
      <c r="D16" s="453"/>
      <c r="E16" s="454"/>
      <c r="F16" s="455"/>
      <c r="G16" s="1999">
        <f>G36</f>
        <v>0</v>
      </c>
    </row>
    <row r="17" spans="1:7" x14ac:dyDescent="0.2">
      <c r="A17" s="126"/>
      <c r="B17" s="451" t="s">
        <v>12</v>
      </c>
      <c r="C17" s="452" t="s">
        <v>86</v>
      </c>
      <c r="D17" s="453"/>
      <c r="E17" s="454"/>
      <c r="F17" s="455"/>
      <c r="G17" s="1999">
        <f>G75</f>
        <v>0</v>
      </c>
    </row>
    <row r="18" spans="1:7" x14ac:dyDescent="0.2">
      <c r="A18" s="126"/>
      <c r="B18" s="451" t="s">
        <v>17</v>
      </c>
      <c r="C18" s="452" t="s">
        <v>87</v>
      </c>
      <c r="D18" s="453"/>
      <c r="E18" s="454"/>
      <c r="F18" s="455"/>
      <c r="G18" s="1999">
        <f>G238</f>
        <v>0</v>
      </c>
    </row>
    <row r="19" spans="1:7" x14ac:dyDescent="0.2">
      <c r="A19" s="126"/>
      <c r="B19" s="456"/>
      <c r="C19" s="457" t="s">
        <v>1086</v>
      </c>
      <c r="D19" s="458"/>
      <c r="E19" s="459"/>
      <c r="F19" s="460"/>
      <c r="G19" s="2000">
        <f>SUM(G16:G18)</f>
        <v>0</v>
      </c>
    </row>
    <row r="20" spans="1:7" x14ac:dyDescent="0.2">
      <c r="B20" s="127"/>
      <c r="C20" s="183"/>
      <c r="D20" s="184"/>
      <c r="E20" s="461"/>
      <c r="F20" s="462"/>
    </row>
    <row r="21" spans="1:7" x14ac:dyDescent="0.2">
      <c r="G21" s="466"/>
    </row>
    <row r="22" spans="1:7" ht="24" x14ac:dyDescent="0.2">
      <c r="B22" s="128" t="s">
        <v>368</v>
      </c>
      <c r="C22" s="192" t="s">
        <v>89</v>
      </c>
      <c r="D22" s="193" t="s">
        <v>90</v>
      </c>
      <c r="E22" s="194" t="s">
        <v>91</v>
      </c>
      <c r="F22" s="195" t="s">
        <v>92</v>
      </c>
      <c r="G22" s="196" t="s">
        <v>93</v>
      </c>
    </row>
    <row r="23" spans="1:7" x14ac:dyDescent="0.2">
      <c r="B23" s="129"/>
      <c r="C23" s="197"/>
      <c r="D23" s="198"/>
      <c r="E23" s="353"/>
      <c r="F23" s="358"/>
      <c r="G23" s="350"/>
    </row>
    <row r="24" spans="1:7" ht="20.25" x14ac:dyDescent="0.3">
      <c r="A24" s="295"/>
      <c r="B24" s="303" t="s">
        <v>10</v>
      </c>
      <c r="C24" s="306" t="s">
        <v>85</v>
      </c>
      <c r="D24" s="305"/>
      <c r="E24" s="299"/>
      <c r="F24" s="300"/>
      <c r="G24" s="301"/>
    </row>
    <row r="25" spans="1:7" ht="24" x14ac:dyDescent="0.2">
      <c r="B25" s="129">
        <v>1</v>
      </c>
      <c r="C25" s="206" t="s">
        <v>94</v>
      </c>
      <c r="D25" s="207" t="s">
        <v>95</v>
      </c>
      <c r="E25" s="353">
        <v>5816</v>
      </c>
      <c r="F25" s="467">
        <v>0</v>
      </c>
      <c r="G25" s="1998">
        <f t="shared" ref="G25:G35" si="0">E25*F25</f>
        <v>0</v>
      </c>
    </row>
    <row r="26" spans="1:7" ht="48" x14ac:dyDescent="0.2">
      <c r="B26" s="129">
        <v>3</v>
      </c>
      <c r="C26" s="206" t="s">
        <v>97</v>
      </c>
      <c r="D26" s="207" t="s">
        <v>98</v>
      </c>
      <c r="E26" s="353">
        <v>1</v>
      </c>
      <c r="F26" s="467">
        <v>0</v>
      </c>
      <c r="G26" s="1998">
        <f t="shared" si="0"/>
        <v>0</v>
      </c>
    </row>
    <row r="27" spans="1:7" ht="122.25" customHeight="1" x14ac:dyDescent="0.2">
      <c r="B27" s="129">
        <v>4</v>
      </c>
      <c r="C27" s="208" t="s">
        <v>99</v>
      </c>
      <c r="D27" s="209" t="s">
        <v>98</v>
      </c>
      <c r="E27" s="353">
        <v>1</v>
      </c>
      <c r="F27" s="467">
        <v>0</v>
      </c>
      <c r="G27" s="1998">
        <f t="shared" si="0"/>
        <v>0</v>
      </c>
    </row>
    <row r="28" spans="1:7" ht="24" x14ac:dyDescent="0.2">
      <c r="B28" s="129">
        <v>5</v>
      </c>
      <c r="C28" s="208" t="s">
        <v>100</v>
      </c>
      <c r="D28" s="210" t="s">
        <v>98</v>
      </c>
      <c r="E28" s="353">
        <v>1</v>
      </c>
      <c r="F28" s="467">
        <v>0</v>
      </c>
      <c r="G28" s="1998">
        <f t="shared" si="0"/>
        <v>0</v>
      </c>
    </row>
    <row r="29" spans="1:7" ht="48" x14ac:dyDescent="0.2">
      <c r="B29" s="129">
        <v>6</v>
      </c>
      <c r="C29" s="211" t="s">
        <v>102</v>
      </c>
      <c r="D29" s="210" t="s">
        <v>98</v>
      </c>
      <c r="E29" s="353">
        <v>1</v>
      </c>
      <c r="F29" s="467">
        <v>0</v>
      </c>
      <c r="G29" s="1998">
        <f t="shared" si="0"/>
        <v>0</v>
      </c>
    </row>
    <row r="30" spans="1:7" ht="48" x14ac:dyDescent="0.2">
      <c r="B30" s="129">
        <v>7</v>
      </c>
      <c r="C30" s="3165" t="s">
        <v>2593</v>
      </c>
      <c r="D30" s="210" t="s">
        <v>149</v>
      </c>
      <c r="E30" s="353">
        <v>100</v>
      </c>
      <c r="F30" s="467">
        <v>0</v>
      </c>
      <c r="G30" s="1998">
        <f t="shared" si="0"/>
        <v>0</v>
      </c>
    </row>
    <row r="31" spans="1:7" ht="36" x14ac:dyDescent="0.2">
      <c r="B31" s="129">
        <v>8</v>
      </c>
      <c r="C31" s="3165" t="s">
        <v>2590</v>
      </c>
      <c r="D31" s="210" t="s">
        <v>95</v>
      </c>
      <c r="E31" s="353">
        <v>7823</v>
      </c>
      <c r="F31" s="467">
        <v>0</v>
      </c>
      <c r="G31" s="1998">
        <f t="shared" si="0"/>
        <v>0</v>
      </c>
    </row>
    <row r="32" spans="1:7" ht="24" x14ac:dyDescent="0.2">
      <c r="B32" s="129">
        <v>9</v>
      </c>
      <c r="C32" s="3165" t="s">
        <v>2591</v>
      </c>
      <c r="D32" s="210" t="s">
        <v>95</v>
      </c>
      <c r="E32" s="353">
        <f>E31</f>
        <v>7823</v>
      </c>
      <c r="F32" s="467">
        <v>0</v>
      </c>
      <c r="G32" s="1998">
        <f t="shared" si="0"/>
        <v>0</v>
      </c>
    </row>
    <row r="33" spans="1:7" x14ac:dyDescent="0.2">
      <c r="B33" s="129">
        <v>10</v>
      </c>
      <c r="C33" s="211" t="s">
        <v>105</v>
      </c>
      <c r="D33" s="210" t="s">
        <v>98</v>
      </c>
      <c r="E33" s="353">
        <v>1</v>
      </c>
      <c r="F33" s="467">
        <v>0</v>
      </c>
      <c r="G33" s="1998">
        <f t="shared" si="0"/>
        <v>0</v>
      </c>
    </row>
    <row r="34" spans="1:7" ht="36" x14ac:dyDescent="0.2">
      <c r="B34" s="129">
        <v>11</v>
      </c>
      <c r="C34" s="212" t="s">
        <v>106</v>
      </c>
      <c r="D34" s="210" t="s">
        <v>98</v>
      </c>
      <c r="E34" s="468">
        <v>1</v>
      </c>
      <c r="F34" s="467">
        <v>0</v>
      </c>
      <c r="G34" s="1998">
        <f t="shared" si="0"/>
        <v>0</v>
      </c>
    </row>
    <row r="35" spans="1:7" ht="36" x14ac:dyDescent="0.2">
      <c r="B35" s="129">
        <v>12</v>
      </c>
      <c r="C35" s="307" t="s">
        <v>107</v>
      </c>
      <c r="D35" s="210" t="s">
        <v>98</v>
      </c>
      <c r="E35" s="468">
        <v>1</v>
      </c>
      <c r="F35" s="467">
        <v>0</v>
      </c>
      <c r="G35" s="1998">
        <f t="shared" si="0"/>
        <v>0</v>
      </c>
    </row>
    <row r="36" spans="1:7" x14ac:dyDescent="0.2">
      <c r="B36" s="469" t="s">
        <v>10</v>
      </c>
      <c r="C36" s="470" t="s">
        <v>108</v>
      </c>
      <c r="D36" s="214"/>
      <c r="E36" s="215"/>
      <c r="F36" s="216"/>
      <c r="G36" s="2001">
        <f>SUM(G25:G35)</f>
        <v>0</v>
      </c>
    </row>
    <row r="37" spans="1:7" x14ac:dyDescent="0.2">
      <c r="B37" s="129"/>
      <c r="C37" s="197"/>
      <c r="D37" s="198"/>
      <c r="E37" s="353"/>
      <c r="F37" s="358"/>
      <c r="G37" s="350"/>
    </row>
    <row r="38" spans="1:7" ht="24" x14ac:dyDescent="0.2">
      <c r="B38" s="51" t="s">
        <v>368</v>
      </c>
      <c r="C38" s="50" t="s">
        <v>89</v>
      </c>
      <c r="D38" s="357" t="s">
        <v>90</v>
      </c>
      <c r="E38" s="359" t="s">
        <v>91</v>
      </c>
      <c r="F38" s="360" t="s">
        <v>92</v>
      </c>
      <c r="G38" s="361" t="s">
        <v>93</v>
      </c>
    </row>
    <row r="39" spans="1:7" x14ac:dyDescent="0.2">
      <c r="B39" s="129"/>
      <c r="C39" s="217"/>
      <c r="D39" s="207"/>
      <c r="E39" s="353"/>
      <c r="F39" s="358"/>
      <c r="G39" s="350"/>
    </row>
    <row r="40" spans="1:7" ht="20.25" x14ac:dyDescent="0.3">
      <c r="A40" s="295"/>
      <c r="B40" s="303" t="s">
        <v>12</v>
      </c>
      <c r="C40" s="304" t="s">
        <v>109</v>
      </c>
      <c r="D40" s="298"/>
      <c r="E40" s="299"/>
      <c r="F40" s="300"/>
      <c r="G40" s="301"/>
    </row>
    <row r="41" spans="1:7" x14ac:dyDescent="0.2">
      <c r="A41" s="130"/>
      <c r="B41" s="3184" t="s">
        <v>110</v>
      </c>
      <c r="C41" s="3185"/>
      <c r="D41" s="3185"/>
      <c r="E41" s="3185"/>
      <c r="F41" s="3185"/>
      <c r="G41" s="3186"/>
    </row>
    <row r="42" spans="1:7" ht="24" x14ac:dyDescent="0.2">
      <c r="B42" s="131">
        <v>1</v>
      </c>
      <c r="C42" s="206" t="s">
        <v>111</v>
      </c>
      <c r="D42" s="207" t="s">
        <v>112</v>
      </c>
      <c r="E42" s="353">
        <f>1257*0.2*1.2</f>
        <v>301.68</v>
      </c>
      <c r="F42" s="467">
        <v>0</v>
      </c>
      <c r="G42" s="1998">
        <f t="shared" ref="G42" si="1">E42*F42</f>
        <v>0</v>
      </c>
    </row>
    <row r="43" spans="1:7" ht="36" x14ac:dyDescent="0.2">
      <c r="B43" s="131">
        <v>3</v>
      </c>
      <c r="C43" s="206" t="s">
        <v>114</v>
      </c>
      <c r="D43" s="209" t="s">
        <v>112</v>
      </c>
      <c r="E43" s="353">
        <v>1932.2</v>
      </c>
      <c r="F43" s="467">
        <v>0</v>
      </c>
      <c r="G43" s="1998">
        <f>E43*F43</f>
        <v>0</v>
      </c>
    </row>
    <row r="44" spans="1:7" ht="36" x14ac:dyDescent="0.2">
      <c r="B44" s="131">
        <v>4</v>
      </c>
      <c r="C44" s="206" t="s">
        <v>115</v>
      </c>
      <c r="D44" s="209" t="s">
        <v>112</v>
      </c>
      <c r="E44" s="353">
        <v>10949.14</v>
      </c>
      <c r="F44" s="467">
        <v>0</v>
      </c>
      <c r="G44" s="1998">
        <f t="shared" ref="G44:G74" si="2">E44*F44</f>
        <v>0</v>
      </c>
    </row>
    <row r="45" spans="1:7" ht="24" x14ac:dyDescent="0.2">
      <c r="B45" s="131">
        <v>5</v>
      </c>
      <c r="C45" s="311" t="s">
        <v>116</v>
      </c>
      <c r="D45" s="219" t="s">
        <v>117</v>
      </c>
      <c r="E45" s="471">
        <f>E25*1.5</f>
        <v>8724</v>
      </c>
      <c r="F45" s="467">
        <v>0</v>
      </c>
      <c r="G45" s="1998">
        <f t="shared" si="2"/>
        <v>0</v>
      </c>
    </row>
    <row r="46" spans="1:7" ht="36" x14ac:dyDescent="0.2">
      <c r="B46" s="131">
        <v>6</v>
      </c>
      <c r="C46" s="206" t="s">
        <v>118</v>
      </c>
      <c r="D46" s="209" t="s">
        <v>117</v>
      </c>
      <c r="E46" s="353">
        <v>7156.3</v>
      </c>
      <c r="F46" s="467">
        <v>0</v>
      </c>
      <c r="G46" s="1998">
        <f t="shared" si="2"/>
        <v>0</v>
      </c>
    </row>
    <row r="47" spans="1:7" ht="24" x14ac:dyDescent="0.2">
      <c r="B47" s="131">
        <v>7</v>
      </c>
      <c r="C47" s="206" t="s">
        <v>304</v>
      </c>
      <c r="D47" s="209" t="s">
        <v>112</v>
      </c>
      <c r="E47" s="353">
        <v>2146.89</v>
      </c>
      <c r="F47" s="467">
        <v>0</v>
      </c>
      <c r="G47" s="1998">
        <f t="shared" si="2"/>
        <v>0</v>
      </c>
    </row>
    <row r="48" spans="1:7" ht="24" x14ac:dyDescent="0.2">
      <c r="B48" s="131">
        <v>8</v>
      </c>
      <c r="C48" s="206" t="s">
        <v>119</v>
      </c>
      <c r="D48" s="209" t="s">
        <v>112</v>
      </c>
      <c r="E48" s="353">
        <f>1257*1.2*1.5</f>
        <v>2262.6</v>
      </c>
      <c r="F48" s="467">
        <v>0</v>
      </c>
      <c r="G48" s="1998">
        <f t="shared" si="2"/>
        <v>0</v>
      </c>
    </row>
    <row r="49" spans="1:7" ht="36" x14ac:dyDescent="0.2">
      <c r="B49" s="131">
        <v>9</v>
      </c>
      <c r="C49" s="208" t="s">
        <v>120</v>
      </c>
      <c r="D49" s="209" t="s">
        <v>112</v>
      </c>
      <c r="E49" s="353">
        <v>4532.25</v>
      </c>
      <c r="F49" s="467">
        <v>0</v>
      </c>
      <c r="G49" s="1998">
        <f>E49*F49</f>
        <v>0</v>
      </c>
    </row>
    <row r="50" spans="1:7" ht="36" x14ac:dyDescent="0.2">
      <c r="A50" s="130"/>
      <c r="B50" s="131">
        <v>10</v>
      </c>
      <c r="C50" s="314" t="s">
        <v>121</v>
      </c>
      <c r="D50" s="210" t="s">
        <v>112</v>
      </c>
      <c r="E50" s="353">
        <f>6566*1.5*0.4</f>
        <v>3939.6000000000004</v>
      </c>
      <c r="F50" s="467">
        <v>0</v>
      </c>
      <c r="G50" s="1998">
        <f t="shared" si="2"/>
        <v>0</v>
      </c>
    </row>
    <row r="51" spans="1:7" ht="48" x14ac:dyDescent="0.2">
      <c r="A51" s="147"/>
      <c r="B51" s="3187">
        <v>11</v>
      </c>
      <c r="C51" s="308" t="s">
        <v>122</v>
      </c>
      <c r="D51" s="210"/>
      <c r="E51" s="353"/>
      <c r="F51" s="467"/>
      <c r="G51" s="1998"/>
    </row>
    <row r="52" spans="1:7" x14ac:dyDescent="0.2">
      <c r="A52" s="147"/>
      <c r="B52" s="3188"/>
      <c r="C52" s="308" t="s">
        <v>124</v>
      </c>
      <c r="D52" s="207" t="s">
        <v>95</v>
      </c>
      <c r="E52" s="353">
        <v>260</v>
      </c>
      <c r="F52" s="467">
        <v>0</v>
      </c>
      <c r="G52" s="1998">
        <f t="shared" si="2"/>
        <v>0</v>
      </c>
    </row>
    <row r="53" spans="1:7" ht="24" x14ac:dyDescent="0.2">
      <c r="B53" s="131">
        <v>12</v>
      </c>
      <c r="C53" s="206" t="s">
        <v>125</v>
      </c>
      <c r="D53" s="209" t="s">
        <v>95</v>
      </c>
      <c r="E53" s="353">
        <v>530</v>
      </c>
      <c r="F53" s="467">
        <v>0</v>
      </c>
      <c r="G53" s="1998">
        <f t="shared" si="2"/>
        <v>0</v>
      </c>
    </row>
    <row r="54" spans="1:7" ht="24" x14ac:dyDescent="0.2">
      <c r="B54" s="131">
        <v>13</v>
      </c>
      <c r="C54" s="206" t="s">
        <v>126</v>
      </c>
      <c r="D54" s="207" t="s">
        <v>117</v>
      </c>
      <c r="E54" s="353">
        <v>508</v>
      </c>
      <c r="F54" s="467">
        <v>0</v>
      </c>
      <c r="G54" s="1998">
        <f t="shared" si="2"/>
        <v>0</v>
      </c>
    </row>
    <row r="55" spans="1:7" ht="48" x14ac:dyDescent="0.2">
      <c r="B55" s="131">
        <v>14</v>
      </c>
      <c r="C55" s="206" t="s">
        <v>127</v>
      </c>
      <c r="D55" s="207" t="s">
        <v>117</v>
      </c>
      <c r="E55" s="353">
        <v>598</v>
      </c>
      <c r="F55" s="467">
        <v>0</v>
      </c>
      <c r="G55" s="1998">
        <f t="shared" si="2"/>
        <v>0</v>
      </c>
    </row>
    <row r="56" spans="1:7" ht="48" x14ac:dyDescent="0.2">
      <c r="B56" s="312" t="s">
        <v>128</v>
      </c>
      <c r="C56" s="208" t="s">
        <v>129</v>
      </c>
      <c r="D56" s="209" t="s">
        <v>117</v>
      </c>
      <c r="E56" s="353">
        <v>508</v>
      </c>
      <c r="F56" s="467">
        <v>0</v>
      </c>
      <c r="G56" s="1998">
        <f t="shared" si="2"/>
        <v>0</v>
      </c>
    </row>
    <row r="57" spans="1:7" ht="60" x14ac:dyDescent="0.2">
      <c r="B57" s="312" t="s">
        <v>707</v>
      </c>
      <c r="C57" s="208" t="s">
        <v>708</v>
      </c>
      <c r="D57" s="209" t="s">
        <v>117</v>
      </c>
      <c r="E57" s="353">
        <v>652</v>
      </c>
      <c r="F57" s="467">
        <v>0</v>
      </c>
      <c r="G57" s="1998">
        <f t="shared" si="2"/>
        <v>0</v>
      </c>
    </row>
    <row r="58" spans="1:7" ht="36" x14ac:dyDescent="0.2">
      <c r="B58" s="131">
        <v>16</v>
      </c>
      <c r="C58" s="206" t="s">
        <v>132</v>
      </c>
      <c r="D58" s="207" t="s">
        <v>117</v>
      </c>
      <c r="E58" s="353">
        <f>E56*0.4</f>
        <v>203.20000000000002</v>
      </c>
      <c r="F58" s="467">
        <v>0</v>
      </c>
      <c r="G58" s="1998">
        <f t="shared" si="2"/>
        <v>0</v>
      </c>
    </row>
    <row r="59" spans="1:7" ht="24" x14ac:dyDescent="0.2">
      <c r="B59" s="131">
        <v>17</v>
      </c>
      <c r="C59" s="206" t="s">
        <v>133</v>
      </c>
      <c r="D59" s="209" t="s">
        <v>112</v>
      </c>
      <c r="E59" s="353">
        <f>E42</f>
        <v>301.68</v>
      </c>
      <c r="F59" s="467">
        <v>0</v>
      </c>
      <c r="G59" s="1998">
        <f t="shared" si="2"/>
        <v>0</v>
      </c>
    </row>
    <row r="60" spans="1:7" x14ac:dyDescent="0.2">
      <c r="B60" s="131">
        <v>18</v>
      </c>
      <c r="C60" s="206" t="s">
        <v>134</v>
      </c>
      <c r="D60" s="209" t="s">
        <v>112</v>
      </c>
      <c r="E60" s="353">
        <f>E42+E43+E44-E48</f>
        <v>10920.42</v>
      </c>
      <c r="F60" s="467">
        <v>0</v>
      </c>
      <c r="G60" s="1998">
        <f t="shared" si="2"/>
        <v>0</v>
      </c>
    </row>
    <row r="61" spans="1:7" x14ac:dyDescent="0.2">
      <c r="B61" s="131">
        <v>19</v>
      </c>
      <c r="C61" s="206" t="s">
        <v>135</v>
      </c>
      <c r="D61" s="209" t="s">
        <v>112</v>
      </c>
      <c r="E61" s="353">
        <f>E60</f>
        <v>10920.42</v>
      </c>
      <c r="F61" s="467">
        <v>0</v>
      </c>
      <c r="G61" s="1998">
        <f t="shared" si="2"/>
        <v>0</v>
      </c>
    </row>
    <row r="62" spans="1:7" ht="24" x14ac:dyDescent="0.2">
      <c r="B62" s="131">
        <v>20</v>
      </c>
      <c r="C62" s="206" t="s">
        <v>136</v>
      </c>
      <c r="D62" s="209" t="s">
        <v>117</v>
      </c>
      <c r="E62" s="353">
        <f>E56*0.2</f>
        <v>101.60000000000001</v>
      </c>
      <c r="F62" s="467">
        <v>0</v>
      </c>
      <c r="G62" s="1998">
        <f t="shared" si="2"/>
        <v>0</v>
      </c>
    </row>
    <row r="63" spans="1:7" ht="24" x14ac:dyDescent="0.2">
      <c r="B63" s="131">
        <v>21</v>
      </c>
      <c r="C63" s="206" t="s">
        <v>138</v>
      </c>
      <c r="D63" s="207" t="s">
        <v>117</v>
      </c>
      <c r="E63" s="353">
        <v>5367.23</v>
      </c>
      <c r="F63" s="467">
        <v>0</v>
      </c>
      <c r="G63" s="1998">
        <f t="shared" si="2"/>
        <v>0</v>
      </c>
    </row>
    <row r="64" spans="1:7" ht="48" x14ac:dyDescent="0.2">
      <c r="B64" s="3187">
        <v>23</v>
      </c>
      <c r="C64" s="409" t="s">
        <v>309</v>
      </c>
      <c r="D64" s="207"/>
      <c r="E64" s="353"/>
      <c r="F64" s="467"/>
      <c r="G64" s="1998"/>
    </row>
    <row r="65" spans="1:7" x14ac:dyDescent="0.2">
      <c r="A65" s="130"/>
      <c r="B65" s="3188"/>
      <c r="C65" s="291" t="s">
        <v>714</v>
      </c>
      <c r="D65" s="221" t="s">
        <v>95</v>
      </c>
      <c r="E65" s="353">
        <v>44</v>
      </c>
      <c r="F65" s="467">
        <v>0</v>
      </c>
      <c r="G65" s="1998">
        <f t="shared" ref="G65:G67" si="3">E65*F65</f>
        <v>0</v>
      </c>
    </row>
    <row r="66" spans="1:7" x14ac:dyDescent="0.2">
      <c r="A66" s="130"/>
      <c r="B66" s="3188"/>
      <c r="C66" s="291" t="s">
        <v>715</v>
      </c>
      <c r="D66" s="221" t="s">
        <v>95</v>
      </c>
      <c r="E66" s="353">
        <v>52</v>
      </c>
      <c r="F66" s="467">
        <v>0</v>
      </c>
      <c r="G66" s="1998">
        <f t="shared" si="3"/>
        <v>0</v>
      </c>
    </row>
    <row r="67" spans="1:7" x14ac:dyDescent="0.2">
      <c r="A67" s="130"/>
      <c r="B67" s="3189"/>
      <c r="C67" s="291" t="s">
        <v>716</v>
      </c>
      <c r="D67" s="221" t="s">
        <v>95</v>
      </c>
      <c r="E67" s="353">
        <v>168</v>
      </c>
      <c r="F67" s="467">
        <v>0</v>
      </c>
      <c r="G67" s="1998">
        <f t="shared" si="3"/>
        <v>0</v>
      </c>
    </row>
    <row r="68" spans="1:7" ht="48" x14ac:dyDescent="0.2">
      <c r="B68" s="131">
        <v>24</v>
      </c>
      <c r="C68" s="409" t="s">
        <v>142</v>
      </c>
      <c r="D68" s="207" t="s">
        <v>117</v>
      </c>
      <c r="E68" s="353">
        <v>30</v>
      </c>
      <c r="F68" s="467">
        <v>0</v>
      </c>
      <c r="G68" s="1998">
        <f t="shared" si="2"/>
        <v>0</v>
      </c>
    </row>
    <row r="69" spans="1:7" ht="24" x14ac:dyDescent="0.2">
      <c r="B69" s="131">
        <v>25</v>
      </c>
      <c r="C69" s="409" t="s">
        <v>143</v>
      </c>
      <c r="D69" s="207" t="s">
        <v>95</v>
      </c>
      <c r="E69" s="353">
        <v>250</v>
      </c>
      <c r="F69" s="467">
        <v>0</v>
      </c>
      <c r="G69" s="1998">
        <f t="shared" si="2"/>
        <v>0</v>
      </c>
    </row>
    <row r="70" spans="1:7" ht="24" x14ac:dyDescent="0.2">
      <c r="B70" s="312" t="s">
        <v>717</v>
      </c>
      <c r="C70" s="409" t="s">
        <v>718</v>
      </c>
      <c r="D70" s="207" t="s">
        <v>95</v>
      </c>
      <c r="E70" s="353">
        <v>30</v>
      </c>
      <c r="F70" s="467">
        <v>0</v>
      </c>
      <c r="G70" s="1998">
        <f t="shared" si="2"/>
        <v>0</v>
      </c>
    </row>
    <row r="71" spans="1:7" ht="36" x14ac:dyDescent="0.2">
      <c r="B71" s="411">
        <v>30</v>
      </c>
      <c r="C71" s="410" t="s">
        <v>151</v>
      </c>
      <c r="D71" s="222" t="s">
        <v>112</v>
      </c>
      <c r="E71" s="472">
        <v>8</v>
      </c>
      <c r="F71" s="467">
        <v>0</v>
      </c>
      <c r="G71" s="1998">
        <f t="shared" si="2"/>
        <v>0</v>
      </c>
    </row>
    <row r="72" spans="1:7" ht="36" x14ac:dyDescent="0.2">
      <c r="B72" s="131">
        <v>31</v>
      </c>
      <c r="C72" s="223" t="s">
        <v>152</v>
      </c>
      <c r="D72" s="222" t="s">
        <v>149</v>
      </c>
      <c r="E72" s="472">
        <v>128</v>
      </c>
      <c r="F72" s="467">
        <v>0</v>
      </c>
      <c r="G72" s="1998">
        <f t="shared" si="2"/>
        <v>0</v>
      </c>
    </row>
    <row r="73" spans="1:7" ht="36" x14ac:dyDescent="0.2">
      <c r="B73" s="411">
        <v>32</v>
      </c>
      <c r="C73" s="223" t="s">
        <v>153</v>
      </c>
      <c r="D73" s="222" t="s">
        <v>112</v>
      </c>
      <c r="E73" s="472">
        <v>8</v>
      </c>
      <c r="F73" s="467">
        <v>0</v>
      </c>
      <c r="G73" s="1998">
        <f t="shared" si="2"/>
        <v>0</v>
      </c>
    </row>
    <row r="74" spans="1:7" ht="24" x14ac:dyDescent="0.2">
      <c r="B74" s="131">
        <v>33</v>
      </c>
      <c r="C74" s="223" t="s">
        <v>155</v>
      </c>
      <c r="D74" s="222" t="s">
        <v>156</v>
      </c>
      <c r="E74" s="472">
        <v>150</v>
      </c>
      <c r="F74" s="467">
        <v>0</v>
      </c>
      <c r="G74" s="1998">
        <f t="shared" si="2"/>
        <v>0</v>
      </c>
    </row>
    <row r="75" spans="1:7" x14ac:dyDescent="0.2">
      <c r="B75" s="469" t="s">
        <v>12</v>
      </c>
      <c r="C75" s="470" t="s">
        <v>157</v>
      </c>
      <c r="D75" s="224"/>
      <c r="E75" s="215"/>
      <c r="F75" s="216"/>
      <c r="G75" s="2001">
        <f>SUM(G42:G74)</f>
        <v>0</v>
      </c>
    </row>
    <row r="76" spans="1:7" x14ac:dyDescent="0.2">
      <c r="B76" s="129"/>
      <c r="C76" s="197"/>
      <c r="D76" s="198"/>
      <c r="E76" s="353"/>
      <c r="F76" s="358"/>
      <c r="G76" s="2002"/>
    </row>
    <row r="77" spans="1:7" ht="24" x14ac:dyDescent="0.2">
      <c r="B77" s="51" t="s">
        <v>368</v>
      </c>
      <c r="C77" s="50" t="s">
        <v>89</v>
      </c>
      <c r="D77" s="50" t="s">
        <v>90</v>
      </c>
      <c r="E77" s="359" t="s">
        <v>91</v>
      </c>
      <c r="F77" s="360" t="s">
        <v>92</v>
      </c>
      <c r="G77" s="361" t="s">
        <v>93</v>
      </c>
    </row>
    <row r="78" spans="1:7" x14ac:dyDescent="0.2">
      <c r="B78" s="129"/>
      <c r="C78" s="197"/>
      <c r="D78" s="207"/>
      <c r="E78" s="353"/>
      <c r="F78" s="358"/>
      <c r="G78" s="350"/>
    </row>
    <row r="79" spans="1:7" ht="20.25" x14ac:dyDescent="0.3">
      <c r="A79" s="295"/>
      <c r="B79" s="296" t="s">
        <v>17</v>
      </c>
      <c r="C79" s="297" t="s">
        <v>158</v>
      </c>
      <c r="D79" s="298"/>
      <c r="E79" s="299"/>
      <c r="F79" s="300"/>
      <c r="G79" s="301"/>
    </row>
    <row r="80" spans="1:7" ht="15" x14ac:dyDescent="0.2">
      <c r="A80" s="140"/>
      <c r="B80" s="143" t="s">
        <v>355</v>
      </c>
      <c r="C80" s="168"/>
      <c r="D80" s="169"/>
      <c r="E80" s="170"/>
      <c r="F80" s="170"/>
      <c r="G80" s="169"/>
    </row>
    <row r="81" spans="1:10" ht="15.75" x14ac:dyDescent="0.25">
      <c r="A81" s="141"/>
      <c r="B81" s="144" t="s">
        <v>356</v>
      </c>
      <c r="C81" s="171"/>
      <c r="D81" s="172"/>
      <c r="E81" s="173"/>
      <c r="F81" s="173"/>
      <c r="G81" s="172"/>
    </row>
    <row r="82" spans="1:10" ht="15" x14ac:dyDescent="0.2">
      <c r="A82" s="140"/>
      <c r="B82" s="143" t="s">
        <v>3</v>
      </c>
      <c r="C82" s="168"/>
      <c r="D82" s="170"/>
      <c r="E82" s="170"/>
      <c r="F82" s="170"/>
      <c r="G82" s="169"/>
    </row>
    <row r="83" spans="1:10" ht="15.75" x14ac:dyDescent="0.25">
      <c r="A83" s="141"/>
      <c r="B83" s="144" t="s">
        <v>4</v>
      </c>
      <c r="C83" s="171"/>
      <c r="D83" s="173"/>
      <c r="E83" s="173"/>
      <c r="F83" s="173"/>
      <c r="G83" s="172"/>
    </row>
    <row r="84" spans="1:10" x14ac:dyDescent="0.2">
      <c r="A84" s="130"/>
      <c r="B84" s="3184" t="s">
        <v>159</v>
      </c>
      <c r="C84" s="3185"/>
      <c r="D84" s="3185"/>
      <c r="E84" s="3185"/>
      <c r="F84" s="3185"/>
      <c r="G84" s="3186"/>
    </row>
    <row r="85" spans="1:10" x14ac:dyDescent="0.2">
      <c r="A85" s="130"/>
      <c r="B85" s="3184" t="s">
        <v>161</v>
      </c>
      <c r="C85" s="3185"/>
      <c r="D85" s="3185"/>
      <c r="E85" s="3185"/>
      <c r="F85" s="3185"/>
      <c r="G85" s="3186"/>
    </row>
    <row r="86" spans="1:10" ht="24" x14ac:dyDescent="0.2">
      <c r="B86" s="153">
        <v>1</v>
      </c>
      <c r="C86" s="225" t="s">
        <v>162</v>
      </c>
      <c r="D86" s="226"/>
      <c r="E86" s="353"/>
      <c r="F86" s="358"/>
      <c r="G86" s="350"/>
    </row>
    <row r="87" spans="1:10" x14ac:dyDescent="0.2">
      <c r="A87" s="147"/>
      <c r="B87" s="148"/>
      <c r="C87" s="149" t="s">
        <v>1087</v>
      </c>
      <c r="D87" s="226" t="s">
        <v>95</v>
      </c>
      <c r="E87" s="353">
        <v>2996.5</v>
      </c>
      <c r="F87" s="467">
        <v>0</v>
      </c>
      <c r="G87" s="1998">
        <f t="shared" ref="G87:G97" si="4">E87*F87</f>
        <v>0</v>
      </c>
    </row>
    <row r="88" spans="1:10" ht="24" x14ac:dyDescent="0.2">
      <c r="A88" s="147"/>
      <c r="B88" s="148"/>
      <c r="C88" s="149" t="s">
        <v>1088</v>
      </c>
      <c r="D88" s="226" t="s">
        <v>95</v>
      </c>
      <c r="E88" s="353">
        <v>332.9</v>
      </c>
      <c r="F88" s="467">
        <v>0</v>
      </c>
      <c r="G88" s="1998">
        <f t="shared" si="4"/>
        <v>0</v>
      </c>
    </row>
    <row r="89" spans="1:10" x14ac:dyDescent="0.2">
      <c r="A89" s="147"/>
      <c r="B89" s="148"/>
      <c r="C89" s="151" t="s">
        <v>821</v>
      </c>
      <c r="D89" s="226" t="s">
        <v>95</v>
      </c>
      <c r="E89" s="353">
        <v>2238.3000000000002</v>
      </c>
      <c r="F89" s="467">
        <v>0</v>
      </c>
      <c r="G89" s="1998">
        <f t="shared" si="4"/>
        <v>0</v>
      </c>
    </row>
    <row r="90" spans="1:10" ht="24" x14ac:dyDescent="0.2">
      <c r="A90" s="147"/>
      <c r="B90" s="148"/>
      <c r="C90" s="151" t="s">
        <v>822</v>
      </c>
      <c r="D90" s="226" t="s">
        <v>95</v>
      </c>
      <c r="E90" s="353">
        <v>248.7</v>
      </c>
      <c r="F90" s="467">
        <v>0</v>
      </c>
      <c r="G90" s="1998">
        <f t="shared" si="4"/>
        <v>0</v>
      </c>
      <c r="J90" s="2852"/>
    </row>
    <row r="91" spans="1:10" x14ac:dyDescent="0.2">
      <c r="A91" s="147"/>
      <c r="B91" s="148"/>
      <c r="C91" s="151" t="s">
        <v>165</v>
      </c>
      <c r="D91" s="226" t="s">
        <v>95</v>
      </c>
      <c r="E91" s="353">
        <v>1805.9</v>
      </c>
      <c r="F91" s="467">
        <v>0</v>
      </c>
      <c r="G91" s="1998">
        <f t="shared" si="4"/>
        <v>0</v>
      </c>
    </row>
    <row r="92" spans="1:10" ht="24" x14ac:dyDescent="0.2">
      <c r="A92" s="147"/>
      <c r="B92" s="148"/>
      <c r="C92" s="151" t="s">
        <v>166</v>
      </c>
      <c r="D92" s="226" t="s">
        <v>95</v>
      </c>
      <c r="E92" s="353">
        <v>200.7</v>
      </c>
      <c r="F92" s="467">
        <v>0</v>
      </c>
      <c r="G92" s="1998">
        <f t="shared" si="4"/>
        <v>0</v>
      </c>
    </row>
    <row r="93" spans="1:10" ht="36" x14ac:dyDescent="0.2">
      <c r="A93" s="130"/>
      <c r="B93" s="3181" t="s">
        <v>167</v>
      </c>
      <c r="C93" s="310" t="s">
        <v>168</v>
      </c>
      <c r="D93" s="221"/>
      <c r="E93" s="353"/>
      <c r="F93" s="467"/>
      <c r="G93" s="1998"/>
    </row>
    <row r="94" spans="1:10" x14ac:dyDescent="0.2">
      <c r="A94" s="130"/>
      <c r="B94" s="3182"/>
      <c r="C94" s="291" t="s">
        <v>169</v>
      </c>
      <c r="D94" s="221" t="s">
        <v>95</v>
      </c>
      <c r="E94" s="353">
        <v>40</v>
      </c>
      <c r="F94" s="467">
        <v>0</v>
      </c>
      <c r="G94" s="1998">
        <f t="shared" ref="G94:G96" si="5">E94*F94</f>
        <v>0</v>
      </c>
    </row>
    <row r="95" spans="1:10" x14ac:dyDescent="0.2">
      <c r="A95" s="130"/>
      <c r="B95" s="3182"/>
      <c r="C95" s="291" t="s">
        <v>170</v>
      </c>
      <c r="D95" s="221" t="s">
        <v>95</v>
      </c>
      <c r="E95" s="353">
        <v>40</v>
      </c>
      <c r="F95" s="467">
        <v>0</v>
      </c>
      <c r="G95" s="1998">
        <f t="shared" si="5"/>
        <v>0</v>
      </c>
    </row>
    <row r="96" spans="1:10" x14ac:dyDescent="0.2">
      <c r="A96" s="130"/>
      <c r="B96" s="3183"/>
      <c r="C96" s="291" t="s">
        <v>171</v>
      </c>
      <c r="D96" s="221" t="s">
        <v>95</v>
      </c>
      <c r="E96" s="353">
        <v>80</v>
      </c>
      <c r="F96" s="467">
        <v>0</v>
      </c>
      <c r="G96" s="1998">
        <f t="shared" si="5"/>
        <v>0</v>
      </c>
    </row>
    <row r="97" spans="1:7" ht="36" x14ac:dyDescent="0.2">
      <c r="B97" s="154">
        <v>2</v>
      </c>
      <c r="C97" s="227" t="s">
        <v>172</v>
      </c>
      <c r="D97" s="209" t="s">
        <v>95</v>
      </c>
      <c r="E97" s="348">
        <f>E31</f>
        <v>7823</v>
      </c>
      <c r="F97" s="467">
        <v>0</v>
      </c>
      <c r="G97" s="1998">
        <f t="shared" si="4"/>
        <v>0</v>
      </c>
    </row>
    <row r="98" spans="1:7" ht="36" x14ac:dyDescent="0.2">
      <c r="B98" s="309" t="s">
        <v>173</v>
      </c>
      <c r="C98" s="227" t="s">
        <v>174</v>
      </c>
      <c r="D98" s="209" t="s">
        <v>95</v>
      </c>
      <c r="E98" s="348">
        <f>E31</f>
        <v>7823</v>
      </c>
      <c r="F98" s="467">
        <v>0</v>
      </c>
      <c r="G98" s="1998">
        <f>E98*F98</f>
        <v>0</v>
      </c>
    </row>
    <row r="99" spans="1:7" ht="24" x14ac:dyDescent="0.2">
      <c r="B99" s="309" t="s">
        <v>175</v>
      </c>
      <c r="C99" s="227" t="s">
        <v>176</v>
      </c>
      <c r="D99" s="209" t="s">
        <v>95</v>
      </c>
      <c r="E99" s="348">
        <f>E31</f>
        <v>7823</v>
      </c>
      <c r="F99" s="467">
        <v>0</v>
      </c>
      <c r="G99" s="1998">
        <f>E99*F99</f>
        <v>0</v>
      </c>
    </row>
    <row r="100" spans="1:7" ht="36" x14ac:dyDescent="0.2">
      <c r="B100" s="309" t="s">
        <v>177</v>
      </c>
      <c r="C100" s="227" t="s">
        <v>178</v>
      </c>
      <c r="D100" s="209" t="s">
        <v>95</v>
      </c>
      <c r="E100" s="348">
        <f>E31</f>
        <v>7823</v>
      </c>
      <c r="F100" s="467">
        <v>0</v>
      </c>
      <c r="G100" s="1998">
        <f>E100*F100</f>
        <v>0</v>
      </c>
    </row>
    <row r="101" spans="1:7" ht="24" x14ac:dyDescent="0.2">
      <c r="B101" s="153">
        <v>3</v>
      </c>
      <c r="C101" s="229" t="s">
        <v>179</v>
      </c>
      <c r="D101" s="198"/>
      <c r="E101" s="353"/>
      <c r="F101" s="358"/>
      <c r="G101" s="1998"/>
    </row>
    <row r="102" spans="1:7" x14ac:dyDescent="0.2">
      <c r="B102" s="292" t="s">
        <v>180</v>
      </c>
      <c r="C102" s="230" t="s">
        <v>181</v>
      </c>
      <c r="D102" s="231"/>
      <c r="E102" s="232"/>
      <c r="F102" s="233"/>
      <c r="G102" s="2003"/>
    </row>
    <row r="103" spans="1:7" x14ac:dyDescent="0.2">
      <c r="B103" s="129"/>
      <c r="C103" s="230" t="s">
        <v>836</v>
      </c>
      <c r="D103" s="231"/>
      <c r="E103" s="232"/>
      <c r="F103" s="233"/>
      <c r="G103" s="2003"/>
    </row>
    <row r="104" spans="1:7" x14ac:dyDescent="0.2">
      <c r="B104" s="129"/>
      <c r="C104" s="237" t="s">
        <v>1089</v>
      </c>
      <c r="D104" s="236" t="s">
        <v>149</v>
      </c>
      <c r="E104" s="232">
        <v>18</v>
      </c>
      <c r="F104" s="271">
        <v>0</v>
      </c>
      <c r="G104" s="2003">
        <f t="shared" ref="G104:G105" si="6">E104*F104</f>
        <v>0</v>
      </c>
    </row>
    <row r="105" spans="1:7" x14ac:dyDescent="0.2">
      <c r="B105" s="129"/>
      <c r="C105" s="237" t="s">
        <v>900</v>
      </c>
      <c r="D105" s="236" t="s">
        <v>149</v>
      </c>
      <c r="E105" s="232">
        <v>7</v>
      </c>
      <c r="F105" s="271">
        <v>0</v>
      </c>
      <c r="G105" s="2003">
        <f t="shared" si="6"/>
        <v>0</v>
      </c>
    </row>
    <row r="106" spans="1:7" x14ac:dyDescent="0.2">
      <c r="B106" s="129"/>
      <c r="C106" s="230" t="s">
        <v>185</v>
      </c>
      <c r="D106" s="231"/>
      <c r="E106" s="232"/>
      <c r="F106" s="233"/>
      <c r="G106" s="2003"/>
    </row>
    <row r="107" spans="1:7" x14ac:dyDescent="0.2">
      <c r="A107" s="147"/>
      <c r="B107" s="152"/>
      <c r="C107" s="235" t="s">
        <v>186</v>
      </c>
      <c r="D107" s="236" t="s">
        <v>149</v>
      </c>
      <c r="E107" s="232">
        <v>8</v>
      </c>
      <c r="F107" s="271">
        <v>0</v>
      </c>
      <c r="G107" s="2003">
        <f t="shared" ref="G107:G108" si="7">E107*F107</f>
        <v>0</v>
      </c>
    </row>
    <row r="108" spans="1:7" x14ac:dyDescent="0.2">
      <c r="A108" s="147"/>
      <c r="B108" s="152"/>
      <c r="C108" s="235" t="s">
        <v>187</v>
      </c>
      <c r="D108" s="236" t="s">
        <v>149</v>
      </c>
      <c r="E108" s="232">
        <v>3</v>
      </c>
      <c r="F108" s="271">
        <v>0</v>
      </c>
      <c r="G108" s="2003">
        <f t="shared" si="7"/>
        <v>0</v>
      </c>
    </row>
    <row r="109" spans="1:7" x14ac:dyDescent="0.2">
      <c r="A109" s="136"/>
      <c r="B109" s="292" t="s">
        <v>188</v>
      </c>
      <c r="C109" s="238" t="s">
        <v>189</v>
      </c>
      <c r="D109" s="239"/>
      <c r="E109" s="240"/>
      <c r="F109" s="241"/>
      <c r="G109" s="2004"/>
    </row>
    <row r="110" spans="1:7" x14ac:dyDescent="0.2">
      <c r="A110" s="136"/>
      <c r="B110" s="135"/>
      <c r="C110" s="238" t="s">
        <v>1090</v>
      </c>
      <c r="D110" s="239"/>
      <c r="E110" s="240"/>
      <c r="F110" s="241"/>
      <c r="G110" s="2004"/>
    </row>
    <row r="111" spans="1:7" x14ac:dyDescent="0.2">
      <c r="A111" s="136"/>
      <c r="B111" s="135"/>
      <c r="C111" s="243" t="s">
        <v>191</v>
      </c>
      <c r="D111" s="239" t="s">
        <v>149</v>
      </c>
      <c r="E111" s="240">
        <v>4</v>
      </c>
      <c r="F111" s="273">
        <v>0</v>
      </c>
      <c r="G111" s="2004">
        <f t="shared" ref="G111:G117" si="8">E111*F111</f>
        <v>0</v>
      </c>
    </row>
    <row r="112" spans="1:7" ht="36" x14ac:dyDescent="0.2">
      <c r="A112" s="136"/>
      <c r="B112" s="135"/>
      <c r="C112" s="244" t="s">
        <v>192</v>
      </c>
      <c r="D112" s="239" t="s">
        <v>149</v>
      </c>
      <c r="E112" s="240">
        <v>4</v>
      </c>
      <c r="F112" s="273">
        <v>0</v>
      </c>
      <c r="G112" s="2004">
        <f t="shared" si="8"/>
        <v>0</v>
      </c>
    </row>
    <row r="113" spans="1:7" x14ac:dyDescent="0.2">
      <c r="A113" s="136"/>
      <c r="B113" s="135"/>
      <c r="C113" s="244" t="s">
        <v>193</v>
      </c>
      <c r="D113" s="239" t="s">
        <v>149</v>
      </c>
      <c r="E113" s="240">
        <v>4</v>
      </c>
      <c r="F113" s="273">
        <v>0</v>
      </c>
      <c r="G113" s="2004">
        <f t="shared" si="8"/>
        <v>0</v>
      </c>
    </row>
    <row r="114" spans="1:7" x14ac:dyDescent="0.2">
      <c r="A114" s="136"/>
      <c r="B114" s="135"/>
      <c r="C114" s="245" t="s">
        <v>235</v>
      </c>
      <c r="D114" s="239" t="s">
        <v>149</v>
      </c>
      <c r="E114" s="240">
        <v>8</v>
      </c>
      <c r="F114" s="273">
        <v>0</v>
      </c>
      <c r="G114" s="2004">
        <f t="shared" si="8"/>
        <v>0</v>
      </c>
    </row>
    <row r="115" spans="1:7" x14ac:dyDescent="0.2">
      <c r="A115" s="136"/>
      <c r="B115" s="135"/>
      <c r="C115" s="245" t="s">
        <v>1091</v>
      </c>
      <c r="D115" s="239" t="s">
        <v>149</v>
      </c>
      <c r="E115" s="240">
        <v>8</v>
      </c>
      <c r="F115" s="273">
        <v>0</v>
      </c>
      <c r="G115" s="2004">
        <f t="shared" si="8"/>
        <v>0</v>
      </c>
    </row>
    <row r="116" spans="1:7" x14ac:dyDescent="0.2">
      <c r="A116" s="136"/>
      <c r="B116" s="135"/>
      <c r="C116" s="245" t="s">
        <v>197</v>
      </c>
      <c r="D116" s="239" t="s">
        <v>149</v>
      </c>
      <c r="E116" s="240">
        <v>4</v>
      </c>
      <c r="F116" s="273">
        <v>0</v>
      </c>
      <c r="G116" s="2004">
        <f t="shared" si="8"/>
        <v>0</v>
      </c>
    </row>
    <row r="117" spans="1:7" x14ac:dyDescent="0.2">
      <c r="A117" s="136"/>
      <c r="B117" s="135"/>
      <c r="C117" s="246" t="s">
        <v>198</v>
      </c>
      <c r="D117" s="239" t="s">
        <v>149</v>
      </c>
      <c r="E117" s="240">
        <v>4</v>
      </c>
      <c r="F117" s="273">
        <v>0</v>
      </c>
      <c r="G117" s="2004">
        <f t="shared" si="8"/>
        <v>0</v>
      </c>
    </row>
    <row r="118" spans="1:7" x14ac:dyDescent="0.2">
      <c r="A118" s="136"/>
      <c r="B118" s="135"/>
      <c r="C118" s="238" t="s">
        <v>840</v>
      </c>
      <c r="D118" s="239"/>
      <c r="E118" s="240"/>
      <c r="F118" s="241"/>
      <c r="G118" s="2004"/>
    </row>
    <row r="119" spans="1:7" x14ac:dyDescent="0.2">
      <c r="A119" s="136"/>
      <c r="B119" s="135"/>
      <c r="C119" s="243" t="s">
        <v>841</v>
      </c>
      <c r="D119" s="239" t="s">
        <v>149</v>
      </c>
      <c r="E119" s="240">
        <v>4</v>
      </c>
      <c r="F119" s="273">
        <v>0</v>
      </c>
      <c r="G119" s="2004">
        <f t="shared" ref="G119:G127" si="9">E119*F119</f>
        <v>0</v>
      </c>
    </row>
    <row r="120" spans="1:7" ht="36" x14ac:dyDescent="0.2">
      <c r="A120" s="136"/>
      <c r="B120" s="135"/>
      <c r="C120" s="244" t="s">
        <v>285</v>
      </c>
      <c r="D120" s="239" t="s">
        <v>149</v>
      </c>
      <c r="E120" s="240">
        <v>4</v>
      </c>
      <c r="F120" s="273">
        <v>0</v>
      </c>
      <c r="G120" s="2004">
        <f t="shared" si="9"/>
        <v>0</v>
      </c>
    </row>
    <row r="121" spans="1:7" x14ac:dyDescent="0.2">
      <c r="A121" s="136"/>
      <c r="B121" s="135"/>
      <c r="C121" s="244" t="s">
        <v>193</v>
      </c>
      <c r="D121" s="239" t="s">
        <v>149</v>
      </c>
      <c r="E121" s="240">
        <v>4</v>
      </c>
      <c r="F121" s="273">
        <v>0</v>
      </c>
      <c r="G121" s="2004">
        <f t="shared" si="9"/>
        <v>0</v>
      </c>
    </row>
    <row r="122" spans="1:7" x14ac:dyDescent="0.2">
      <c r="A122" s="136"/>
      <c r="B122" s="135"/>
      <c r="C122" s="245" t="s">
        <v>239</v>
      </c>
      <c r="D122" s="239" t="s">
        <v>149</v>
      </c>
      <c r="E122" s="240">
        <v>8</v>
      </c>
      <c r="F122" s="273">
        <v>0</v>
      </c>
      <c r="G122" s="2004">
        <f t="shared" si="9"/>
        <v>0</v>
      </c>
    </row>
    <row r="123" spans="1:7" x14ac:dyDescent="0.2">
      <c r="A123" s="136"/>
      <c r="B123" s="135"/>
      <c r="C123" s="245" t="s">
        <v>240</v>
      </c>
      <c r="D123" s="239" t="s">
        <v>149</v>
      </c>
      <c r="E123" s="240">
        <v>8</v>
      </c>
      <c r="F123" s="273">
        <v>0</v>
      </c>
      <c r="G123" s="2004">
        <f t="shared" si="9"/>
        <v>0</v>
      </c>
    </row>
    <row r="124" spans="1:7" x14ac:dyDescent="0.2">
      <c r="A124" s="136"/>
      <c r="B124" s="135"/>
      <c r="C124" s="245" t="s">
        <v>241</v>
      </c>
      <c r="D124" s="239" t="s">
        <v>149</v>
      </c>
      <c r="E124" s="240">
        <v>8</v>
      </c>
      <c r="F124" s="273">
        <v>0</v>
      </c>
      <c r="G124" s="2004">
        <f t="shared" si="9"/>
        <v>0</v>
      </c>
    </row>
    <row r="125" spans="1:7" x14ac:dyDescent="0.2">
      <c r="A125" s="136"/>
      <c r="B125" s="135"/>
      <c r="C125" s="245" t="s">
        <v>242</v>
      </c>
      <c r="D125" s="239" t="s">
        <v>149</v>
      </c>
      <c r="E125" s="240">
        <v>8</v>
      </c>
      <c r="F125" s="273">
        <v>0</v>
      </c>
      <c r="G125" s="2004">
        <f t="shared" si="9"/>
        <v>0</v>
      </c>
    </row>
    <row r="126" spans="1:7" x14ac:dyDescent="0.2">
      <c r="A126" s="136"/>
      <c r="B126" s="135"/>
      <c r="C126" s="245" t="s">
        <v>197</v>
      </c>
      <c r="D126" s="239" t="s">
        <v>149</v>
      </c>
      <c r="E126" s="240">
        <v>4</v>
      </c>
      <c r="F126" s="273">
        <v>0</v>
      </c>
      <c r="G126" s="2004">
        <f t="shared" si="9"/>
        <v>0</v>
      </c>
    </row>
    <row r="127" spans="1:7" x14ac:dyDescent="0.2">
      <c r="A127" s="136"/>
      <c r="B127" s="135"/>
      <c r="C127" s="246" t="s">
        <v>198</v>
      </c>
      <c r="D127" s="239" t="s">
        <v>149</v>
      </c>
      <c r="E127" s="240">
        <v>4</v>
      </c>
      <c r="F127" s="273">
        <v>0</v>
      </c>
      <c r="G127" s="2004">
        <f t="shared" si="9"/>
        <v>0</v>
      </c>
    </row>
    <row r="128" spans="1:7" x14ac:dyDescent="0.2">
      <c r="A128" s="136"/>
      <c r="B128" s="292" t="s">
        <v>199</v>
      </c>
      <c r="C128" s="247" t="s">
        <v>200</v>
      </c>
      <c r="D128" s="202"/>
      <c r="E128" s="248"/>
      <c r="F128" s="249"/>
      <c r="G128" s="2005"/>
    </row>
    <row r="129" spans="1:7" x14ac:dyDescent="0.2">
      <c r="A129" s="136"/>
      <c r="B129" s="135"/>
      <c r="C129" s="247" t="s">
        <v>201</v>
      </c>
      <c r="D129" s="202"/>
      <c r="E129" s="248"/>
      <c r="F129" s="249"/>
      <c r="G129" s="2005"/>
    </row>
    <row r="130" spans="1:7" ht="24" x14ac:dyDescent="0.2">
      <c r="A130" s="136"/>
      <c r="B130" s="135"/>
      <c r="C130" s="250" t="s">
        <v>1092</v>
      </c>
      <c r="D130" s="202" t="s">
        <v>149</v>
      </c>
      <c r="E130" s="248">
        <v>3</v>
      </c>
      <c r="F130" s="275">
        <v>0</v>
      </c>
      <c r="G130" s="2005">
        <f t="shared" ref="G130:G132" si="10">E130*F130</f>
        <v>0</v>
      </c>
    </row>
    <row r="131" spans="1:7" x14ac:dyDescent="0.2">
      <c r="A131" s="136"/>
      <c r="B131" s="135"/>
      <c r="C131" s="251" t="s">
        <v>203</v>
      </c>
      <c r="D131" s="202" t="s">
        <v>149</v>
      </c>
      <c r="E131" s="248">
        <v>3</v>
      </c>
      <c r="F131" s="275">
        <v>0</v>
      </c>
      <c r="G131" s="2005">
        <f t="shared" si="10"/>
        <v>0</v>
      </c>
    </row>
    <row r="132" spans="1:7" x14ac:dyDescent="0.2">
      <c r="A132" s="136"/>
      <c r="B132" s="135"/>
      <c r="C132" s="252" t="s">
        <v>198</v>
      </c>
      <c r="D132" s="202" t="s">
        <v>149</v>
      </c>
      <c r="E132" s="248">
        <v>3</v>
      </c>
      <c r="F132" s="275">
        <v>0</v>
      </c>
      <c r="G132" s="2005">
        <f t="shared" si="10"/>
        <v>0</v>
      </c>
    </row>
    <row r="133" spans="1:7" x14ac:dyDescent="0.2">
      <c r="A133" s="136"/>
      <c r="B133" s="292" t="s">
        <v>204</v>
      </c>
      <c r="C133" s="253" t="s">
        <v>205</v>
      </c>
      <c r="D133" s="254"/>
      <c r="E133" s="255"/>
      <c r="F133" s="256"/>
      <c r="G133" s="2006"/>
    </row>
    <row r="134" spans="1:7" x14ac:dyDescent="0.2">
      <c r="A134" s="136"/>
      <c r="B134" s="135"/>
      <c r="C134" s="253" t="s">
        <v>1093</v>
      </c>
      <c r="D134" s="254"/>
      <c r="E134" s="255"/>
      <c r="F134" s="256"/>
      <c r="G134" s="2006"/>
    </row>
    <row r="135" spans="1:7" x14ac:dyDescent="0.2">
      <c r="A135" s="136"/>
      <c r="B135" s="135"/>
      <c r="C135" s="258" t="s">
        <v>207</v>
      </c>
      <c r="D135" s="254" t="s">
        <v>149</v>
      </c>
      <c r="E135" s="255">
        <v>5</v>
      </c>
      <c r="F135" s="277">
        <v>0</v>
      </c>
      <c r="G135" s="2006">
        <f t="shared" ref="G135:G149" si="11">E135*F135</f>
        <v>0</v>
      </c>
    </row>
    <row r="136" spans="1:7" x14ac:dyDescent="0.2">
      <c r="A136" s="136"/>
      <c r="B136" s="135"/>
      <c r="C136" s="258" t="s">
        <v>208</v>
      </c>
      <c r="D136" s="254" t="s">
        <v>149</v>
      </c>
      <c r="E136" s="255">
        <v>10</v>
      </c>
      <c r="F136" s="277">
        <v>0</v>
      </c>
      <c r="G136" s="2006">
        <f t="shared" si="11"/>
        <v>0</v>
      </c>
    </row>
    <row r="137" spans="1:7" x14ac:dyDescent="0.2">
      <c r="A137" s="136"/>
      <c r="B137" s="135"/>
      <c r="C137" s="259" t="s">
        <v>843</v>
      </c>
      <c r="D137" s="254" t="s">
        <v>149</v>
      </c>
      <c r="E137" s="255">
        <v>5</v>
      </c>
      <c r="F137" s="277">
        <v>0</v>
      </c>
      <c r="G137" s="2006">
        <f t="shared" si="11"/>
        <v>0</v>
      </c>
    </row>
    <row r="138" spans="1:7" x14ac:dyDescent="0.2">
      <c r="A138" s="136"/>
      <c r="B138" s="135"/>
      <c r="C138" s="259" t="s">
        <v>210</v>
      </c>
      <c r="D138" s="254" t="s">
        <v>149</v>
      </c>
      <c r="E138" s="255">
        <v>5</v>
      </c>
      <c r="F138" s="277">
        <v>0</v>
      </c>
      <c r="G138" s="2006">
        <f t="shared" si="11"/>
        <v>0</v>
      </c>
    </row>
    <row r="139" spans="1:7" x14ac:dyDescent="0.2">
      <c r="A139" s="136"/>
      <c r="B139" s="135"/>
      <c r="C139" s="259" t="s">
        <v>211</v>
      </c>
      <c r="D139" s="254" t="s">
        <v>149</v>
      </c>
      <c r="E139" s="255">
        <v>5</v>
      </c>
      <c r="F139" s="277">
        <v>0</v>
      </c>
      <c r="G139" s="2006">
        <f t="shared" si="11"/>
        <v>0</v>
      </c>
    </row>
    <row r="140" spans="1:7" x14ac:dyDescent="0.2">
      <c r="A140" s="136"/>
      <c r="B140" s="135"/>
      <c r="C140" s="259" t="s">
        <v>212</v>
      </c>
      <c r="D140" s="254" t="s">
        <v>149</v>
      </c>
      <c r="E140" s="255">
        <v>5</v>
      </c>
      <c r="F140" s="277">
        <v>0</v>
      </c>
      <c r="G140" s="2006">
        <f t="shared" si="11"/>
        <v>0</v>
      </c>
    </row>
    <row r="141" spans="1:7" x14ac:dyDescent="0.2">
      <c r="A141" s="136"/>
      <c r="B141" s="135"/>
      <c r="C141" s="259" t="s">
        <v>825</v>
      </c>
      <c r="D141" s="254" t="s">
        <v>149</v>
      </c>
      <c r="E141" s="255">
        <v>5</v>
      </c>
      <c r="F141" s="277">
        <v>0</v>
      </c>
      <c r="G141" s="2006">
        <f t="shared" si="11"/>
        <v>0</v>
      </c>
    </row>
    <row r="142" spans="1:7" x14ac:dyDescent="0.2">
      <c r="A142" s="136"/>
      <c r="B142" s="135"/>
      <c r="C142" s="259" t="s">
        <v>214</v>
      </c>
      <c r="D142" s="254" t="s">
        <v>149</v>
      </c>
      <c r="E142" s="255">
        <v>5</v>
      </c>
      <c r="F142" s="277">
        <v>0</v>
      </c>
      <c r="G142" s="2006">
        <f t="shared" si="11"/>
        <v>0</v>
      </c>
    </row>
    <row r="143" spans="1:7" x14ac:dyDescent="0.2">
      <c r="A143" s="136"/>
      <c r="B143" s="135"/>
      <c r="C143" s="259" t="s">
        <v>215</v>
      </c>
      <c r="D143" s="254" t="s">
        <v>149</v>
      </c>
      <c r="E143" s="255">
        <v>5</v>
      </c>
      <c r="F143" s="277">
        <v>0</v>
      </c>
      <c r="G143" s="2006">
        <f t="shared" si="11"/>
        <v>0</v>
      </c>
    </row>
    <row r="144" spans="1:7" x14ac:dyDescent="0.2">
      <c r="A144" s="136"/>
      <c r="B144" s="135"/>
      <c r="C144" s="260" t="s">
        <v>216</v>
      </c>
      <c r="D144" s="254" t="s">
        <v>149</v>
      </c>
      <c r="E144" s="255">
        <v>5</v>
      </c>
      <c r="F144" s="277">
        <v>0</v>
      </c>
      <c r="G144" s="2006">
        <f t="shared" si="11"/>
        <v>0</v>
      </c>
    </row>
    <row r="145" spans="1:7" x14ac:dyDescent="0.2">
      <c r="A145" s="136"/>
      <c r="B145" s="135"/>
      <c r="C145" s="260" t="s">
        <v>235</v>
      </c>
      <c r="D145" s="254" t="s">
        <v>149</v>
      </c>
      <c r="E145" s="255">
        <v>10</v>
      </c>
      <c r="F145" s="277">
        <v>0</v>
      </c>
      <c r="G145" s="2006">
        <f t="shared" si="11"/>
        <v>0</v>
      </c>
    </row>
    <row r="146" spans="1:7" x14ac:dyDescent="0.2">
      <c r="A146" s="136"/>
      <c r="B146" s="135"/>
      <c r="C146" s="260" t="s">
        <v>1091</v>
      </c>
      <c r="D146" s="254" t="s">
        <v>149</v>
      </c>
      <c r="E146" s="255">
        <v>10</v>
      </c>
      <c r="F146" s="277">
        <v>0</v>
      </c>
      <c r="G146" s="2006">
        <f t="shared" si="11"/>
        <v>0</v>
      </c>
    </row>
    <row r="147" spans="1:7" x14ac:dyDescent="0.2">
      <c r="A147" s="136"/>
      <c r="B147" s="135"/>
      <c r="C147" s="260" t="s">
        <v>219</v>
      </c>
      <c r="D147" s="254" t="s">
        <v>149</v>
      </c>
      <c r="E147" s="255">
        <v>5</v>
      </c>
      <c r="F147" s="277">
        <v>0</v>
      </c>
      <c r="G147" s="2006">
        <f t="shared" si="11"/>
        <v>0</v>
      </c>
    </row>
    <row r="148" spans="1:7" x14ac:dyDescent="0.2">
      <c r="A148" s="136"/>
      <c r="B148" s="135"/>
      <c r="C148" s="260" t="s">
        <v>227</v>
      </c>
      <c r="D148" s="254" t="s">
        <v>149</v>
      </c>
      <c r="E148" s="255">
        <v>5</v>
      </c>
      <c r="F148" s="277">
        <v>0</v>
      </c>
      <c r="G148" s="2006">
        <f t="shared" si="11"/>
        <v>0</v>
      </c>
    </row>
    <row r="149" spans="1:7" x14ac:dyDescent="0.2">
      <c r="A149" s="136"/>
      <c r="B149" s="135"/>
      <c r="C149" s="261" t="s">
        <v>198</v>
      </c>
      <c r="D149" s="254" t="s">
        <v>149</v>
      </c>
      <c r="E149" s="255">
        <v>5</v>
      </c>
      <c r="F149" s="277">
        <v>0</v>
      </c>
      <c r="G149" s="2006">
        <f t="shared" si="11"/>
        <v>0</v>
      </c>
    </row>
    <row r="150" spans="1:7" x14ac:dyDescent="0.2">
      <c r="A150" s="136"/>
      <c r="B150" s="292" t="s">
        <v>220</v>
      </c>
      <c r="C150" s="238" t="s">
        <v>221</v>
      </c>
      <c r="D150" s="239"/>
      <c r="E150" s="240"/>
      <c r="F150" s="241"/>
      <c r="G150" s="2004"/>
    </row>
    <row r="151" spans="1:7" x14ac:dyDescent="0.2">
      <c r="A151" s="136"/>
      <c r="B151" s="135"/>
      <c r="C151" s="238" t="s">
        <v>1094</v>
      </c>
      <c r="D151" s="239"/>
      <c r="E151" s="240"/>
      <c r="F151" s="241"/>
      <c r="G151" s="2004"/>
    </row>
    <row r="152" spans="1:7" x14ac:dyDescent="0.2">
      <c r="A152" s="136"/>
      <c r="B152" s="135"/>
      <c r="C152" s="243" t="s">
        <v>207</v>
      </c>
      <c r="D152" s="239" t="s">
        <v>149</v>
      </c>
      <c r="E152" s="240">
        <v>6</v>
      </c>
      <c r="F152" s="273">
        <v>0</v>
      </c>
      <c r="G152" s="2004">
        <f t="shared" ref="G152:G162" si="12">E152*F152</f>
        <v>0</v>
      </c>
    </row>
    <row r="153" spans="1:7" ht="24" x14ac:dyDescent="0.2">
      <c r="A153" s="136"/>
      <c r="B153" s="135"/>
      <c r="C153" s="244" t="s">
        <v>223</v>
      </c>
      <c r="D153" s="239" t="s">
        <v>149</v>
      </c>
      <c r="E153" s="240">
        <v>6</v>
      </c>
      <c r="F153" s="273">
        <v>0</v>
      </c>
      <c r="G153" s="2004">
        <f t="shared" si="12"/>
        <v>0</v>
      </c>
    </row>
    <row r="154" spans="1:7" x14ac:dyDescent="0.2">
      <c r="A154" s="136"/>
      <c r="B154" s="135"/>
      <c r="C154" s="244" t="s">
        <v>213</v>
      </c>
      <c r="D154" s="239" t="s">
        <v>149</v>
      </c>
      <c r="E154" s="240">
        <v>6</v>
      </c>
      <c r="F154" s="273">
        <v>0</v>
      </c>
      <c r="G154" s="2004">
        <f t="shared" si="12"/>
        <v>0</v>
      </c>
    </row>
    <row r="155" spans="1:7" x14ac:dyDescent="0.2">
      <c r="A155" s="136"/>
      <c r="B155" s="135"/>
      <c r="C155" s="244" t="s">
        <v>1095</v>
      </c>
      <c r="D155" s="239" t="s">
        <v>149</v>
      </c>
      <c r="E155" s="240">
        <v>6</v>
      </c>
      <c r="F155" s="273">
        <v>0</v>
      </c>
      <c r="G155" s="2004">
        <f t="shared" si="12"/>
        <v>0</v>
      </c>
    </row>
    <row r="156" spans="1:7" x14ac:dyDescent="0.2">
      <c r="A156" s="136"/>
      <c r="B156" s="135"/>
      <c r="C156" s="244" t="s">
        <v>225</v>
      </c>
      <c r="D156" s="239" t="s">
        <v>149</v>
      </c>
      <c r="E156" s="240">
        <v>6</v>
      </c>
      <c r="F156" s="273">
        <v>0</v>
      </c>
      <c r="G156" s="2004">
        <f t="shared" si="12"/>
        <v>0</v>
      </c>
    </row>
    <row r="157" spans="1:7" x14ac:dyDescent="0.2">
      <c r="A157" s="136"/>
      <c r="B157" s="135"/>
      <c r="C157" s="245" t="s">
        <v>226</v>
      </c>
      <c r="D157" s="239" t="s">
        <v>149</v>
      </c>
      <c r="E157" s="240">
        <v>6</v>
      </c>
      <c r="F157" s="273">
        <v>0</v>
      </c>
      <c r="G157" s="2004">
        <f t="shared" si="12"/>
        <v>0</v>
      </c>
    </row>
    <row r="158" spans="1:7" x14ac:dyDescent="0.2">
      <c r="A158" s="136"/>
      <c r="B158" s="135"/>
      <c r="C158" s="245" t="s">
        <v>235</v>
      </c>
      <c r="D158" s="239" t="s">
        <v>149</v>
      </c>
      <c r="E158" s="240">
        <v>12</v>
      </c>
      <c r="F158" s="273">
        <v>0</v>
      </c>
      <c r="G158" s="2004">
        <f t="shared" si="12"/>
        <v>0</v>
      </c>
    </row>
    <row r="159" spans="1:7" x14ac:dyDescent="0.2">
      <c r="A159" s="136"/>
      <c r="B159" s="135"/>
      <c r="C159" s="245" t="s">
        <v>1091</v>
      </c>
      <c r="D159" s="239" t="s">
        <v>149</v>
      </c>
      <c r="E159" s="240">
        <v>12</v>
      </c>
      <c r="F159" s="273">
        <v>0</v>
      </c>
      <c r="G159" s="2004">
        <f t="shared" si="12"/>
        <v>0</v>
      </c>
    </row>
    <row r="160" spans="1:7" x14ac:dyDescent="0.2">
      <c r="A160" s="136"/>
      <c r="B160" s="135"/>
      <c r="C160" s="245" t="s">
        <v>227</v>
      </c>
      <c r="D160" s="239" t="s">
        <v>149</v>
      </c>
      <c r="E160" s="240">
        <v>6</v>
      </c>
      <c r="F160" s="273">
        <v>0</v>
      </c>
      <c r="G160" s="2004">
        <f t="shared" si="12"/>
        <v>0</v>
      </c>
    </row>
    <row r="161" spans="1:7" x14ac:dyDescent="0.2">
      <c r="A161" s="136"/>
      <c r="B161" s="135"/>
      <c r="C161" s="246" t="s">
        <v>198</v>
      </c>
      <c r="D161" s="239" t="s">
        <v>149</v>
      </c>
      <c r="E161" s="240">
        <v>6</v>
      </c>
      <c r="F161" s="273">
        <v>0</v>
      </c>
      <c r="G161" s="2004">
        <f t="shared" si="12"/>
        <v>0</v>
      </c>
    </row>
    <row r="162" spans="1:7" ht="24" x14ac:dyDescent="0.2">
      <c r="B162" s="309" t="s">
        <v>228</v>
      </c>
      <c r="C162" s="238" t="s">
        <v>229</v>
      </c>
      <c r="D162" s="239" t="s">
        <v>149</v>
      </c>
      <c r="E162" s="240">
        <v>6</v>
      </c>
      <c r="F162" s="273">
        <v>0</v>
      </c>
      <c r="G162" s="2004">
        <f t="shared" si="12"/>
        <v>0</v>
      </c>
    </row>
    <row r="163" spans="1:7" x14ac:dyDescent="0.2">
      <c r="A163" s="136"/>
      <c r="B163" s="292" t="s">
        <v>230</v>
      </c>
      <c r="C163" s="253" t="s">
        <v>231</v>
      </c>
      <c r="D163" s="254"/>
      <c r="E163" s="255"/>
      <c r="F163" s="256"/>
      <c r="G163" s="2006"/>
    </row>
    <row r="164" spans="1:7" x14ac:dyDescent="0.2">
      <c r="A164" s="136"/>
      <c r="B164" s="135"/>
      <c r="C164" s="253" t="s">
        <v>1096</v>
      </c>
      <c r="D164" s="254"/>
      <c r="E164" s="255"/>
      <c r="F164" s="256"/>
      <c r="G164" s="2006"/>
    </row>
    <row r="165" spans="1:7" ht="24" x14ac:dyDescent="0.2">
      <c r="A165" s="136"/>
      <c r="B165" s="135"/>
      <c r="C165" s="258" t="s">
        <v>1097</v>
      </c>
      <c r="D165" s="254" t="s">
        <v>149</v>
      </c>
      <c r="E165" s="255">
        <v>2</v>
      </c>
      <c r="F165" s="277">
        <v>0</v>
      </c>
      <c r="G165" s="2006">
        <f t="shared" ref="G165:G170" si="13">E165*F165</f>
        <v>0</v>
      </c>
    </row>
    <row r="166" spans="1:7" x14ac:dyDescent="0.2">
      <c r="A166" s="136"/>
      <c r="B166" s="135"/>
      <c r="C166" s="260" t="s">
        <v>354</v>
      </c>
      <c r="D166" s="254" t="s">
        <v>149</v>
      </c>
      <c r="E166" s="255">
        <v>4</v>
      </c>
      <c r="F166" s="277">
        <v>0</v>
      </c>
      <c r="G166" s="2006">
        <f t="shared" si="13"/>
        <v>0</v>
      </c>
    </row>
    <row r="167" spans="1:7" x14ac:dyDescent="0.2">
      <c r="A167" s="136"/>
      <c r="B167" s="135"/>
      <c r="C167" s="260" t="s">
        <v>235</v>
      </c>
      <c r="D167" s="254" t="s">
        <v>149</v>
      </c>
      <c r="E167" s="255">
        <v>2</v>
      </c>
      <c r="F167" s="277">
        <v>0</v>
      </c>
      <c r="G167" s="2006">
        <f t="shared" si="13"/>
        <v>0</v>
      </c>
    </row>
    <row r="168" spans="1:7" x14ac:dyDescent="0.2">
      <c r="A168" s="136"/>
      <c r="B168" s="135"/>
      <c r="C168" s="260" t="s">
        <v>1098</v>
      </c>
      <c r="D168" s="254" t="s">
        <v>149</v>
      </c>
      <c r="E168" s="255">
        <v>2</v>
      </c>
      <c r="F168" s="277">
        <v>0</v>
      </c>
      <c r="G168" s="2006">
        <f t="shared" si="13"/>
        <v>0</v>
      </c>
    </row>
    <row r="169" spans="1:7" x14ac:dyDescent="0.2">
      <c r="A169" s="136"/>
      <c r="B169" s="135"/>
      <c r="C169" s="260" t="s">
        <v>227</v>
      </c>
      <c r="D169" s="254" t="s">
        <v>149</v>
      </c>
      <c r="E169" s="255">
        <v>2</v>
      </c>
      <c r="F169" s="277">
        <v>0</v>
      </c>
      <c r="G169" s="2006">
        <f t="shared" si="13"/>
        <v>0</v>
      </c>
    </row>
    <row r="170" spans="1:7" x14ac:dyDescent="0.2">
      <c r="A170" s="136"/>
      <c r="B170" s="135"/>
      <c r="C170" s="261" t="s">
        <v>198</v>
      </c>
      <c r="D170" s="254" t="s">
        <v>149</v>
      </c>
      <c r="E170" s="255">
        <v>2</v>
      </c>
      <c r="F170" s="277">
        <v>0</v>
      </c>
      <c r="G170" s="2006">
        <f t="shared" si="13"/>
        <v>0</v>
      </c>
    </row>
    <row r="171" spans="1:7" x14ac:dyDescent="0.2">
      <c r="A171" s="136"/>
      <c r="B171" s="135"/>
      <c r="C171" s="253" t="s">
        <v>1099</v>
      </c>
      <c r="D171" s="254"/>
      <c r="E171" s="255"/>
      <c r="F171" s="256"/>
      <c r="G171" s="2006"/>
    </row>
    <row r="172" spans="1:7" x14ac:dyDescent="0.2">
      <c r="A172" s="136"/>
      <c r="B172" s="135"/>
      <c r="C172" s="260" t="s">
        <v>208</v>
      </c>
      <c r="D172" s="254" t="s">
        <v>149</v>
      </c>
      <c r="E172" s="255">
        <v>2</v>
      </c>
      <c r="F172" s="277">
        <v>0</v>
      </c>
      <c r="G172" s="2006">
        <f t="shared" ref="G172:G178" si="14">E172*F172</f>
        <v>0</v>
      </c>
    </row>
    <row r="173" spans="1:7" x14ac:dyDescent="0.2">
      <c r="A173" s="136"/>
      <c r="B173" s="135"/>
      <c r="C173" s="260" t="s">
        <v>235</v>
      </c>
      <c r="D173" s="254" t="s">
        <v>149</v>
      </c>
      <c r="E173" s="255">
        <v>4</v>
      </c>
      <c r="F173" s="277">
        <v>0</v>
      </c>
      <c r="G173" s="2006">
        <f t="shared" si="14"/>
        <v>0</v>
      </c>
    </row>
    <row r="174" spans="1:7" x14ac:dyDescent="0.2">
      <c r="A174" s="136"/>
      <c r="B174" s="135"/>
      <c r="C174" s="260" t="s">
        <v>1091</v>
      </c>
      <c r="D174" s="254" t="s">
        <v>149</v>
      </c>
      <c r="E174" s="255">
        <v>4</v>
      </c>
      <c r="F174" s="277">
        <v>0</v>
      </c>
      <c r="G174" s="2006">
        <f t="shared" si="14"/>
        <v>0</v>
      </c>
    </row>
    <row r="175" spans="1:7" x14ac:dyDescent="0.2">
      <c r="A175" s="136"/>
      <c r="B175" s="135"/>
      <c r="C175" s="260" t="s">
        <v>1100</v>
      </c>
      <c r="D175" s="254" t="s">
        <v>149</v>
      </c>
      <c r="E175" s="255">
        <v>2</v>
      </c>
      <c r="F175" s="277">
        <v>0</v>
      </c>
      <c r="G175" s="2006">
        <f t="shared" si="14"/>
        <v>0</v>
      </c>
    </row>
    <row r="176" spans="1:7" x14ac:dyDescent="0.2">
      <c r="A176" s="136"/>
      <c r="B176" s="135"/>
      <c r="C176" s="260" t="s">
        <v>242</v>
      </c>
      <c r="D176" s="254" t="s">
        <v>149</v>
      </c>
      <c r="E176" s="255">
        <v>2</v>
      </c>
      <c r="F176" s="277">
        <v>0</v>
      </c>
      <c r="G176" s="2006">
        <f t="shared" si="14"/>
        <v>0</v>
      </c>
    </row>
    <row r="177" spans="1:7" x14ac:dyDescent="0.2">
      <c r="A177" s="136"/>
      <c r="B177" s="135"/>
      <c r="C177" s="260" t="s">
        <v>227</v>
      </c>
      <c r="D177" s="254" t="s">
        <v>149</v>
      </c>
      <c r="E177" s="255">
        <v>2</v>
      </c>
      <c r="F177" s="277">
        <v>0</v>
      </c>
      <c r="G177" s="2006">
        <f t="shared" si="14"/>
        <v>0</v>
      </c>
    </row>
    <row r="178" spans="1:7" x14ac:dyDescent="0.2">
      <c r="A178" s="136"/>
      <c r="B178" s="135"/>
      <c r="C178" s="261" t="s">
        <v>198</v>
      </c>
      <c r="D178" s="254" t="s">
        <v>149</v>
      </c>
      <c r="E178" s="255">
        <v>2</v>
      </c>
      <c r="F178" s="277">
        <v>0</v>
      </c>
      <c r="G178" s="2006">
        <f t="shared" si="14"/>
        <v>0</v>
      </c>
    </row>
    <row r="179" spans="1:7" x14ac:dyDescent="0.2">
      <c r="A179" s="136"/>
      <c r="B179" s="135"/>
      <c r="C179" s="253" t="s">
        <v>1101</v>
      </c>
      <c r="D179" s="254"/>
      <c r="E179" s="255"/>
      <c r="F179" s="256"/>
      <c r="G179" s="2006"/>
    </row>
    <row r="180" spans="1:7" x14ac:dyDescent="0.2">
      <c r="A180" s="136"/>
      <c r="B180" s="135"/>
      <c r="C180" s="258" t="s">
        <v>207</v>
      </c>
      <c r="D180" s="254" t="s">
        <v>149</v>
      </c>
      <c r="E180" s="255">
        <v>1</v>
      </c>
      <c r="F180" s="277">
        <v>0</v>
      </c>
      <c r="G180" s="2006">
        <f t="shared" ref="G180:G196" si="15">E180*F180</f>
        <v>0</v>
      </c>
    </row>
    <row r="181" spans="1:7" x14ac:dyDescent="0.2">
      <c r="A181" s="136"/>
      <c r="B181" s="135"/>
      <c r="C181" s="260" t="s">
        <v>235</v>
      </c>
      <c r="D181" s="254" t="s">
        <v>149</v>
      </c>
      <c r="E181" s="255">
        <v>1</v>
      </c>
      <c r="F181" s="277">
        <v>0</v>
      </c>
      <c r="G181" s="2006">
        <f t="shared" si="15"/>
        <v>0</v>
      </c>
    </row>
    <row r="182" spans="1:7" x14ac:dyDescent="0.2">
      <c r="A182" s="136"/>
      <c r="B182" s="135"/>
      <c r="C182" s="258" t="s">
        <v>208</v>
      </c>
      <c r="D182" s="254" t="s">
        <v>149</v>
      </c>
      <c r="E182" s="255">
        <v>2</v>
      </c>
      <c r="F182" s="277">
        <v>0</v>
      </c>
      <c r="G182" s="2006">
        <f t="shared" si="15"/>
        <v>0</v>
      </c>
    </row>
    <row r="183" spans="1:7" x14ac:dyDescent="0.2">
      <c r="A183" s="136"/>
      <c r="B183" s="135"/>
      <c r="C183" s="259" t="s">
        <v>843</v>
      </c>
      <c r="D183" s="254" t="s">
        <v>149</v>
      </c>
      <c r="E183" s="255">
        <v>1</v>
      </c>
      <c r="F183" s="277">
        <v>0</v>
      </c>
      <c r="G183" s="2006">
        <f t="shared" si="15"/>
        <v>0</v>
      </c>
    </row>
    <row r="184" spans="1:7" x14ac:dyDescent="0.2">
      <c r="A184" s="136"/>
      <c r="B184" s="135"/>
      <c r="C184" s="260" t="s">
        <v>1102</v>
      </c>
      <c r="D184" s="254" t="s">
        <v>149</v>
      </c>
      <c r="E184" s="255">
        <v>1</v>
      </c>
      <c r="F184" s="277">
        <v>0</v>
      </c>
      <c r="G184" s="2006">
        <f t="shared" si="15"/>
        <v>0</v>
      </c>
    </row>
    <row r="185" spans="1:7" x14ac:dyDescent="0.2">
      <c r="A185" s="136"/>
      <c r="B185" s="135"/>
      <c r="C185" s="259" t="s">
        <v>1103</v>
      </c>
      <c r="D185" s="254" t="s">
        <v>149</v>
      </c>
      <c r="E185" s="255">
        <v>1</v>
      </c>
      <c r="F185" s="277">
        <v>0</v>
      </c>
      <c r="G185" s="2006">
        <f t="shared" si="15"/>
        <v>0</v>
      </c>
    </row>
    <row r="186" spans="1:7" x14ac:dyDescent="0.2">
      <c r="A186" s="136"/>
      <c r="B186" s="135"/>
      <c r="C186" s="259" t="s">
        <v>210</v>
      </c>
      <c r="D186" s="254" t="s">
        <v>149</v>
      </c>
      <c r="E186" s="255">
        <v>1</v>
      </c>
      <c r="F186" s="277">
        <v>0</v>
      </c>
      <c r="G186" s="2006">
        <f t="shared" si="15"/>
        <v>0</v>
      </c>
    </row>
    <row r="187" spans="1:7" x14ac:dyDescent="0.2">
      <c r="A187" s="136"/>
      <c r="B187" s="135"/>
      <c r="C187" s="259" t="s">
        <v>211</v>
      </c>
      <c r="D187" s="254" t="s">
        <v>149</v>
      </c>
      <c r="E187" s="255">
        <v>1</v>
      </c>
      <c r="F187" s="277">
        <v>0</v>
      </c>
      <c r="G187" s="2006">
        <f t="shared" si="15"/>
        <v>0</v>
      </c>
    </row>
    <row r="188" spans="1:7" x14ac:dyDescent="0.2">
      <c r="A188" s="136"/>
      <c r="B188" s="135"/>
      <c r="C188" s="259" t="s">
        <v>212</v>
      </c>
      <c r="D188" s="254" t="s">
        <v>149</v>
      </c>
      <c r="E188" s="255">
        <v>1</v>
      </c>
      <c r="F188" s="277">
        <v>0</v>
      </c>
      <c r="G188" s="2006">
        <f t="shared" si="15"/>
        <v>0</v>
      </c>
    </row>
    <row r="189" spans="1:7" x14ac:dyDescent="0.2">
      <c r="A189" s="136"/>
      <c r="B189" s="135"/>
      <c r="C189" s="259" t="s">
        <v>1104</v>
      </c>
      <c r="D189" s="254" t="s">
        <v>149</v>
      </c>
      <c r="E189" s="255">
        <v>1</v>
      </c>
      <c r="F189" s="277">
        <v>0</v>
      </c>
      <c r="G189" s="2006">
        <f t="shared" si="15"/>
        <v>0</v>
      </c>
    </row>
    <row r="190" spans="1:7" x14ac:dyDescent="0.2">
      <c r="A190" s="136"/>
      <c r="B190" s="135"/>
      <c r="C190" s="259" t="s">
        <v>214</v>
      </c>
      <c r="D190" s="254" t="s">
        <v>149</v>
      </c>
      <c r="E190" s="255">
        <v>1</v>
      </c>
      <c r="F190" s="277">
        <v>0</v>
      </c>
      <c r="G190" s="2006">
        <f t="shared" si="15"/>
        <v>0</v>
      </c>
    </row>
    <row r="191" spans="1:7" x14ac:dyDescent="0.2">
      <c r="A191" s="136"/>
      <c r="B191" s="135"/>
      <c r="C191" s="259" t="s">
        <v>215</v>
      </c>
      <c r="D191" s="254" t="s">
        <v>149</v>
      </c>
      <c r="E191" s="255">
        <v>1</v>
      </c>
      <c r="F191" s="277">
        <v>0</v>
      </c>
      <c r="G191" s="2006">
        <f t="shared" si="15"/>
        <v>0</v>
      </c>
    </row>
    <row r="192" spans="1:7" x14ac:dyDescent="0.2">
      <c r="A192" s="136"/>
      <c r="B192" s="135"/>
      <c r="C192" s="260" t="s">
        <v>216</v>
      </c>
      <c r="D192" s="254" t="s">
        <v>149</v>
      </c>
      <c r="E192" s="255">
        <v>1</v>
      </c>
      <c r="F192" s="277">
        <v>0</v>
      </c>
      <c r="G192" s="2006">
        <f t="shared" si="15"/>
        <v>0</v>
      </c>
    </row>
    <row r="193" spans="1:7" x14ac:dyDescent="0.2">
      <c r="A193" s="136"/>
      <c r="B193" s="135"/>
      <c r="C193" s="260" t="s">
        <v>1098</v>
      </c>
      <c r="D193" s="254" t="s">
        <v>149</v>
      </c>
      <c r="E193" s="255">
        <v>1</v>
      </c>
      <c r="F193" s="277">
        <v>0</v>
      </c>
      <c r="G193" s="2006">
        <f t="shared" si="15"/>
        <v>0</v>
      </c>
    </row>
    <row r="194" spans="1:7" x14ac:dyDescent="0.2">
      <c r="A194" s="136"/>
      <c r="B194" s="135"/>
      <c r="C194" s="260" t="s">
        <v>219</v>
      </c>
      <c r="D194" s="254" t="s">
        <v>149</v>
      </c>
      <c r="E194" s="255">
        <v>1</v>
      </c>
      <c r="F194" s="277">
        <v>0</v>
      </c>
      <c r="G194" s="2006">
        <f t="shared" si="15"/>
        <v>0</v>
      </c>
    </row>
    <row r="195" spans="1:7" x14ac:dyDescent="0.2">
      <c r="A195" s="136"/>
      <c r="B195" s="135"/>
      <c r="C195" s="260" t="s">
        <v>227</v>
      </c>
      <c r="D195" s="254" t="s">
        <v>149</v>
      </c>
      <c r="E195" s="255">
        <v>1</v>
      </c>
      <c r="F195" s="277">
        <v>0</v>
      </c>
      <c r="G195" s="2006">
        <f t="shared" si="15"/>
        <v>0</v>
      </c>
    </row>
    <row r="196" spans="1:7" x14ac:dyDescent="0.2">
      <c r="A196" s="136"/>
      <c r="B196" s="135"/>
      <c r="C196" s="261" t="s">
        <v>198</v>
      </c>
      <c r="D196" s="254" t="s">
        <v>149</v>
      </c>
      <c r="E196" s="255">
        <v>1</v>
      </c>
      <c r="F196" s="277">
        <v>0</v>
      </c>
      <c r="G196" s="2006">
        <f t="shared" si="15"/>
        <v>0</v>
      </c>
    </row>
    <row r="197" spans="1:7" x14ac:dyDescent="0.2">
      <c r="A197" s="136"/>
      <c r="B197" s="135"/>
      <c r="C197" s="253" t="s">
        <v>1105</v>
      </c>
      <c r="D197" s="254"/>
      <c r="E197" s="255"/>
      <c r="F197" s="256"/>
      <c r="G197" s="2006"/>
    </row>
    <row r="198" spans="1:7" x14ac:dyDescent="0.2">
      <c r="A198" s="136"/>
      <c r="B198" s="135"/>
      <c r="C198" s="260" t="s">
        <v>235</v>
      </c>
      <c r="D198" s="254" t="s">
        <v>149</v>
      </c>
      <c r="E198" s="255">
        <v>2</v>
      </c>
      <c r="F198" s="277">
        <v>0</v>
      </c>
      <c r="G198" s="2006">
        <f t="shared" ref="G198:G214" si="16">E198*F198</f>
        <v>0</v>
      </c>
    </row>
    <row r="199" spans="1:7" x14ac:dyDescent="0.2">
      <c r="A199" s="136"/>
      <c r="B199" s="135"/>
      <c r="C199" s="258" t="s">
        <v>207</v>
      </c>
      <c r="D199" s="254" t="s">
        <v>149</v>
      </c>
      <c r="E199" s="255">
        <v>1</v>
      </c>
      <c r="F199" s="277">
        <v>0</v>
      </c>
      <c r="G199" s="2006">
        <f t="shared" si="16"/>
        <v>0</v>
      </c>
    </row>
    <row r="200" spans="1:7" x14ac:dyDescent="0.2">
      <c r="A200" s="136"/>
      <c r="B200" s="135"/>
      <c r="C200" s="258" t="s">
        <v>208</v>
      </c>
      <c r="D200" s="254" t="s">
        <v>149</v>
      </c>
      <c r="E200" s="255">
        <v>1</v>
      </c>
      <c r="F200" s="277">
        <v>0</v>
      </c>
      <c r="G200" s="2006">
        <f t="shared" si="16"/>
        <v>0</v>
      </c>
    </row>
    <row r="201" spans="1:7" x14ac:dyDescent="0.2">
      <c r="A201" s="136"/>
      <c r="B201" s="135"/>
      <c r="C201" s="259" t="s">
        <v>843</v>
      </c>
      <c r="D201" s="254" t="s">
        <v>149</v>
      </c>
      <c r="E201" s="255">
        <v>1</v>
      </c>
      <c r="F201" s="277">
        <v>0</v>
      </c>
      <c r="G201" s="2006">
        <f t="shared" si="16"/>
        <v>0</v>
      </c>
    </row>
    <row r="202" spans="1:7" x14ac:dyDescent="0.2">
      <c r="A202" s="136"/>
      <c r="B202" s="135"/>
      <c r="C202" s="260" t="s">
        <v>1091</v>
      </c>
      <c r="D202" s="254" t="s">
        <v>149</v>
      </c>
      <c r="E202" s="255">
        <v>2</v>
      </c>
      <c r="F202" s="277">
        <v>0</v>
      </c>
      <c r="G202" s="2006">
        <f t="shared" si="16"/>
        <v>0</v>
      </c>
    </row>
    <row r="203" spans="1:7" x14ac:dyDescent="0.2">
      <c r="A203" s="136"/>
      <c r="B203" s="135"/>
      <c r="C203" s="260" t="s">
        <v>1100</v>
      </c>
      <c r="D203" s="254" t="s">
        <v>149</v>
      </c>
      <c r="E203" s="255">
        <v>1</v>
      </c>
      <c r="F203" s="277">
        <v>0</v>
      </c>
      <c r="G203" s="2006">
        <f t="shared" si="16"/>
        <v>0</v>
      </c>
    </row>
    <row r="204" spans="1:7" x14ac:dyDescent="0.2">
      <c r="A204" s="136"/>
      <c r="B204" s="135"/>
      <c r="C204" s="260" t="s">
        <v>242</v>
      </c>
      <c r="D204" s="254" t="s">
        <v>149</v>
      </c>
      <c r="E204" s="255">
        <v>1</v>
      </c>
      <c r="F204" s="277">
        <v>0</v>
      </c>
      <c r="G204" s="2006">
        <f t="shared" si="16"/>
        <v>0</v>
      </c>
    </row>
    <row r="205" spans="1:7" x14ac:dyDescent="0.2">
      <c r="A205" s="136"/>
      <c r="B205" s="135"/>
      <c r="C205" s="259" t="s">
        <v>210</v>
      </c>
      <c r="D205" s="254" t="s">
        <v>149</v>
      </c>
      <c r="E205" s="255">
        <v>1</v>
      </c>
      <c r="F205" s="277">
        <v>0</v>
      </c>
      <c r="G205" s="2006">
        <f t="shared" si="16"/>
        <v>0</v>
      </c>
    </row>
    <row r="206" spans="1:7" x14ac:dyDescent="0.2">
      <c r="A206" s="136"/>
      <c r="B206" s="135"/>
      <c r="C206" s="259" t="s">
        <v>211</v>
      </c>
      <c r="D206" s="254" t="s">
        <v>149</v>
      </c>
      <c r="E206" s="255">
        <v>1</v>
      </c>
      <c r="F206" s="277">
        <v>0</v>
      </c>
      <c r="G206" s="2006">
        <f t="shared" si="16"/>
        <v>0</v>
      </c>
    </row>
    <row r="207" spans="1:7" x14ac:dyDescent="0.2">
      <c r="A207" s="136"/>
      <c r="B207" s="135"/>
      <c r="C207" s="259" t="s">
        <v>212</v>
      </c>
      <c r="D207" s="254" t="s">
        <v>149</v>
      </c>
      <c r="E207" s="255">
        <v>1</v>
      </c>
      <c r="F207" s="277">
        <v>0</v>
      </c>
      <c r="G207" s="2006">
        <f t="shared" si="16"/>
        <v>0</v>
      </c>
    </row>
    <row r="208" spans="1:7" x14ac:dyDescent="0.2">
      <c r="A208" s="136"/>
      <c r="B208" s="135"/>
      <c r="C208" s="259" t="s">
        <v>213</v>
      </c>
      <c r="D208" s="254" t="s">
        <v>149</v>
      </c>
      <c r="E208" s="255">
        <v>1</v>
      </c>
      <c r="F208" s="277">
        <v>0</v>
      </c>
      <c r="G208" s="2006">
        <f t="shared" si="16"/>
        <v>0</v>
      </c>
    </row>
    <row r="209" spans="1:7" x14ac:dyDescent="0.2">
      <c r="A209" s="136"/>
      <c r="B209" s="135"/>
      <c r="C209" s="259" t="s">
        <v>214</v>
      </c>
      <c r="D209" s="254" t="s">
        <v>149</v>
      </c>
      <c r="E209" s="255">
        <v>1</v>
      </c>
      <c r="F209" s="277">
        <v>0</v>
      </c>
      <c r="G209" s="2006">
        <f t="shared" si="16"/>
        <v>0</v>
      </c>
    </row>
    <row r="210" spans="1:7" x14ac:dyDescent="0.2">
      <c r="A210" s="136"/>
      <c r="B210" s="135"/>
      <c r="C210" s="259" t="s">
        <v>215</v>
      </c>
      <c r="D210" s="254" t="s">
        <v>149</v>
      </c>
      <c r="E210" s="255">
        <v>1</v>
      </c>
      <c r="F210" s="277">
        <v>0</v>
      </c>
      <c r="G210" s="2006">
        <f t="shared" si="16"/>
        <v>0</v>
      </c>
    </row>
    <row r="211" spans="1:7" x14ac:dyDescent="0.2">
      <c r="A211" s="136"/>
      <c r="B211" s="135"/>
      <c r="C211" s="260" t="s">
        <v>216</v>
      </c>
      <c r="D211" s="254" t="s">
        <v>149</v>
      </c>
      <c r="E211" s="255">
        <v>1</v>
      </c>
      <c r="F211" s="277">
        <v>0</v>
      </c>
      <c r="G211" s="2006">
        <f t="shared" si="16"/>
        <v>0</v>
      </c>
    </row>
    <row r="212" spans="1:7" x14ac:dyDescent="0.2">
      <c r="A212" s="136"/>
      <c r="B212" s="135"/>
      <c r="C212" s="260" t="s">
        <v>219</v>
      </c>
      <c r="D212" s="254" t="s">
        <v>149</v>
      </c>
      <c r="E212" s="255">
        <v>1</v>
      </c>
      <c r="F212" s="277">
        <v>0</v>
      </c>
      <c r="G212" s="2006">
        <f t="shared" si="16"/>
        <v>0</v>
      </c>
    </row>
    <row r="213" spans="1:7" x14ac:dyDescent="0.2">
      <c r="A213" s="136"/>
      <c r="B213" s="135"/>
      <c r="C213" s="260" t="s">
        <v>227</v>
      </c>
      <c r="D213" s="254" t="s">
        <v>149</v>
      </c>
      <c r="E213" s="255">
        <v>3</v>
      </c>
      <c r="F213" s="277">
        <v>0</v>
      </c>
      <c r="G213" s="2006">
        <f t="shared" si="16"/>
        <v>0</v>
      </c>
    </row>
    <row r="214" spans="1:7" x14ac:dyDescent="0.2">
      <c r="A214" s="136"/>
      <c r="B214" s="135"/>
      <c r="C214" s="261" t="s">
        <v>198</v>
      </c>
      <c r="D214" s="254" t="s">
        <v>149</v>
      </c>
      <c r="E214" s="255">
        <v>1</v>
      </c>
      <c r="F214" s="277">
        <v>0</v>
      </c>
      <c r="G214" s="2006">
        <f t="shared" si="16"/>
        <v>0</v>
      </c>
    </row>
    <row r="215" spans="1:7" x14ac:dyDescent="0.2">
      <c r="A215" s="136"/>
      <c r="B215" s="292" t="s">
        <v>243</v>
      </c>
      <c r="C215" s="247" t="s">
        <v>244</v>
      </c>
      <c r="D215" s="202"/>
      <c r="E215" s="248"/>
      <c r="F215" s="249"/>
      <c r="G215" s="2005"/>
    </row>
    <row r="216" spans="1:7" x14ac:dyDescent="0.2">
      <c r="A216" s="136"/>
      <c r="B216" s="135"/>
      <c r="C216" s="247" t="s">
        <v>1106</v>
      </c>
      <c r="D216" s="202"/>
      <c r="E216" s="248"/>
      <c r="F216" s="249"/>
      <c r="G216" s="2005"/>
    </row>
    <row r="217" spans="1:7" ht="36" x14ac:dyDescent="0.2">
      <c r="A217" s="136"/>
      <c r="B217" s="135"/>
      <c r="C217" s="262" t="s">
        <v>1107</v>
      </c>
      <c r="D217" s="202" t="s">
        <v>149</v>
      </c>
      <c r="E217" s="248">
        <v>4</v>
      </c>
      <c r="F217" s="275">
        <v>0</v>
      </c>
      <c r="G217" s="2005">
        <f t="shared" ref="G217:G219" si="17">E217*F217</f>
        <v>0</v>
      </c>
    </row>
    <row r="218" spans="1:7" x14ac:dyDescent="0.2">
      <c r="A218" s="136"/>
      <c r="B218" s="135"/>
      <c r="C218" s="251" t="s">
        <v>247</v>
      </c>
      <c r="D218" s="202" t="s">
        <v>149</v>
      </c>
      <c r="E218" s="248">
        <v>4</v>
      </c>
      <c r="F218" s="275">
        <v>0</v>
      </c>
      <c r="G218" s="2005">
        <f t="shared" si="17"/>
        <v>0</v>
      </c>
    </row>
    <row r="219" spans="1:7" x14ac:dyDescent="0.2">
      <c r="A219" s="136"/>
      <c r="B219" s="135"/>
      <c r="C219" s="263" t="s">
        <v>248</v>
      </c>
      <c r="D219" s="202" t="s">
        <v>149</v>
      </c>
      <c r="E219" s="248">
        <v>4</v>
      </c>
      <c r="F219" s="275">
        <v>0</v>
      </c>
      <c r="G219" s="2005">
        <f t="shared" si="17"/>
        <v>0</v>
      </c>
    </row>
    <row r="220" spans="1:7" x14ac:dyDescent="0.2">
      <c r="A220" s="136"/>
      <c r="B220" s="135"/>
      <c r="C220" s="247" t="s">
        <v>1108</v>
      </c>
      <c r="D220" s="202"/>
      <c r="E220" s="248"/>
      <c r="F220" s="249"/>
      <c r="G220" s="2005"/>
    </row>
    <row r="221" spans="1:7" ht="36" x14ac:dyDescent="0.2">
      <c r="A221" s="136"/>
      <c r="B221" s="135"/>
      <c r="C221" s="262" t="s">
        <v>1109</v>
      </c>
      <c r="D221" s="202" t="s">
        <v>149</v>
      </c>
      <c r="E221" s="248">
        <v>10</v>
      </c>
      <c r="F221" s="275">
        <v>0</v>
      </c>
      <c r="G221" s="2005">
        <f t="shared" ref="G221:G223" si="18">E221*F221</f>
        <v>0</v>
      </c>
    </row>
    <row r="222" spans="1:7" x14ac:dyDescent="0.2">
      <c r="A222" s="136"/>
      <c r="B222" s="135"/>
      <c r="C222" s="251" t="s">
        <v>247</v>
      </c>
      <c r="D222" s="202" t="s">
        <v>149</v>
      </c>
      <c r="E222" s="248">
        <v>10</v>
      </c>
      <c r="F222" s="275">
        <v>0</v>
      </c>
      <c r="G222" s="2005">
        <f t="shared" si="18"/>
        <v>0</v>
      </c>
    </row>
    <row r="223" spans="1:7" x14ac:dyDescent="0.2">
      <c r="A223" s="136"/>
      <c r="B223" s="135"/>
      <c r="C223" s="252" t="s">
        <v>198</v>
      </c>
      <c r="D223" s="202" t="s">
        <v>149</v>
      </c>
      <c r="E223" s="248">
        <v>10</v>
      </c>
      <c r="F223" s="275">
        <v>0</v>
      </c>
      <c r="G223" s="2005">
        <f t="shared" si="18"/>
        <v>0</v>
      </c>
    </row>
    <row r="224" spans="1:7" x14ac:dyDescent="0.2">
      <c r="A224" s="136"/>
      <c r="B224" s="135"/>
      <c r="C224" s="247" t="s">
        <v>1110</v>
      </c>
      <c r="D224" s="202"/>
      <c r="E224" s="248"/>
      <c r="F224" s="249"/>
      <c r="G224" s="2005"/>
    </row>
    <row r="225" spans="1:7" ht="36" x14ac:dyDescent="0.2">
      <c r="A225" s="136"/>
      <c r="B225" s="135"/>
      <c r="C225" s="262" t="s">
        <v>1111</v>
      </c>
      <c r="D225" s="202" t="s">
        <v>149</v>
      </c>
      <c r="E225" s="248">
        <v>11</v>
      </c>
      <c r="F225" s="275">
        <v>0</v>
      </c>
      <c r="G225" s="2005">
        <f t="shared" ref="G225:G227" si="19">E225*F225</f>
        <v>0</v>
      </c>
    </row>
    <row r="226" spans="1:7" x14ac:dyDescent="0.2">
      <c r="A226" s="136"/>
      <c r="B226" s="135"/>
      <c r="C226" s="251" t="s">
        <v>247</v>
      </c>
      <c r="D226" s="202" t="s">
        <v>149</v>
      </c>
      <c r="E226" s="248">
        <v>11</v>
      </c>
      <c r="F226" s="275">
        <v>0</v>
      </c>
      <c r="G226" s="2005">
        <f t="shared" si="19"/>
        <v>0</v>
      </c>
    </row>
    <row r="227" spans="1:7" x14ac:dyDescent="0.2">
      <c r="A227" s="136"/>
      <c r="B227" s="135"/>
      <c r="C227" s="263" t="s">
        <v>248</v>
      </c>
      <c r="D227" s="202" t="s">
        <v>149</v>
      </c>
      <c r="E227" s="248">
        <v>11</v>
      </c>
      <c r="F227" s="275">
        <v>0</v>
      </c>
      <c r="G227" s="2005">
        <f t="shared" si="19"/>
        <v>0</v>
      </c>
    </row>
    <row r="228" spans="1:7" x14ac:dyDescent="0.2">
      <c r="A228" s="136"/>
      <c r="B228" s="135"/>
      <c r="C228" s="247" t="s">
        <v>1112</v>
      </c>
      <c r="D228" s="202"/>
      <c r="E228" s="248"/>
      <c r="F228" s="249"/>
      <c r="G228" s="2005"/>
    </row>
    <row r="229" spans="1:7" ht="36" x14ac:dyDescent="0.2">
      <c r="A229" s="136"/>
      <c r="B229" s="135"/>
      <c r="C229" s="262" t="s">
        <v>1113</v>
      </c>
      <c r="D229" s="202" t="s">
        <v>149</v>
      </c>
      <c r="E229" s="248">
        <v>38</v>
      </c>
      <c r="F229" s="275">
        <v>0</v>
      </c>
      <c r="G229" s="2005">
        <f t="shared" ref="G229:G231" si="20">E229*F229</f>
        <v>0</v>
      </c>
    </row>
    <row r="230" spans="1:7" x14ac:dyDescent="0.2">
      <c r="A230" s="136"/>
      <c r="B230" s="135"/>
      <c r="C230" s="251" t="s">
        <v>247</v>
      </c>
      <c r="D230" s="202" t="s">
        <v>149</v>
      </c>
      <c r="E230" s="248">
        <v>38</v>
      </c>
      <c r="F230" s="275">
        <v>0</v>
      </c>
      <c r="G230" s="2005">
        <f t="shared" si="20"/>
        <v>0</v>
      </c>
    </row>
    <row r="231" spans="1:7" x14ac:dyDescent="0.2">
      <c r="A231" s="136"/>
      <c r="B231" s="135"/>
      <c r="C231" s="252" t="s">
        <v>198</v>
      </c>
      <c r="D231" s="202" t="s">
        <v>149</v>
      </c>
      <c r="E231" s="248">
        <v>38</v>
      </c>
      <c r="F231" s="275">
        <v>0</v>
      </c>
      <c r="G231" s="2005">
        <f t="shared" si="20"/>
        <v>0</v>
      </c>
    </row>
    <row r="232" spans="1:7" x14ac:dyDescent="0.2">
      <c r="A232" s="136"/>
      <c r="B232" s="135"/>
      <c r="C232" s="247" t="s">
        <v>828</v>
      </c>
      <c r="D232" s="202"/>
      <c r="E232" s="248"/>
      <c r="F232" s="249"/>
      <c r="G232" s="2005"/>
    </row>
    <row r="233" spans="1:7" ht="36" x14ac:dyDescent="0.2">
      <c r="A233" s="136"/>
      <c r="B233" s="135"/>
      <c r="C233" s="262" t="s">
        <v>829</v>
      </c>
      <c r="D233" s="202" t="s">
        <v>149</v>
      </c>
      <c r="E233" s="248">
        <v>34</v>
      </c>
      <c r="F233" s="275">
        <v>0</v>
      </c>
      <c r="G233" s="2005">
        <f t="shared" ref="G233:G235" si="21">E233*F233</f>
        <v>0</v>
      </c>
    </row>
    <row r="234" spans="1:7" x14ac:dyDescent="0.2">
      <c r="A234" s="136"/>
      <c r="B234" s="135"/>
      <c r="C234" s="251" t="s">
        <v>247</v>
      </c>
      <c r="D234" s="202" t="s">
        <v>149</v>
      </c>
      <c r="E234" s="248">
        <v>34</v>
      </c>
      <c r="F234" s="275">
        <v>0</v>
      </c>
      <c r="G234" s="2005">
        <f t="shared" si="21"/>
        <v>0</v>
      </c>
    </row>
    <row r="235" spans="1:7" x14ac:dyDescent="0.2">
      <c r="A235" s="136"/>
      <c r="B235" s="135"/>
      <c r="C235" s="252" t="s">
        <v>198</v>
      </c>
      <c r="D235" s="202" t="s">
        <v>149</v>
      </c>
      <c r="E235" s="248">
        <v>34</v>
      </c>
      <c r="F235" s="275">
        <v>0</v>
      </c>
      <c r="G235" s="2005">
        <f t="shared" si="21"/>
        <v>0</v>
      </c>
    </row>
    <row r="236" spans="1:7" x14ac:dyDescent="0.2">
      <c r="B236" s="292" t="s">
        <v>299</v>
      </c>
      <c r="C236" s="280" t="s">
        <v>300</v>
      </c>
      <c r="D236" s="281"/>
      <c r="E236" s="282"/>
      <c r="F236" s="283"/>
      <c r="G236" s="2007"/>
    </row>
    <row r="237" spans="1:7" ht="60" x14ac:dyDescent="0.2">
      <c r="A237" s="136"/>
      <c r="B237" s="135"/>
      <c r="C237" s="285" t="s">
        <v>301</v>
      </c>
      <c r="D237" s="286" t="s">
        <v>149</v>
      </c>
      <c r="E237" s="287">
        <v>71</v>
      </c>
      <c r="F237" s="288">
        <v>0</v>
      </c>
      <c r="G237" s="2008">
        <f t="shared" ref="G237" si="22">E237*F237</f>
        <v>0</v>
      </c>
    </row>
    <row r="238" spans="1:7" x14ac:dyDescent="0.2">
      <c r="A238" s="147"/>
      <c r="B238" s="293" t="s">
        <v>17</v>
      </c>
      <c r="C238" s="294" t="s">
        <v>302</v>
      </c>
      <c r="D238" s="218"/>
      <c r="E238" s="203"/>
      <c r="F238" s="204"/>
      <c r="G238" s="2001">
        <f>SUM(G86:G237)</f>
        <v>0</v>
      </c>
    </row>
  </sheetData>
  <mergeCells count="6">
    <mergeCell ref="B93:B96"/>
    <mergeCell ref="B41:G41"/>
    <mergeCell ref="B51:B52"/>
    <mergeCell ref="B64:B67"/>
    <mergeCell ref="B84:G84"/>
    <mergeCell ref="B85:G8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979D-E55E-497C-AF69-BFDB5F29FC6A}">
  <sheetPr codeName="Sheet61">
    <tabColor rgb="FF0070C0"/>
  </sheetPr>
  <dimension ref="B2:G36"/>
  <sheetViews>
    <sheetView topLeftCell="A17" workbookViewId="0">
      <selection activeCell="Q31" sqref="Q30:Q31"/>
    </sheetView>
  </sheetViews>
  <sheetFormatPr defaultRowHeight="12.75" x14ac:dyDescent="0.2"/>
  <cols>
    <col min="1" max="1" width="3.5703125" style="723" customWidth="1"/>
    <col min="2" max="2" width="11.140625" style="723" customWidth="1"/>
    <col min="3" max="3" width="51.28515625" style="723" customWidth="1"/>
    <col min="4" max="4" width="11.42578125" style="723" customWidth="1"/>
    <col min="5" max="5" width="6.7109375" style="723" customWidth="1"/>
    <col min="6" max="6" width="9.140625" style="723"/>
    <col min="7" max="7" width="18.5703125" style="723" customWidth="1"/>
    <col min="8" max="257" width="9.140625" style="723"/>
    <col min="258" max="258" width="11.140625" style="723" customWidth="1"/>
    <col min="259" max="259" width="51.28515625" style="723" customWidth="1"/>
    <col min="260" max="260" width="11.42578125" style="723" customWidth="1"/>
    <col min="261" max="261" width="6.7109375" style="723" customWidth="1"/>
    <col min="262" max="262" width="9.140625" style="723"/>
    <col min="263" max="263" width="16.7109375" style="723" customWidth="1"/>
    <col min="264" max="513" width="9.140625" style="723"/>
    <col min="514" max="514" width="11.140625" style="723" customWidth="1"/>
    <col min="515" max="515" width="51.28515625" style="723" customWidth="1"/>
    <col min="516" max="516" width="11.42578125" style="723" customWidth="1"/>
    <col min="517" max="517" width="6.7109375" style="723" customWidth="1"/>
    <col min="518" max="518" width="9.140625" style="723"/>
    <col min="519" max="519" width="16.7109375" style="723" customWidth="1"/>
    <col min="520" max="769" width="9.140625" style="723"/>
    <col min="770" max="770" width="11.140625" style="723" customWidth="1"/>
    <col min="771" max="771" width="51.28515625" style="723" customWidth="1"/>
    <col min="772" max="772" width="11.42578125" style="723" customWidth="1"/>
    <col min="773" max="773" width="6.7109375" style="723" customWidth="1"/>
    <col min="774" max="774" width="9.140625" style="723"/>
    <col min="775" max="775" width="16.7109375" style="723" customWidth="1"/>
    <col min="776" max="1025" width="9.140625" style="723"/>
    <col min="1026" max="1026" width="11.140625" style="723" customWidth="1"/>
    <col min="1027" max="1027" width="51.28515625" style="723" customWidth="1"/>
    <col min="1028" max="1028" width="11.42578125" style="723" customWidth="1"/>
    <col min="1029" max="1029" width="6.7109375" style="723" customWidth="1"/>
    <col min="1030" max="1030" width="9.140625" style="723"/>
    <col min="1031" max="1031" width="16.7109375" style="723" customWidth="1"/>
    <col min="1032" max="1281" width="9.140625" style="723"/>
    <col min="1282" max="1282" width="11.140625" style="723" customWidth="1"/>
    <col min="1283" max="1283" width="51.28515625" style="723" customWidth="1"/>
    <col min="1284" max="1284" width="11.42578125" style="723" customWidth="1"/>
    <col min="1285" max="1285" width="6.7109375" style="723" customWidth="1"/>
    <col min="1286" max="1286" width="9.140625" style="723"/>
    <col min="1287" max="1287" width="16.7109375" style="723" customWidth="1"/>
    <col min="1288" max="1537" width="9.140625" style="723"/>
    <col min="1538" max="1538" width="11.140625" style="723" customWidth="1"/>
    <col min="1539" max="1539" width="51.28515625" style="723" customWidth="1"/>
    <col min="1540" max="1540" width="11.42578125" style="723" customWidth="1"/>
    <col min="1541" max="1541" width="6.7109375" style="723" customWidth="1"/>
    <col min="1542" max="1542" width="9.140625" style="723"/>
    <col min="1543" max="1543" width="16.7109375" style="723" customWidth="1"/>
    <col min="1544" max="1793" width="9.140625" style="723"/>
    <col min="1794" max="1794" width="11.140625" style="723" customWidth="1"/>
    <col min="1795" max="1795" width="51.28515625" style="723" customWidth="1"/>
    <col min="1796" max="1796" width="11.42578125" style="723" customWidth="1"/>
    <col min="1797" max="1797" width="6.7109375" style="723" customWidth="1"/>
    <col min="1798" max="1798" width="9.140625" style="723"/>
    <col min="1799" max="1799" width="16.7109375" style="723" customWidth="1"/>
    <col min="1800" max="2049" width="9.140625" style="723"/>
    <col min="2050" max="2050" width="11.140625" style="723" customWidth="1"/>
    <col min="2051" max="2051" width="51.28515625" style="723" customWidth="1"/>
    <col min="2052" max="2052" width="11.42578125" style="723" customWidth="1"/>
    <col min="2053" max="2053" width="6.7109375" style="723" customWidth="1"/>
    <col min="2054" max="2054" width="9.140625" style="723"/>
    <col min="2055" max="2055" width="16.7109375" style="723" customWidth="1"/>
    <col min="2056" max="2305" width="9.140625" style="723"/>
    <col min="2306" max="2306" width="11.140625" style="723" customWidth="1"/>
    <col min="2307" max="2307" width="51.28515625" style="723" customWidth="1"/>
    <col min="2308" max="2308" width="11.42578125" style="723" customWidth="1"/>
    <col min="2309" max="2309" width="6.7109375" style="723" customWidth="1"/>
    <col min="2310" max="2310" width="9.140625" style="723"/>
    <col min="2311" max="2311" width="16.7109375" style="723" customWidth="1"/>
    <col min="2312" max="2561" width="9.140625" style="723"/>
    <col min="2562" max="2562" width="11.140625" style="723" customWidth="1"/>
    <col min="2563" max="2563" width="51.28515625" style="723" customWidth="1"/>
    <col min="2564" max="2564" width="11.42578125" style="723" customWidth="1"/>
    <col min="2565" max="2565" width="6.7109375" style="723" customWidth="1"/>
    <col min="2566" max="2566" width="9.140625" style="723"/>
    <col min="2567" max="2567" width="16.7109375" style="723" customWidth="1"/>
    <col min="2568" max="2817" width="9.140625" style="723"/>
    <col min="2818" max="2818" width="11.140625" style="723" customWidth="1"/>
    <col min="2819" max="2819" width="51.28515625" style="723" customWidth="1"/>
    <col min="2820" max="2820" width="11.42578125" style="723" customWidth="1"/>
    <col min="2821" max="2821" width="6.7109375" style="723" customWidth="1"/>
    <col min="2822" max="2822" width="9.140625" style="723"/>
    <col min="2823" max="2823" width="16.7109375" style="723" customWidth="1"/>
    <col min="2824" max="3073" width="9.140625" style="723"/>
    <col min="3074" max="3074" width="11.140625" style="723" customWidth="1"/>
    <col min="3075" max="3075" width="51.28515625" style="723" customWidth="1"/>
    <col min="3076" max="3076" width="11.42578125" style="723" customWidth="1"/>
    <col min="3077" max="3077" width="6.7109375" style="723" customWidth="1"/>
    <col min="3078" max="3078" width="9.140625" style="723"/>
    <col min="3079" max="3079" width="16.7109375" style="723" customWidth="1"/>
    <col min="3080" max="3329" width="9.140625" style="723"/>
    <col min="3330" max="3330" width="11.140625" style="723" customWidth="1"/>
    <col min="3331" max="3331" width="51.28515625" style="723" customWidth="1"/>
    <col min="3332" max="3332" width="11.42578125" style="723" customWidth="1"/>
    <col min="3333" max="3333" width="6.7109375" style="723" customWidth="1"/>
    <col min="3334" max="3334" width="9.140625" style="723"/>
    <col min="3335" max="3335" width="16.7109375" style="723" customWidth="1"/>
    <col min="3336" max="3585" width="9.140625" style="723"/>
    <col min="3586" max="3586" width="11.140625" style="723" customWidth="1"/>
    <col min="3587" max="3587" width="51.28515625" style="723" customWidth="1"/>
    <col min="3588" max="3588" width="11.42578125" style="723" customWidth="1"/>
    <col min="3589" max="3589" width="6.7109375" style="723" customWidth="1"/>
    <col min="3590" max="3590" width="9.140625" style="723"/>
    <col min="3591" max="3591" width="16.7109375" style="723" customWidth="1"/>
    <col min="3592" max="3841" width="9.140625" style="723"/>
    <col min="3842" max="3842" width="11.140625" style="723" customWidth="1"/>
    <col min="3843" max="3843" width="51.28515625" style="723" customWidth="1"/>
    <col min="3844" max="3844" width="11.42578125" style="723" customWidth="1"/>
    <col min="3845" max="3845" width="6.7109375" style="723" customWidth="1"/>
    <col min="3846" max="3846" width="9.140625" style="723"/>
    <col min="3847" max="3847" width="16.7109375" style="723" customWidth="1"/>
    <col min="3848" max="4097" width="9.140625" style="723"/>
    <col min="4098" max="4098" width="11.140625" style="723" customWidth="1"/>
    <col min="4099" max="4099" width="51.28515625" style="723" customWidth="1"/>
    <col min="4100" max="4100" width="11.42578125" style="723" customWidth="1"/>
    <col min="4101" max="4101" width="6.7109375" style="723" customWidth="1"/>
    <col min="4102" max="4102" width="9.140625" style="723"/>
    <col min="4103" max="4103" width="16.7109375" style="723" customWidth="1"/>
    <col min="4104" max="4353" width="9.140625" style="723"/>
    <col min="4354" max="4354" width="11.140625" style="723" customWidth="1"/>
    <col min="4355" max="4355" width="51.28515625" style="723" customWidth="1"/>
    <col min="4356" max="4356" width="11.42578125" style="723" customWidth="1"/>
    <col min="4357" max="4357" width="6.7109375" style="723" customWidth="1"/>
    <col min="4358" max="4358" width="9.140625" style="723"/>
    <col min="4359" max="4359" width="16.7109375" style="723" customWidth="1"/>
    <col min="4360" max="4609" width="9.140625" style="723"/>
    <col min="4610" max="4610" width="11.140625" style="723" customWidth="1"/>
    <col min="4611" max="4611" width="51.28515625" style="723" customWidth="1"/>
    <col min="4612" max="4612" width="11.42578125" style="723" customWidth="1"/>
    <col min="4613" max="4613" width="6.7109375" style="723" customWidth="1"/>
    <col min="4614" max="4614" width="9.140625" style="723"/>
    <col min="4615" max="4615" width="16.7109375" style="723" customWidth="1"/>
    <col min="4616" max="4865" width="9.140625" style="723"/>
    <col min="4866" max="4866" width="11.140625" style="723" customWidth="1"/>
    <col min="4867" max="4867" width="51.28515625" style="723" customWidth="1"/>
    <col min="4868" max="4868" width="11.42578125" style="723" customWidth="1"/>
    <col min="4869" max="4869" width="6.7109375" style="723" customWidth="1"/>
    <col min="4870" max="4870" width="9.140625" style="723"/>
    <col min="4871" max="4871" width="16.7109375" style="723" customWidth="1"/>
    <col min="4872" max="5121" width="9.140625" style="723"/>
    <col min="5122" max="5122" width="11.140625" style="723" customWidth="1"/>
    <col min="5123" max="5123" width="51.28515625" style="723" customWidth="1"/>
    <col min="5124" max="5124" width="11.42578125" style="723" customWidth="1"/>
    <col min="5125" max="5125" width="6.7109375" style="723" customWidth="1"/>
    <col min="5126" max="5126" width="9.140625" style="723"/>
    <col min="5127" max="5127" width="16.7109375" style="723" customWidth="1"/>
    <col min="5128" max="5377" width="9.140625" style="723"/>
    <col min="5378" max="5378" width="11.140625" style="723" customWidth="1"/>
    <col min="5379" max="5379" width="51.28515625" style="723" customWidth="1"/>
    <col min="5380" max="5380" width="11.42578125" style="723" customWidth="1"/>
    <col min="5381" max="5381" width="6.7109375" style="723" customWidth="1"/>
    <col min="5382" max="5382" width="9.140625" style="723"/>
    <col min="5383" max="5383" width="16.7109375" style="723" customWidth="1"/>
    <col min="5384" max="5633" width="9.140625" style="723"/>
    <col min="5634" max="5634" width="11.140625" style="723" customWidth="1"/>
    <col min="5635" max="5635" width="51.28515625" style="723" customWidth="1"/>
    <col min="5636" max="5636" width="11.42578125" style="723" customWidth="1"/>
    <col min="5637" max="5637" width="6.7109375" style="723" customWidth="1"/>
    <col min="5638" max="5638" width="9.140625" style="723"/>
    <col min="5639" max="5639" width="16.7109375" style="723" customWidth="1"/>
    <col min="5640" max="5889" width="9.140625" style="723"/>
    <col min="5890" max="5890" width="11.140625" style="723" customWidth="1"/>
    <col min="5891" max="5891" width="51.28515625" style="723" customWidth="1"/>
    <col min="5892" max="5892" width="11.42578125" style="723" customWidth="1"/>
    <col min="5893" max="5893" width="6.7109375" style="723" customWidth="1"/>
    <col min="5894" max="5894" width="9.140625" style="723"/>
    <col min="5895" max="5895" width="16.7109375" style="723" customWidth="1"/>
    <col min="5896" max="6145" width="9.140625" style="723"/>
    <col min="6146" max="6146" width="11.140625" style="723" customWidth="1"/>
    <col min="6147" max="6147" width="51.28515625" style="723" customWidth="1"/>
    <col min="6148" max="6148" width="11.42578125" style="723" customWidth="1"/>
    <col min="6149" max="6149" width="6.7109375" style="723" customWidth="1"/>
    <col min="6150" max="6150" width="9.140625" style="723"/>
    <col min="6151" max="6151" width="16.7109375" style="723" customWidth="1"/>
    <col min="6152" max="6401" width="9.140625" style="723"/>
    <col min="6402" max="6402" width="11.140625" style="723" customWidth="1"/>
    <col min="6403" max="6403" width="51.28515625" style="723" customWidth="1"/>
    <col min="6404" max="6404" width="11.42578125" style="723" customWidth="1"/>
    <col min="6405" max="6405" width="6.7109375" style="723" customWidth="1"/>
    <col min="6406" max="6406" width="9.140625" style="723"/>
    <col min="6407" max="6407" width="16.7109375" style="723" customWidth="1"/>
    <col min="6408" max="6657" width="9.140625" style="723"/>
    <col min="6658" max="6658" width="11.140625" style="723" customWidth="1"/>
    <col min="6659" max="6659" width="51.28515625" style="723" customWidth="1"/>
    <col min="6660" max="6660" width="11.42578125" style="723" customWidth="1"/>
    <col min="6661" max="6661" width="6.7109375" style="723" customWidth="1"/>
    <col min="6662" max="6662" width="9.140625" style="723"/>
    <col min="6663" max="6663" width="16.7109375" style="723" customWidth="1"/>
    <col min="6664" max="6913" width="9.140625" style="723"/>
    <col min="6914" max="6914" width="11.140625" style="723" customWidth="1"/>
    <col min="6915" max="6915" width="51.28515625" style="723" customWidth="1"/>
    <col min="6916" max="6916" width="11.42578125" style="723" customWidth="1"/>
    <col min="6917" max="6917" width="6.7109375" style="723" customWidth="1"/>
    <col min="6918" max="6918" width="9.140625" style="723"/>
    <col min="6919" max="6919" width="16.7109375" style="723" customWidth="1"/>
    <col min="6920" max="7169" width="9.140625" style="723"/>
    <col min="7170" max="7170" width="11.140625" style="723" customWidth="1"/>
    <col min="7171" max="7171" width="51.28515625" style="723" customWidth="1"/>
    <col min="7172" max="7172" width="11.42578125" style="723" customWidth="1"/>
    <col min="7173" max="7173" width="6.7109375" style="723" customWidth="1"/>
    <col min="7174" max="7174" width="9.140625" style="723"/>
    <col min="7175" max="7175" width="16.7109375" style="723" customWidth="1"/>
    <col min="7176" max="7425" width="9.140625" style="723"/>
    <col min="7426" max="7426" width="11.140625" style="723" customWidth="1"/>
    <col min="7427" max="7427" width="51.28515625" style="723" customWidth="1"/>
    <col min="7428" max="7428" width="11.42578125" style="723" customWidth="1"/>
    <col min="7429" max="7429" width="6.7109375" style="723" customWidth="1"/>
    <col min="7430" max="7430" width="9.140625" style="723"/>
    <col min="7431" max="7431" width="16.7109375" style="723" customWidth="1"/>
    <col min="7432" max="7681" width="9.140625" style="723"/>
    <col min="7682" max="7682" width="11.140625" style="723" customWidth="1"/>
    <col min="7683" max="7683" width="51.28515625" style="723" customWidth="1"/>
    <col min="7684" max="7684" width="11.42578125" style="723" customWidth="1"/>
    <col min="7685" max="7685" width="6.7109375" style="723" customWidth="1"/>
    <col min="7686" max="7686" width="9.140625" style="723"/>
    <col min="7687" max="7687" width="16.7109375" style="723" customWidth="1"/>
    <col min="7688" max="7937" width="9.140625" style="723"/>
    <col min="7938" max="7938" width="11.140625" style="723" customWidth="1"/>
    <col min="7939" max="7939" width="51.28515625" style="723" customWidth="1"/>
    <col min="7940" max="7940" width="11.42578125" style="723" customWidth="1"/>
    <col min="7941" max="7941" width="6.7109375" style="723" customWidth="1"/>
    <col min="7942" max="7942" width="9.140625" style="723"/>
    <col min="7943" max="7943" width="16.7109375" style="723" customWidth="1"/>
    <col min="7944" max="8193" width="9.140625" style="723"/>
    <col min="8194" max="8194" width="11.140625" style="723" customWidth="1"/>
    <col min="8195" max="8195" width="51.28515625" style="723" customWidth="1"/>
    <col min="8196" max="8196" width="11.42578125" style="723" customWidth="1"/>
    <col min="8197" max="8197" width="6.7109375" style="723" customWidth="1"/>
    <col min="8198" max="8198" width="9.140625" style="723"/>
    <col min="8199" max="8199" width="16.7109375" style="723" customWidth="1"/>
    <col min="8200" max="8449" width="9.140625" style="723"/>
    <col min="8450" max="8450" width="11.140625" style="723" customWidth="1"/>
    <col min="8451" max="8451" width="51.28515625" style="723" customWidth="1"/>
    <col min="8452" max="8452" width="11.42578125" style="723" customWidth="1"/>
    <col min="8453" max="8453" width="6.7109375" style="723" customWidth="1"/>
    <col min="8454" max="8454" width="9.140625" style="723"/>
    <col min="8455" max="8455" width="16.7109375" style="723" customWidth="1"/>
    <col min="8456" max="8705" width="9.140625" style="723"/>
    <col min="8706" max="8706" width="11.140625" style="723" customWidth="1"/>
    <col min="8707" max="8707" width="51.28515625" style="723" customWidth="1"/>
    <col min="8708" max="8708" width="11.42578125" style="723" customWidth="1"/>
    <col min="8709" max="8709" width="6.7109375" style="723" customWidth="1"/>
    <col min="8710" max="8710" width="9.140625" style="723"/>
    <col min="8711" max="8711" width="16.7109375" style="723" customWidth="1"/>
    <col min="8712" max="8961" width="9.140625" style="723"/>
    <col min="8962" max="8962" width="11.140625" style="723" customWidth="1"/>
    <col min="8963" max="8963" width="51.28515625" style="723" customWidth="1"/>
    <col min="8964" max="8964" width="11.42578125" style="723" customWidth="1"/>
    <col min="8965" max="8965" width="6.7109375" style="723" customWidth="1"/>
    <col min="8966" max="8966" width="9.140625" style="723"/>
    <col min="8967" max="8967" width="16.7109375" style="723" customWidth="1"/>
    <col min="8968" max="9217" width="9.140625" style="723"/>
    <col min="9218" max="9218" width="11.140625" style="723" customWidth="1"/>
    <col min="9219" max="9219" width="51.28515625" style="723" customWidth="1"/>
    <col min="9220" max="9220" width="11.42578125" style="723" customWidth="1"/>
    <col min="9221" max="9221" width="6.7109375" style="723" customWidth="1"/>
    <col min="9222" max="9222" width="9.140625" style="723"/>
    <col min="9223" max="9223" width="16.7109375" style="723" customWidth="1"/>
    <col min="9224" max="9473" width="9.140625" style="723"/>
    <col min="9474" max="9474" width="11.140625" style="723" customWidth="1"/>
    <col min="9475" max="9475" width="51.28515625" style="723" customWidth="1"/>
    <col min="9476" max="9476" width="11.42578125" style="723" customWidth="1"/>
    <col min="9477" max="9477" width="6.7109375" style="723" customWidth="1"/>
    <col min="9478" max="9478" width="9.140625" style="723"/>
    <col min="9479" max="9479" width="16.7109375" style="723" customWidth="1"/>
    <col min="9480" max="9729" width="9.140625" style="723"/>
    <col min="9730" max="9730" width="11.140625" style="723" customWidth="1"/>
    <col min="9731" max="9731" width="51.28515625" style="723" customWidth="1"/>
    <col min="9732" max="9732" width="11.42578125" style="723" customWidth="1"/>
    <col min="9733" max="9733" width="6.7109375" style="723" customWidth="1"/>
    <col min="9734" max="9734" width="9.140625" style="723"/>
    <col min="9735" max="9735" width="16.7109375" style="723" customWidth="1"/>
    <col min="9736" max="9985" width="9.140625" style="723"/>
    <col min="9986" max="9986" width="11.140625" style="723" customWidth="1"/>
    <col min="9987" max="9987" width="51.28515625" style="723" customWidth="1"/>
    <col min="9988" max="9988" width="11.42578125" style="723" customWidth="1"/>
    <col min="9989" max="9989" width="6.7109375" style="723" customWidth="1"/>
    <col min="9990" max="9990" width="9.140625" style="723"/>
    <col min="9991" max="9991" width="16.7109375" style="723" customWidth="1"/>
    <col min="9992" max="10241" width="9.140625" style="723"/>
    <col min="10242" max="10242" width="11.140625" style="723" customWidth="1"/>
    <col min="10243" max="10243" width="51.28515625" style="723" customWidth="1"/>
    <col min="10244" max="10244" width="11.42578125" style="723" customWidth="1"/>
    <col min="10245" max="10245" width="6.7109375" style="723" customWidth="1"/>
    <col min="10246" max="10246" width="9.140625" style="723"/>
    <col min="10247" max="10247" width="16.7109375" style="723" customWidth="1"/>
    <col min="10248" max="10497" width="9.140625" style="723"/>
    <col min="10498" max="10498" width="11.140625" style="723" customWidth="1"/>
    <col min="10499" max="10499" width="51.28515625" style="723" customWidth="1"/>
    <col min="10500" max="10500" width="11.42578125" style="723" customWidth="1"/>
    <col min="10501" max="10501" width="6.7109375" style="723" customWidth="1"/>
    <col min="10502" max="10502" width="9.140625" style="723"/>
    <col min="10503" max="10503" width="16.7109375" style="723" customWidth="1"/>
    <col min="10504" max="10753" width="9.140625" style="723"/>
    <col min="10754" max="10754" width="11.140625" style="723" customWidth="1"/>
    <col min="10755" max="10755" width="51.28515625" style="723" customWidth="1"/>
    <col min="10756" max="10756" width="11.42578125" style="723" customWidth="1"/>
    <col min="10757" max="10757" width="6.7109375" style="723" customWidth="1"/>
    <col min="10758" max="10758" width="9.140625" style="723"/>
    <col min="10759" max="10759" width="16.7109375" style="723" customWidth="1"/>
    <col min="10760" max="11009" width="9.140625" style="723"/>
    <col min="11010" max="11010" width="11.140625" style="723" customWidth="1"/>
    <col min="11011" max="11011" width="51.28515625" style="723" customWidth="1"/>
    <col min="11012" max="11012" width="11.42578125" style="723" customWidth="1"/>
    <col min="11013" max="11013" width="6.7109375" style="723" customWidth="1"/>
    <col min="11014" max="11014" width="9.140625" style="723"/>
    <col min="11015" max="11015" width="16.7109375" style="723" customWidth="1"/>
    <col min="11016" max="11265" width="9.140625" style="723"/>
    <col min="11266" max="11266" width="11.140625" style="723" customWidth="1"/>
    <col min="11267" max="11267" width="51.28515625" style="723" customWidth="1"/>
    <col min="11268" max="11268" width="11.42578125" style="723" customWidth="1"/>
    <col min="11269" max="11269" width="6.7109375" style="723" customWidth="1"/>
    <col min="11270" max="11270" width="9.140625" style="723"/>
    <col min="11271" max="11271" width="16.7109375" style="723" customWidth="1"/>
    <col min="11272" max="11521" width="9.140625" style="723"/>
    <col min="11522" max="11522" width="11.140625" style="723" customWidth="1"/>
    <col min="11523" max="11523" width="51.28515625" style="723" customWidth="1"/>
    <col min="11524" max="11524" width="11.42578125" style="723" customWidth="1"/>
    <col min="11525" max="11525" width="6.7109375" style="723" customWidth="1"/>
    <col min="11526" max="11526" width="9.140625" style="723"/>
    <col min="11527" max="11527" width="16.7109375" style="723" customWidth="1"/>
    <col min="11528" max="11777" width="9.140625" style="723"/>
    <col min="11778" max="11778" width="11.140625" style="723" customWidth="1"/>
    <col min="11779" max="11779" width="51.28515625" style="723" customWidth="1"/>
    <col min="11780" max="11780" width="11.42578125" style="723" customWidth="1"/>
    <col min="11781" max="11781" width="6.7109375" style="723" customWidth="1"/>
    <col min="11782" max="11782" width="9.140625" style="723"/>
    <col min="11783" max="11783" width="16.7109375" style="723" customWidth="1"/>
    <col min="11784" max="12033" width="9.140625" style="723"/>
    <col min="12034" max="12034" width="11.140625" style="723" customWidth="1"/>
    <col min="12035" max="12035" width="51.28515625" style="723" customWidth="1"/>
    <col min="12036" max="12036" width="11.42578125" style="723" customWidth="1"/>
    <col min="12037" max="12037" width="6.7109375" style="723" customWidth="1"/>
    <col min="12038" max="12038" width="9.140625" style="723"/>
    <col min="12039" max="12039" width="16.7109375" style="723" customWidth="1"/>
    <col min="12040" max="12289" width="9.140625" style="723"/>
    <col min="12290" max="12290" width="11.140625" style="723" customWidth="1"/>
    <col min="12291" max="12291" width="51.28515625" style="723" customWidth="1"/>
    <col min="12292" max="12292" width="11.42578125" style="723" customWidth="1"/>
    <col min="12293" max="12293" width="6.7109375" style="723" customWidth="1"/>
    <col min="12294" max="12294" width="9.140625" style="723"/>
    <col min="12295" max="12295" width="16.7109375" style="723" customWidth="1"/>
    <col min="12296" max="12545" width="9.140625" style="723"/>
    <col min="12546" max="12546" width="11.140625" style="723" customWidth="1"/>
    <col min="12547" max="12547" width="51.28515625" style="723" customWidth="1"/>
    <col min="12548" max="12548" width="11.42578125" style="723" customWidth="1"/>
    <col min="12549" max="12549" width="6.7109375" style="723" customWidth="1"/>
    <col min="12550" max="12550" width="9.140625" style="723"/>
    <col min="12551" max="12551" width="16.7109375" style="723" customWidth="1"/>
    <col min="12552" max="12801" width="9.140625" style="723"/>
    <col min="12802" max="12802" width="11.140625" style="723" customWidth="1"/>
    <col min="12803" max="12803" width="51.28515625" style="723" customWidth="1"/>
    <col min="12804" max="12804" width="11.42578125" style="723" customWidth="1"/>
    <col min="12805" max="12805" width="6.7109375" style="723" customWidth="1"/>
    <col min="12806" max="12806" width="9.140625" style="723"/>
    <col min="12807" max="12807" width="16.7109375" style="723" customWidth="1"/>
    <col min="12808" max="13057" width="9.140625" style="723"/>
    <col min="13058" max="13058" width="11.140625" style="723" customWidth="1"/>
    <col min="13059" max="13059" width="51.28515625" style="723" customWidth="1"/>
    <col min="13060" max="13060" width="11.42578125" style="723" customWidth="1"/>
    <col min="13061" max="13061" width="6.7109375" style="723" customWidth="1"/>
    <col min="13062" max="13062" width="9.140625" style="723"/>
    <col min="13063" max="13063" width="16.7109375" style="723" customWidth="1"/>
    <col min="13064" max="13313" width="9.140625" style="723"/>
    <col min="13314" max="13314" width="11.140625" style="723" customWidth="1"/>
    <col min="13315" max="13315" width="51.28515625" style="723" customWidth="1"/>
    <col min="13316" max="13316" width="11.42578125" style="723" customWidth="1"/>
    <col min="13317" max="13317" width="6.7109375" style="723" customWidth="1"/>
    <col min="13318" max="13318" width="9.140625" style="723"/>
    <col min="13319" max="13319" width="16.7109375" style="723" customWidth="1"/>
    <col min="13320" max="13569" width="9.140625" style="723"/>
    <col min="13570" max="13570" width="11.140625" style="723" customWidth="1"/>
    <col min="13571" max="13571" width="51.28515625" style="723" customWidth="1"/>
    <col min="13572" max="13572" width="11.42578125" style="723" customWidth="1"/>
    <col min="13573" max="13573" width="6.7109375" style="723" customWidth="1"/>
    <col min="13574" max="13574" width="9.140625" style="723"/>
    <col min="13575" max="13575" width="16.7109375" style="723" customWidth="1"/>
    <col min="13576" max="13825" width="9.140625" style="723"/>
    <col min="13826" max="13826" width="11.140625" style="723" customWidth="1"/>
    <col min="13827" max="13827" width="51.28515625" style="723" customWidth="1"/>
    <col min="13828" max="13828" width="11.42578125" style="723" customWidth="1"/>
    <col min="13829" max="13829" width="6.7109375" style="723" customWidth="1"/>
    <col min="13830" max="13830" width="9.140625" style="723"/>
    <col min="13831" max="13831" width="16.7109375" style="723" customWidth="1"/>
    <col min="13832" max="14081" width="9.140625" style="723"/>
    <col min="14082" max="14082" width="11.140625" style="723" customWidth="1"/>
    <col min="14083" max="14083" width="51.28515625" style="723" customWidth="1"/>
    <col min="14084" max="14084" width="11.42578125" style="723" customWidth="1"/>
    <col min="14085" max="14085" width="6.7109375" style="723" customWidth="1"/>
    <col min="14086" max="14086" width="9.140625" style="723"/>
    <col min="14087" max="14087" width="16.7109375" style="723" customWidth="1"/>
    <col min="14088" max="14337" width="9.140625" style="723"/>
    <col min="14338" max="14338" width="11.140625" style="723" customWidth="1"/>
    <col min="14339" max="14339" width="51.28515625" style="723" customWidth="1"/>
    <col min="14340" max="14340" width="11.42578125" style="723" customWidth="1"/>
    <col min="14341" max="14341" width="6.7109375" style="723" customWidth="1"/>
    <col min="14342" max="14342" width="9.140625" style="723"/>
    <col min="14343" max="14343" width="16.7109375" style="723" customWidth="1"/>
    <col min="14344" max="14593" width="9.140625" style="723"/>
    <col min="14594" max="14594" width="11.140625" style="723" customWidth="1"/>
    <col min="14595" max="14595" width="51.28515625" style="723" customWidth="1"/>
    <col min="14596" max="14596" width="11.42578125" style="723" customWidth="1"/>
    <col min="14597" max="14597" width="6.7109375" style="723" customWidth="1"/>
    <col min="14598" max="14598" width="9.140625" style="723"/>
    <col min="14599" max="14599" width="16.7109375" style="723" customWidth="1"/>
    <col min="14600" max="14849" width="9.140625" style="723"/>
    <col min="14850" max="14850" width="11.140625" style="723" customWidth="1"/>
    <col min="14851" max="14851" width="51.28515625" style="723" customWidth="1"/>
    <col min="14852" max="14852" width="11.42578125" style="723" customWidth="1"/>
    <col min="14853" max="14853" width="6.7109375" style="723" customWidth="1"/>
    <col min="14854" max="14854" width="9.140625" style="723"/>
    <col min="14855" max="14855" width="16.7109375" style="723" customWidth="1"/>
    <col min="14856" max="15105" width="9.140625" style="723"/>
    <col min="15106" max="15106" width="11.140625" style="723" customWidth="1"/>
    <col min="15107" max="15107" width="51.28515625" style="723" customWidth="1"/>
    <col min="15108" max="15108" width="11.42578125" style="723" customWidth="1"/>
    <col min="15109" max="15109" width="6.7109375" style="723" customWidth="1"/>
    <col min="15110" max="15110" width="9.140625" style="723"/>
    <col min="15111" max="15111" width="16.7109375" style="723" customWidth="1"/>
    <col min="15112" max="15361" width="9.140625" style="723"/>
    <col min="15362" max="15362" width="11.140625" style="723" customWidth="1"/>
    <col min="15363" max="15363" width="51.28515625" style="723" customWidth="1"/>
    <col min="15364" max="15364" width="11.42578125" style="723" customWidth="1"/>
    <col min="15365" max="15365" width="6.7109375" style="723" customWidth="1"/>
    <col min="15366" max="15366" width="9.140625" style="723"/>
    <col min="15367" max="15367" width="16.7109375" style="723" customWidth="1"/>
    <col min="15368" max="15617" width="9.140625" style="723"/>
    <col min="15618" max="15618" width="11.140625" style="723" customWidth="1"/>
    <col min="15619" max="15619" width="51.28515625" style="723" customWidth="1"/>
    <col min="15620" max="15620" width="11.42578125" style="723" customWidth="1"/>
    <col min="15621" max="15621" width="6.7109375" style="723" customWidth="1"/>
    <col min="15622" max="15622" width="9.140625" style="723"/>
    <col min="15623" max="15623" width="16.7109375" style="723" customWidth="1"/>
    <col min="15624" max="15873" width="9.140625" style="723"/>
    <col min="15874" max="15874" width="11.140625" style="723" customWidth="1"/>
    <col min="15875" max="15875" width="51.28515625" style="723" customWidth="1"/>
    <col min="15876" max="15876" width="11.42578125" style="723" customWidth="1"/>
    <col min="15877" max="15877" width="6.7109375" style="723" customWidth="1"/>
    <col min="15878" max="15878" width="9.140625" style="723"/>
    <col min="15879" max="15879" width="16.7109375" style="723" customWidth="1"/>
    <col min="15880" max="16129" width="9.140625" style="723"/>
    <col min="16130" max="16130" width="11.140625" style="723" customWidth="1"/>
    <col min="16131" max="16131" width="51.28515625" style="723" customWidth="1"/>
    <col min="16132" max="16132" width="11.42578125" style="723" customWidth="1"/>
    <col min="16133" max="16133" width="6.7109375" style="723" customWidth="1"/>
    <col min="16134" max="16134" width="9.140625" style="723"/>
    <col min="16135" max="16135" width="16.7109375" style="723" customWidth="1"/>
    <col min="16136" max="16384" width="9.140625" style="723"/>
  </cols>
  <sheetData>
    <row r="2" spans="2:7" ht="15.75" x14ac:dyDescent="0.2">
      <c r="B2" s="660"/>
      <c r="C2" s="721" t="s">
        <v>59</v>
      </c>
      <c r="D2" s="661"/>
      <c r="E2" s="662"/>
      <c r="F2" s="663"/>
      <c r="G2" s="722"/>
    </row>
    <row r="3" spans="2:7" x14ac:dyDescent="0.2">
      <c r="B3" s="120"/>
      <c r="C3" s="188"/>
      <c r="D3" s="189"/>
      <c r="E3" s="464"/>
      <c r="F3" s="465"/>
      <c r="G3" s="463"/>
    </row>
    <row r="4" spans="2:7" ht="17.25" customHeight="1" x14ac:dyDescent="0.2">
      <c r="B4" s="2853" t="s">
        <v>1</v>
      </c>
      <c r="C4" s="2854"/>
      <c r="D4" s="2855"/>
      <c r="E4" s="2855"/>
      <c r="F4" s="2855"/>
      <c r="G4" s="2856"/>
    </row>
    <row r="5" spans="2:7" ht="17.25" customHeight="1" x14ac:dyDescent="0.2">
      <c r="B5" s="2857" t="s">
        <v>2</v>
      </c>
      <c r="C5" s="2858"/>
      <c r="D5" s="2860"/>
      <c r="E5" s="2860"/>
      <c r="F5" s="2860"/>
      <c r="G5" s="2859"/>
    </row>
    <row r="6" spans="2:7" ht="17.25" customHeight="1" x14ac:dyDescent="0.2">
      <c r="B6" s="2862" t="s">
        <v>3</v>
      </c>
      <c r="C6" s="2863"/>
      <c r="D6" s="2861"/>
      <c r="E6" s="2861"/>
      <c r="F6" s="2861"/>
      <c r="G6" s="2864"/>
    </row>
    <row r="7" spans="2:7" ht="17.25" customHeight="1" x14ac:dyDescent="0.2">
      <c r="B7" s="2857" t="s">
        <v>4</v>
      </c>
      <c r="C7" s="2858"/>
      <c r="D7" s="2860"/>
      <c r="E7" s="2860"/>
      <c r="F7" s="2860"/>
      <c r="G7" s="2859"/>
    </row>
    <row r="8" spans="2:7" x14ac:dyDescent="0.2">
      <c r="B8" s="724"/>
      <c r="C8" s="725"/>
      <c r="D8" s="726"/>
      <c r="E8" s="727"/>
      <c r="F8" s="728"/>
      <c r="G8" s="729"/>
    </row>
    <row r="9" spans="2:7" ht="20.25" customHeight="1" x14ac:dyDescent="0.2">
      <c r="B9" s="730"/>
      <c r="C9" s="731" t="s">
        <v>61</v>
      </c>
      <c r="D9" s="732"/>
      <c r="E9" s="733"/>
      <c r="F9" s="734"/>
      <c r="G9" s="735"/>
    </row>
    <row r="10" spans="2:7" ht="20.25" customHeight="1" x14ac:dyDescent="0.2">
      <c r="B10" s="736" t="s">
        <v>6</v>
      </c>
      <c r="C10" s="737" t="s">
        <v>62</v>
      </c>
      <c r="D10" s="3222" t="s">
        <v>1114</v>
      </c>
      <c r="E10" s="3222"/>
      <c r="F10" s="3223"/>
      <c r="G10" s="738" t="s">
        <v>64</v>
      </c>
    </row>
    <row r="11" spans="2:7" ht="20.25" customHeight="1" x14ac:dyDescent="0.2">
      <c r="B11" s="1735"/>
      <c r="C11" s="2716" t="s">
        <v>864</v>
      </c>
      <c r="D11" s="2714"/>
      <c r="E11" s="2714"/>
      <c r="F11" s="2715"/>
      <c r="G11" s="1732" t="s">
        <v>2523</v>
      </c>
    </row>
    <row r="12" spans="2:7" ht="20.25" customHeight="1" x14ac:dyDescent="0.2">
      <c r="B12" s="2805" t="s">
        <v>8</v>
      </c>
      <c r="C12" s="2806" t="s">
        <v>1115</v>
      </c>
      <c r="D12" s="2807"/>
      <c r="E12" s="2808"/>
      <c r="F12" s="2809"/>
      <c r="G12" s="2810">
        <f>M.Toplice_VPUS!G18</f>
        <v>0</v>
      </c>
    </row>
    <row r="13" spans="2:7" ht="20.25" customHeight="1" x14ac:dyDescent="0.2">
      <c r="B13" s="1735"/>
      <c r="C13" s="3176" t="s">
        <v>11</v>
      </c>
      <c r="D13" s="3177"/>
      <c r="E13" s="3177"/>
      <c r="F13" s="3178"/>
      <c r="G13" s="2802">
        <f>SUM(G12)</f>
        <v>0</v>
      </c>
    </row>
    <row r="14" spans="2:7" ht="20.25" customHeight="1" x14ac:dyDescent="0.2">
      <c r="B14" s="1735"/>
      <c r="C14" s="2716" t="s">
        <v>71</v>
      </c>
      <c r="D14" s="2714"/>
      <c r="E14" s="2714"/>
      <c r="F14" s="2715"/>
      <c r="G14" s="1732"/>
    </row>
    <row r="15" spans="2:7" ht="20.25" customHeight="1" x14ac:dyDescent="0.2">
      <c r="B15" s="2805" t="s">
        <v>8</v>
      </c>
      <c r="C15" s="2806" t="s">
        <v>1116</v>
      </c>
      <c r="D15" s="2807"/>
      <c r="E15" s="2808"/>
      <c r="F15" s="2809"/>
      <c r="G15" s="2810">
        <f>M.Toplice_VF1!G18</f>
        <v>0</v>
      </c>
    </row>
    <row r="16" spans="2:7" ht="20.25" customHeight="1" x14ac:dyDescent="0.2">
      <c r="B16" s="2805" t="s">
        <v>15</v>
      </c>
      <c r="C16" s="2806" t="s">
        <v>1117</v>
      </c>
      <c r="D16" s="2807"/>
      <c r="E16" s="2808"/>
      <c r="F16" s="2809"/>
      <c r="G16" s="2810">
        <f>M.Toplice_VBU!G18</f>
        <v>0</v>
      </c>
    </row>
    <row r="17" spans="2:7" ht="20.25" customHeight="1" x14ac:dyDescent="0.2">
      <c r="B17" s="2805" t="s">
        <v>20</v>
      </c>
      <c r="C17" s="2806" t="s">
        <v>1118</v>
      </c>
      <c r="D17" s="2807"/>
      <c r="E17" s="2808"/>
      <c r="F17" s="2809"/>
      <c r="G17" s="2810">
        <f>M.Toplice_ČRP_Bukovnica!G19</f>
        <v>0</v>
      </c>
    </row>
    <row r="18" spans="2:7" ht="20.25" customHeight="1" x14ac:dyDescent="0.2">
      <c r="B18" s="2805" t="s">
        <v>24</v>
      </c>
      <c r="C18" s="2806" t="s">
        <v>1119</v>
      </c>
      <c r="D18" s="2807"/>
      <c r="E18" s="2808"/>
      <c r="F18" s="2809"/>
      <c r="G18" s="2810">
        <f>'M.Toplice_SMT-4_1'!G18</f>
        <v>0</v>
      </c>
    </row>
    <row r="19" spans="2:7" ht="20.25" customHeight="1" x14ac:dyDescent="0.2">
      <c r="B19" s="2805" t="s">
        <v>29</v>
      </c>
      <c r="C19" s="2806" t="s">
        <v>1120</v>
      </c>
      <c r="D19" s="2807"/>
      <c r="E19" s="2808"/>
      <c r="F19" s="2809"/>
      <c r="G19" s="2810">
        <f>'M.Toplice_SMT-4_2 '!G18</f>
        <v>0</v>
      </c>
    </row>
    <row r="20" spans="2:7" ht="20.25" customHeight="1" x14ac:dyDescent="0.2">
      <c r="B20" s="2805" t="s">
        <v>33</v>
      </c>
      <c r="C20" s="2806" t="s">
        <v>1121</v>
      </c>
      <c r="D20" s="2807"/>
      <c r="E20" s="2808"/>
      <c r="F20" s="2809"/>
      <c r="G20" s="2810">
        <f>'M.Toplice_ČRP Filovci'!G19</f>
        <v>0</v>
      </c>
    </row>
    <row r="21" spans="2:7" ht="20.25" customHeight="1" x14ac:dyDescent="0.2">
      <c r="B21" s="2805" t="s">
        <v>38</v>
      </c>
      <c r="C21" s="2806" t="s">
        <v>1122</v>
      </c>
      <c r="D21" s="2807"/>
      <c r="E21" s="2808"/>
      <c r="F21" s="2809"/>
      <c r="G21" s="2810">
        <f>'M.Toplice_VH Filovci'!G19</f>
        <v>0</v>
      </c>
    </row>
    <row r="22" spans="2:7" ht="20.25" customHeight="1" x14ac:dyDescent="0.2">
      <c r="B22" s="2805" t="s">
        <v>43</v>
      </c>
      <c r="C22" s="2806" t="s">
        <v>1123</v>
      </c>
      <c r="D22" s="2807"/>
      <c r="E22" s="2808"/>
      <c r="F22" s="2809"/>
      <c r="G22" s="2810">
        <f>'M.Toplice_VKL-2, VKL-3'!G18</f>
        <v>0</v>
      </c>
    </row>
    <row r="23" spans="2:7" ht="20.25" customHeight="1" x14ac:dyDescent="0.2">
      <c r="B23" s="2805" t="s">
        <v>562</v>
      </c>
      <c r="C23" s="2806" t="s">
        <v>1124</v>
      </c>
      <c r="D23" s="2807"/>
      <c r="E23" s="2808"/>
      <c r="F23" s="2809"/>
      <c r="G23" s="2810">
        <f>'M.Toplice_R1-R10, L1-L6'!G18</f>
        <v>0</v>
      </c>
    </row>
    <row r="24" spans="2:7" ht="20.25" customHeight="1" x14ac:dyDescent="0.2">
      <c r="B24" s="2805" t="s">
        <v>564</v>
      </c>
      <c r="C24" s="2806" t="s">
        <v>1125</v>
      </c>
      <c r="D24" s="2807"/>
      <c r="E24" s="2808"/>
      <c r="F24" s="2809"/>
      <c r="G24" s="2810">
        <f>'M.Toplice_Fokovci_VFS-2'!G18</f>
        <v>0</v>
      </c>
    </row>
    <row r="25" spans="2:7" ht="20.25" customHeight="1" x14ac:dyDescent="0.2">
      <c r="B25" s="2805" t="s">
        <v>566</v>
      </c>
      <c r="C25" s="2806" t="s">
        <v>1126</v>
      </c>
      <c r="D25" s="2807"/>
      <c r="E25" s="2808"/>
      <c r="F25" s="2809"/>
      <c r="G25" s="2810">
        <f>'M.Toplice_ČRP Gornji Moravci'!G16</f>
        <v>0</v>
      </c>
    </row>
    <row r="26" spans="2:7" ht="20.25" customHeight="1" x14ac:dyDescent="0.2">
      <c r="B26" s="2805" t="s">
        <v>568</v>
      </c>
      <c r="C26" s="2806" t="s">
        <v>1127</v>
      </c>
      <c r="D26" s="2807"/>
      <c r="E26" s="2808"/>
      <c r="F26" s="2809"/>
      <c r="G26" s="2810">
        <f>'M.Toplice_ČRP Prosenjakovci'!G16</f>
        <v>0</v>
      </c>
    </row>
    <row r="27" spans="2:7" ht="20.25" customHeight="1" x14ac:dyDescent="0.2">
      <c r="B27" s="2805" t="s">
        <v>570</v>
      </c>
      <c r="C27" s="2806" t="s">
        <v>1128</v>
      </c>
      <c r="D27" s="2807"/>
      <c r="E27" s="2808"/>
      <c r="F27" s="2809"/>
      <c r="G27" s="2810">
        <f>'M.Toplice_ČRP Prosenjakovci OŠ'!G16</f>
        <v>0</v>
      </c>
    </row>
    <row r="28" spans="2:7" ht="20.25" customHeight="1" x14ac:dyDescent="0.2">
      <c r="B28" s="2805" t="s">
        <v>572</v>
      </c>
      <c r="C28" s="2806" t="s">
        <v>1129</v>
      </c>
      <c r="D28" s="2807"/>
      <c r="E28" s="2808"/>
      <c r="F28" s="2809"/>
      <c r="G28" s="2810">
        <f>'M.Toplice_ČRP Sebeborci'!$G$16</f>
        <v>0</v>
      </c>
    </row>
    <row r="29" spans="2:7" ht="20.25" customHeight="1" x14ac:dyDescent="0.2">
      <c r="B29" s="1735"/>
      <c r="C29" s="3176" t="s">
        <v>73</v>
      </c>
      <c r="D29" s="3177"/>
      <c r="E29" s="3177"/>
      <c r="F29" s="3178"/>
      <c r="G29" s="2802">
        <f>SUM(G15:G28)</f>
        <v>0</v>
      </c>
    </row>
    <row r="30" spans="2:7" ht="20.25" customHeight="1" x14ac:dyDescent="0.2">
      <c r="B30" s="1735"/>
      <c r="C30" s="2716" t="s">
        <v>74</v>
      </c>
      <c r="D30" s="2714"/>
      <c r="E30" s="2714"/>
      <c r="F30" s="2715"/>
      <c r="G30" s="1732"/>
    </row>
    <row r="31" spans="2:7" ht="20.25" customHeight="1" x14ac:dyDescent="0.2">
      <c r="B31" s="2805" t="s">
        <v>8</v>
      </c>
      <c r="C31" s="2806" t="s">
        <v>1130</v>
      </c>
      <c r="D31" s="2807"/>
      <c r="E31" s="2808"/>
      <c r="F31" s="2809"/>
      <c r="G31" s="2810">
        <f>'M.Toplice_B1, B3-B6'!G18</f>
        <v>0</v>
      </c>
    </row>
    <row r="32" spans="2:7" ht="20.25" customHeight="1" x14ac:dyDescent="0.2">
      <c r="B32" s="2805" t="s">
        <v>15</v>
      </c>
      <c r="C32" s="2806" t="s">
        <v>1131</v>
      </c>
      <c r="D32" s="2807"/>
      <c r="E32" s="2808"/>
      <c r="F32" s="2809"/>
      <c r="G32" s="2810">
        <f>'M.Toplice_K1-K8'!G18</f>
        <v>0</v>
      </c>
    </row>
    <row r="33" spans="2:7" ht="20.25" customHeight="1" x14ac:dyDescent="0.2">
      <c r="B33" s="2805" t="s">
        <v>20</v>
      </c>
      <c r="C33" s="2806" t="s">
        <v>1132</v>
      </c>
      <c r="D33" s="2807"/>
      <c r="E33" s="2808"/>
      <c r="F33" s="2809"/>
      <c r="G33" s="2810">
        <f>'M.Toplice_Fokovci_F1-F7'!G18</f>
        <v>0</v>
      </c>
    </row>
    <row r="34" spans="2:7" ht="20.25" customHeight="1" x14ac:dyDescent="0.2">
      <c r="B34" s="2805" t="s">
        <v>24</v>
      </c>
      <c r="C34" s="2806" t="s">
        <v>1133</v>
      </c>
      <c r="D34" s="2807"/>
      <c r="E34" s="2808"/>
      <c r="F34" s="2809"/>
      <c r="G34" s="2810">
        <f>'M.Toplice_SMT-1 18'!G18</f>
        <v>0</v>
      </c>
    </row>
    <row r="35" spans="2:7" ht="20.25" customHeight="1" x14ac:dyDescent="0.2">
      <c r="B35" s="1735"/>
      <c r="C35" s="3176" t="s">
        <v>78</v>
      </c>
      <c r="D35" s="3177"/>
      <c r="E35" s="3177"/>
      <c r="F35" s="3178"/>
      <c r="G35" s="2802">
        <f>SUM(G31:G34)</f>
        <v>0</v>
      </c>
    </row>
    <row r="36" spans="2:7" ht="20.25" customHeight="1" x14ac:dyDescent="0.2">
      <c r="B36" s="2811"/>
      <c r="C36" s="2812" t="s">
        <v>79</v>
      </c>
      <c r="D36" s="2813"/>
      <c r="E36" s="2814"/>
      <c r="F36" s="2815"/>
      <c r="G36" s="2816">
        <f>G13+G29+G35</f>
        <v>0</v>
      </c>
    </row>
  </sheetData>
  <mergeCells count="4">
    <mergeCell ref="D10:F10"/>
    <mergeCell ref="C35:F35"/>
    <mergeCell ref="C13:F13"/>
    <mergeCell ref="C29:F29"/>
  </mergeCells>
  <phoneticPr fontId="40" type="noConversion"/>
  <pageMargins left="0.75" right="0.75" top="1" bottom="1" header="0" footer="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8252B-C7FA-4F40-A0B9-D465F9DA7000}">
  <sheetPr codeName="Sheet76">
    <tabColor rgb="FF0070C0"/>
  </sheetPr>
  <dimension ref="B1:J306"/>
  <sheetViews>
    <sheetView topLeftCell="A108" zoomScaleNormal="100" workbookViewId="0">
      <selection activeCell="C108" sqref="C108"/>
    </sheetView>
  </sheetViews>
  <sheetFormatPr defaultRowHeight="12.75" x14ac:dyDescent="0.2"/>
  <cols>
    <col min="1" max="1" width="4.28515625" style="723" customWidth="1"/>
    <col min="2" max="2" width="9.140625" style="723"/>
    <col min="3" max="3" width="37.140625" style="723" customWidth="1"/>
    <col min="4" max="5" width="9.140625" style="2713"/>
    <col min="6" max="6" width="16.85546875" style="2713" customWidth="1"/>
    <col min="7" max="7" width="26.28515625" style="2713" customWidth="1"/>
    <col min="8" max="258" width="9.140625" style="723"/>
    <col min="259" max="259" width="37.140625" style="723" customWidth="1"/>
    <col min="260" max="261" width="9.140625" style="723"/>
    <col min="262" max="262" width="16.85546875" style="723" customWidth="1"/>
    <col min="263" max="263" width="36.5703125" style="723" customWidth="1"/>
    <col min="264" max="514" width="9.140625" style="723"/>
    <col min="515" max="515" width="37.140625" style="723" customWidth="1"/>
    <col min="516" max="517" width="9.140625" style="723"/>
    <col min="518" max="518" width="16.85546875" style="723" customWidth="1"/>
    <col min="519" max="519" width="36.5703125" style="723" customWidth="1"/>
    <col min="520" max="770" width="9.140625" style="723"/>
    <col min="771" max="771" width="37.140625" style="723" customWidth="1"/>
    <col min="772" max="773" width="9.140625" style="723"/>
    <col min="774" max="774" width="16.85546875" style="723" customWidth="1"/>
    <col min="775" max="775" width="36.5703125" style="723" customWidth="1"/>
    <col min="776" max="1026" width="9.140625" style="723"/>
    <col min="1027" max="1027" width="37.140625" style="723" customWidth="1"/>
    <col min="1028" max="1029" width="9.140625" style="723"/>
    <col min="1030" max="1030" width="16.85546875" style="723" customWidth="1"/>
    <col min="1031" max="1031" width="36.5703125" style="723" customWidth="1"/>
    <col min="1032" max="1282" width="9.140625" style="723"/>
    <col min="1283" max="1283" width="37.140625" style="723" customWidth="1"/>
    <col min="1284" max="1285" width="9.140625" style="723"/>
    <col min="1286" max="1286" width="16.85546875" style="723" customWidth="1"/>
    <col min="1287" max="1287" width="36.5703125" style="723" customWidth="1"/>
    <col min="1288" max="1538" width="9.140625" style="723"/>
    <col min="1539" max="1539" width="37.140625" style="723" customWidth="1"/>
    <col min="1540" max="1541" width="9.140625" style="723"/>
    <col min="1542" max="1542" width="16.85546875" style="723" customWidth="1"/>
    <col min="1543" max="1543" width="36.5703125" style="723" customWidth="1"/>
    <col min="1544" max="1794" width="9.140625" style="723"/>
    <col min="1795" max="1795" width="37.140625" style="723" customWidth="1"/>
    <col min="1796" max="1797" width="9.140625" style="723"/>
    <col min="1798" max="1798" width="16.85546875" style="723" customWidth="1"/>
    <col min="1799" max="1799" width="36.5703125" style="723" customWidth="1"/>
    <col min="1800" max="2050" width="9.140625" style="723"/>
    <col min="2051" max="2051" width="37.140625" style="723" customWidth="1"/>
    <col min="2052" max="2053" width="9.140625" style="723"/>
    <col min="2054" max="2054" width="16.85546875" style="723" customWidth="1"/>
    <col min="2055" max="2055" width="36.5703125" style="723" customWidth="1"/>
    <col min="2056" max="2306" width="9.140625" style="723"/>
    <col min="2307" max="2307" width="37.140625" style="723" customWidth="1"/>
    <col min="2308" max="2309" width="9.140625" style="723"/>
    <col min="2310" max="2310" width="16.85546875" style="723" customWidth="1"/>
    <col min="2311" max="2311" width="36.5703125" style="723" customWidth="1"/>
    <col min="2312" max="2562" width="9.140625" style="723"/>
    <col min="2563" max="2563" width="37.140625" style="723" customWidth="1"/>
    <col min="2564" max="2565" width="9.140625" style="723"/>
    <col min="2566" max="2566" width="16.85546875" style="723" customWidth="1"/>
    <col min="2567" max="2567" width="36.5703125" style="723" customWidth="1"/>
    <col min="2568" max="2818" width="9.140625" style="723"/>
    <col min="2819" max="2819" width="37.140625" style="723" customWidth="1"/>
    <col min="2820" max="2821" width="9.140625" style="723"/>
    <col min="2822" max="2822" width="16.85546875" style="723" customWidth="1"/>
    <col min="2823" max="2823" width="36.5703125" style="723" customWidth="1"/>
    <col min="2824" max="3074" width="9.140625" style="723"/>
    <col min="3075" max="3075" width="37.140625" style="723" customWidth="1"/>
    <col min="3076" max="3077" width="9.140625" style="723"/>
    <col min="3078" max="3078" width="16.85546875" style="723" customWidth="1"/>
    <col min="3079" max="3079" width="36.5703125" style="723" customWidth="1"/>
    <col min="3080" max="3330" width="9.140625" style="723"/>
    <col min="3331" max="3331" width="37.140625" style="723" customWidth="1"/>
    <col min="3332" max="3333" width="9.140625" style="723"/>
    <col min="3334" max="3334" width="16.85546875" style="723" customWidth="1"/>
    <col min="3335" max="3335" width="36.5703125" style="723" customWidth="1"/>
    <col min="3336" max="3586" width="9.140625" style="723"/>
    <col min="3587" max="3587" width="37.140625" style="723" customWidth="1"/>
    <col min="3588" max="3589" width="9.140625" style="723"/>
    <col min="3590" max="3590" width="16.85546875" style="723" customWidth="1"/>
    <col min="3591" max="3591" width="36.5703125" style="723" customWidth="1"/>
    <col min="3592" max="3842" width="9.140625" style="723"/>
    <col min="3843" max="3843" width="37.140625" style="723" customWidth="1"/>
    <col min="3844" max="3845" width="9.140625" style="723"/>
    <col min="3846" max="3846" width="16.85546875" style="723" customWidth="1"/>
    <col min="3847" max="3847" width="36.5703125" style="723" customWidth="1"/>
    <col min="3848" max="4098" width="9.140625" style="723"/>
    <col min="4099" max="4099" width="37.140625" style="723" customWidth="1"/>
    <col min="4100" max="4101" width="9.140625" style="723"/>
    <col min="4102" max="4102" width="16.85546875" style="723" customWidth="1"/>
    <col min="4103" max="4103" width="36.5703125" style="723" customWidth="1"/>
    <col min="4104" max="4354" width="9.140625" style="723"/>
    <col min="4355" max="4355" width="37.140625" style="723" customWidth="1"/>
    <col min="4356" max="4357" width="9.140625" style="723"/>
    <col min="4358" max="4358" width="16.85546875" style="723" customWidth="1"/>
    <col min="4359" max="4359" width="36.5703125" style="723" customWidth="1"/>
    <col min="4360" max="4610" width="9.140625" style="723"/>
    <col min="4611" max="4611" width="37.140625" style="723" customWidth="1"/>
    <col min="4612" max="4613" width="9.140625" style="723"/>
    <col min="4614" max="4614" width="16.85546875" style="723" customWidth="1"/>
    <col min="4615" max="4615" width="36.5703125" style="723" customWidth="1"/>
    <col min="4616" max="4866" width="9.140625" style="723"/>
    <col min="4867" max="4867" width="37.140625" style="723" customWidth="1"/>
    <col min="4868" max="4869" width="9.140625" style="723"/>
    <col min="4870" max="4870" width="16.85546875" style="723" customWidth="1"/>
    <col min="4871" max="4871" width="36.5703125" style="723" customWidth="1"/>
    <col min="4872" max="5122" width="9.140625" style="723"/>
    <col min="5123" max="5123" width="37.140625" style="723" customWidth="1"/>
    <col min="5124" max="5125" width="9.140625" style="723"/>
    <col min="5126" max="5126" width="16.85546875" style="723" customWidth="1"/>
    <col min="5127" max="5127" width="36.5703125" style="723" customWidth="1"/>
    <col min="5128" max="5378" width="9.140625" style="723"/>
    <col min="5379" max="5379" width="37.140625" style="723" customWidth="1"/>
    <col min="5380" max="5381" width="9.140625" style="723"/>
    <col min="5382" max="5382" width="16.85546875" style="723" customWidth="1"/>
    <col min="5383" max="5383" width="36.5703125" style="723" customWidth="1"/>
    <col min="5384" max="5634" width="9.140625" style="723"/>
    <col min="5635" max="5635" width="37.140625" style="723" customWidth="1"/>
    <col min="5636" max="5637" width="9.140625" style="723"/>
    <col min="5638" max="5638" width="16.85546875" style="723" customWidth="1"/>
    <col min="5639" max="5639" width="36.5703125" style="723" customWidth="1"/>
    <col min="5640" max="5890" width="9.140625" style="723"/>
    <col min="5891" max="5891" width="37.140625" style="723" customWidth="1"/>
    <col min="5892" max="5893" width="9.140625" style="723"/>
    <col min="5894" max="5894" width="16.85546875" style="723" customWidth="1"/>
    <col min="5895" max="5895" width="36.5703125" style="723" customWidth="1"/>
    <col min="5896" max="6146" width="9.140625" style="723"/>
    <col min="6147" max="6147" width="37.140625" style="723" customWidth="1"/>
    <col min="6148" max="6149" width="9.140625" style="723"/>
    <col min="6150" max="6150" width="16.85546875" style="723" customWidth="1"/>
    <col min="6151" max="6151" width="36.5703125" style="723" customWidth="1"/>
    <col min="6152" max="6402" width="9.140625" style="723"/>
    <col min="6403" max="6403" width="37.140625" style="723" customWidth="1"/>
    <col min="6404" max="6405" width="9.140625" style="723"/>
    <col min="6406" max="6406" width="16.85546875" style="723" customWidth="1"/>
    <col min="6407" max="6407" width="36.5703125" style="723" customWidth="1"/>
    <col min="6408" max="6658" width="9.140625" style="723"/>
    <col min="6659" max="6659" width="37.140625" style="723" customWidth="1"/>
    <col min="6660" max="6661" width="9.140625" style="723"/>
    <col min="6662" max="6662" width="16.85546875" style="723" customWidth="1"/>
    <col min="6663" max="6663" width="36.5703125" style="723" customWidth="1"/>
    <col min="6664" max="6914" width="9.140625" style="723"/>
    <col min="6915" max="6915" width="37.140625" style="723" customWidth="1"/>
    <col min="6916" max="6917" width="9.140625" style="723"/>
    <col min="6918" max="6918" width="16.85546875" style="723" customWidth="1"/>
    <col min="6919" max="6919" width="36.5703125" style="723" customWidth="1"/>
    <col min="6920" max="7170" width="9.140625" style="723"/>
    <col min="7171" max="7171" width="37.140625" style="723" customWidth="1"/>
    <col min="7172" max="7173" width="9.140625" style="723"/>
    <col min="7174" max="7174" width="16.85546875" style="723" customWidth="1"/>
    <col min="7175" max="7175" width="36.5703125" style="723" customWidth="1"/>
    <col min="7176" max="7426" width="9.140625" style="723"/>
    <col min="7427" max="7427" width="37.140625" style="723" customWidth="1"/>
    <col min="7428" max="7429" width="9.140625" style="723"/>
    <col min="7430" max="7430" width="16.85546875" style="723" customWidth="1"/>
    <col min="7431" max="7431" width="36.5703125" style="723" customWidth="1"/>
    <col min="7432" max="7682" width="9.140625" style="723"/>
    <col min="7683" max="7683" width="37.140625" style="723" customWidth="1"/>
    <col min="7684" max="7685" width="9.140625" style="723"/>
    <col min="7686" max="7686" width="16.85546875" style="723" customWidth="1"/>
    <col min="7687" max="7687" width="36.5703125" style="723" customWidth="1"/>
    <col min="7688" max="7938" width="9.140625" style="723"/>
    <col min="7939" max="7939" width="37.140625" style="723" customWidth="1"/>
    <col min="7940" max="7941" width="9.140625" style="723"/>
    <col min="7942" max="7942" width="16.85546875" style="723" customWidth="1"/>
    <col min="7943" max="7943" width="36.5703125" style="723" customWidth="1"/>
    <col min="7944" max="8194" width="9.140625" style="723"/>
    <col min="8195" max="8195" width="37.140625" style="723" customWidth="1"/>
    <col min="8196" max="8197" width="9.140625" style="723"/>
    <col min="8198" max="8198" width="16.85546875" style="723" customWidth="1"/>
    <col min="8199" max="8199" width="36.5703125" style="723" customWidth="1"/>
    <col min="8200" max="8450" width="9.140625" style="723"/>
    <col min="8451" max="8451" width="37.140625" style="723" customWidth="1"/>
    <col min="8452" max="8453" width="9.140625" style="723"/>
    <col min="8454" max="8454" width="16.85546875" style="723" customWidth="1"/>
    <col min="8455" max="8455" width="36.5703125" style="723" customWidth="1"/>
    <col min="8456" max="8706" width="9.140625" style="723"/>
    <col min="8707" max="8707" width="37.140625" style="723" customWidth="1"/>
    <col min="8708" max="8709" width="9.140625" style="723"/>
    <col min="8710" max="8710" width="16.85546875" style="723" customWidth="1"/>
    <col min="8711" max="8711" width="36.5703125" style="723" customWidth="1"/>
    <col min="8712" max="8962" width="9.140625" style="723"/>
    <col min="8963" max="8963" width="37.140625" style="723" customWidth="1"/>
    <col min="8964" max="8965" width="9.140625" style="723"/>
    <col min="8966" max="8966" width="16.85546875" style="723" customWidth="1"/>
    <col min="8967" max="8967" width="36.5703125" style="723" customWidth="1"/>
    <col min="8968" max="9218" width="9.140625" style="723"/>
    <col min="9219" max="9219" width="37.140625" style="723" customWidth="1"/>
    <col min="9220" max="9221" width="9.140625" style="723"/>
    <col min="9222" max="9222" width="16.85546875" style="723" customWidth="1"/>
    <col min="9223" max="9223" width="36.5703125" style="723" customWidth="1"/>
    <col min="9224" max="9474" width="9.140625" style="723"/>
    <col min="9475" max="9475" width="37.140625" style="723" customWidth="1"/>
    <col min="9476" max="9477" width="9.140625" style="723"/>
    <col min="9478" max="9478" width="16.85546875" style="723" customWidth="1"/>
    <col min="9479" max="9479" width="36.5703125" style="723" customWidth="1"/>
    <col min="9480" max="9730" width="9.140625" style="723"/>
    <col min="9731" max="9731" width="37.140625" style="723" customWidth="1"/>
    <col min="9732" max="9733" width="9.140625" style="723"/>
    <col min="9734" max="9734" width="16.85546875" style="723" customWidth="1"/>
    <col min="9735" max="9735" width="36.5703125" style="723" customWidth="1"/>
    <col min="9736" max="9986" width="9.140625" style="723"/>
    <col min="9987" max="9987" width="37.140625" style="723" customWidth="1"/>
    <col min="9988" max="9989" width="9.140625" style="723"/>
    <col min="9990" max="9990" width="16.85546875" style="723" customWidth="1"/>
    <col min="9991" max="9991" width="36.5703125" style="723" customWidth="1"/>
    <col min="9992" max="10242" width="9.140625" style="723"/>
    <col min="10243" max="10243" width="37.140625" style="723" customWidth="1"/>
    <col min="10244" max="10245" width="9.140625" style="723"/>
    <col min="10246" max="10246" width="16.85546875" style="723" customWidth="1"/>
    <col min="10247" max="10247" width="36.5703125" style="723" customWidth="1"/>
    <col min="10248" max="10498" width="9.140625" style="723"/>
    <col min="10499" max="10499" width="37.140625" style="723" customWidth="1"/>
    <col min="10500" max="10501" width="9.140625" style="723"/>
    <col min="10502" max="10502" width="16.85546875" style="723" customWidth="1"/>
    <col min="10503" max="10503" width="36.5703125" style="723" customWidth="1"/>
    <col min="10504" max="10754" width="9.140625" style="723"/>
    <col min="10755" max="10755" width="37.140625" style="723" customWidth="1"/>
    <col min="10756" max="10757" width="9.140625" style="723"/>
    <col min="10758" max="10758" width="16.85546875" style="723" customWidth="1"/>
    <col min="10759" max="10759" width="36.5703125" style="723" customWidth="1"/>
    <col min="10760" max="11010" width="9.140625" style="723"/>
    <col min="11011" max="11011" width="37.140625" style="723" customWidth="1"/>
    <col min="11012" max="11013" width="9.140625" style="723"/>
    <col min="11014" max="11014" width="16.85546875" style="723" customWidth="1"/>
    <col min="11015" max="11015" width="36.5703125" style="723" customWidth="1"/>
    <col min="11016" max="11266" width="9.140625" style="723"/>
    <col min="11267" max="11267" width="37.140625" style="723" customWidth="1"/>
    <col min="11268" max="11269" width="9.140625" style="723"/>
    <col min="11270" max="11270" width="16.85546875" style="723" customWidth="1"/>
    <col min="11271" max="11271" width="36.5703125" style="723" customWidth="1"/>
    <col min="11272" max="11522" width="9.140625" style="723"/>
    <col min="11523" max="11523" width="37.140625" style="723" customWidth="1"/>
    <col min="11524" max="11525" width="9.140625" style="723"/>
    <col min="11526" max="11526" width="16.85546875" style="723" customWidth="1"/>
    <col min="11527" max="11527" width="36.5703125" style="723" customWidth="1"/>
    <col min="11528" max="11778" width="9.140625" style="723"/>
    <col min="11779" max="11779" width="37.140625" style="723" customWidth="1"/>
    <col min="11780" max="11781" width="9.140625" style="723"/>
    <col min="11782" max="11782" width="16.85546875" style="723" customWidth="1"/>
    <col min="11783" max="11783" width="36.5703125" style="723" customWidth="1"/>
    <col min="11784" max="12034" width="9.140625" style="723"/>
    <col min="12035" max="12035" width="37.140625" style="723" customWidth="1"/>
    <col min="12036" max="12037" width="9.140625" style="723"/>
    <col min="12038" max="12038" width="16.85546875" style="723" customWidth="1"/>
    <col min="12039" max="12039" width="36.5703125" style="723" customWidth="1"/>
    <col min="12040" max="12290" width="9.140625" style="723"/>
    <col min="12291" max="12291" width="37.140625" style="723" customWidth="1"/>
    <col min="12292" max="12293" width="9.140625" style="723"/>
    <col min="12294" max="12294" width="16.85546875" style="723" customWidth="1"/>
    <col min="12295" max="12295" width="36.5703125" style="723" customWidth="1"/>
    <col min="12296" max="12546" width="9.140625" style="723"/>
    <col min="12547" max="12547" width="37.140625" style="723" customWidth="1"/>
    <col min="12548" max="12549" width="9.140625" style="723"/>
    <col min="12550" max="12550" width="16.85546875" style="723" customWidth="1"/>
    <col min="12551" max="12551" width="36.5703125" style="723" customWidth="1"/>
    <col min="12552" max="12802" width="9.140625" style="723"/>
    <col min="12803" max="12803" width="37.140625" style="723" customWidth="1"/>
    <col min="12804" max="12805" width="9.140625" style="723"/>
    <col min="12806" max="12806" width="16.85546875" style="723" customWidth="1"/>
    <col min="12807" max="12807" width="36.5703125" style="723" customWidth="1"/>
    <col min="12808" max="13058" width="9.140625" style="723"/>
    <col min="13059" max="13059" width="37.140625" style="723" customWidth="1"/>
    <col min="13060" max="13061" width="9.140625" style="723"/>
    <col min="13062" max="13062" width="16.85546875" style="723" customWidth="1"/>
    <col min="13063" max="13063" width="36.5703125" style="723" customWidth="1"/>
    <col min="13064" max="13314" width="9.140625" style="723"/>
    <col min="13315" max="13315" width="37.140625" style="723" customWidth="1"/>
    <col min="13316" max="13317" width="9.140625" style="723"/>
    <col min="13318" max="13318" width="16.85546875" style="723" customWidth="1"/>
    <col min="13319" max="13319" width="36.5703125" style="723" customWidth="1"/>
    <col min="13320" max="13570" width="9.140625" style="723"/>
    <col min="13571" max="13571" width="37.140625" style="723" customWidth="1"/>
    <col min="13572" max="13573" width="9.140625" style="723"/>
    <col min="13574" max="13574" width="16.85546875" style="723" customWidth="1"/>
    <col min="13575" max="13575" width="36.5703125" style="723" customWidth="1"/>
    <col min="13576" max="13826" width="9.140625" style="723"/>
    <col min="13827" max="13827" width="37.140625" style="723" customWidth="1"/>
    <col min="13828" max="13829" width="9.140625" style="723"/>
    <col min="13830" max="13830" width="16.85546875" style="723" customWidth="1"/>
    <col min="13831" max="13831" width="36.5703125" style="723" customWidth="1"/>
    <col min="13832" max="14082" width="9.140625" style="723"/>
    <col min="14083" max="14083" width="37.140625" style="723" customWidth="1"/>
    <col min="14084" max="14085" width="9.140625" style="723"/>
    <col min="14086" max="14086" width="16.85546875" style="723" customWidth="1"/>
    <col min="14087" max="14087" width="36.5703125" style="723" customWidth="1"/>
    <col min="14088" max="14338" width="9.140625" style="723"/>
    <col min="14339" max="14339" width="37.140625" style="723" customWidth="1"/>
    <col min="14340" max="14341" width="9.140625" style="723"/>
    <col min="14342" max="14342" width="16.85546875" style="723" customWidth="1"/>
    <col min="14343" max="14343" width="36.5703125" style="723" customWidth="1"/>
    <col min="14344" max="14594" width="9.140625" style="723"/>
    <col min="14595" max="14595" width="37.140625" style="723" customWidth="1"/>
    <col min="14596" max="14597" width="9.140625" style="723"/>
    <col min="14598" max="14598" width="16.85546875" style="723" customWidth="1"/>
    <col min="14599" max="14599" width="36.5703125" style="723" customWidth="1"/>
    <col min="14600" max="14850" width="9.140625" style="723"/>
    <col min="14851" max="14851" width="37.140625" style="723" customWidth="1"/>
    <col min="14852" max="14853" width="9.140625" style="723"/>
    <col min="14854" max="14854" width="16.85546875" style="723" customWidth="1"/>
    <col min="14855" max="14855" width="36.5703125" style="723" customWidth="1"/>
    <col min="14856" max="15106" width="9.140625" style="723"/>
    <col min="15107" max="15107" width="37.140625" style="723" customWidth="1"/>
    <col min="15108" max="15109" width="9.140625" style="723"/>
    <col min="15110" max="15110" width="16.85546875" style="723" customWidth="1"/>
    <col min="15111" max="15111" width="36.5703125" style="723" customWidth="1"/>
    <col min="15112" max="15362" width="9.140625" style="723"/>
    <col min="15363" max="15363" width="37.140625" style="723" customWidth="1"/>
    <col min="15364" max="15365" width="9.140625" style="723"/>
    <col min="15366" max="15366" width="16.85546875" style="723" customWidth="1"/>
    <col min="15367" max="15367" width="36.5703125" style="723" customWidth="1"/>
    <col min="15368" max="15618" width="9.140625" style="723"/>
    <col min="15619" max="15619" width="37.140625" style="723" customWidth="1"/>
    <col min="15620" max="15621" width="9.140625" style="723"/>
    <col min="15622" max="15622" width="16.85546875" style="723" customWidth="1"/>
    <col min="15623" max="15623" width="36.5703125" style="723" customWidth="1"/>
    <col min="15624" max="15874" width="9.140625" style="723"/>
    <col min="15875" max="15875" width="37.140625" style="723" customWidth="1"/>
    <col min="15876" max="15877" width="9.140625" style="723"/>
    <col min="15878" max="15878" width="16.85546875" style="723" customWidth="1"/>
    <col min="15879" max="15879" width="36.5703125" style="723" customWidth="1"/>
    <col min="15880" max="16130" width="9.140625" style="723"/>
    <col min="16131" max="16131" width="37.140625" style="723" customWidth="1"/>
    <col min="16132" max="16133" width="9.140625" style="723"/>
    <col min="16134" max="16134" width="16.85546875" style="723" customWidth="1"/>
    <col min="16135" max="16135" width="36.5703125" style="723" customWidth="1"/>
    <col min="16136" max="16384" width="9.140625" style="723"/>
  </cols>
  <sheetData>
    <row r="1" spans="2:8" x14ac:dyDescent="0.2">
      <c r="B1" s="745"/>
      <c r="C1" s="746"/>
      <c r="D1" s="2561"/>
      <c r="E1" s="2610"/>
      <c r="F1" s="2611"/>
      <c r="G1" s="2612"/>
    </row>
    <row r="2" spans="2:8" s="121" customFormat="1" ht="24.75" customHeight="1" x14ac:dyDescent="0.2">
      <c r="B2" s="137"/>
      <c r="C2" s="354" t="s">
        <v>59</v>
      </c>
      <c r="D2" s="155"/>
      <c r="E2" s="156"/>
      <c r="F2" s="157"/>
      <c r="G2" s="355" t="s">
        <v>60</v>
      </c>
      <c r="H2" s="122"/>
    </row>
    <row r="3" spans="2:8" x14ac:dyDescent="0.2">
      <c r="B3" s="120"/>
      <c r="C3" s="188"/>
      <c r="D3" s="189"/>
      <c r="E3" s="753"/>
      <c r="F3" s="754"/>
      <c r="G3" s="755"/>
    </row>
    <row r="4" spans="2:8" x14ac:dyDescent="0.2">
      <c r="B4" s="756" t="s">
        <v>7</v>
      </c>
      <c r="C4" s="2725" t="s">
        <v>1114</v>
      </c>
      <c r="D4" s="1235"/>
      <c r="E4" s="1236"/>
      <c r="F4" s="1237"/>
      <c r="G4" s="760"/>
    </row>
    <row r="5" spans="2:8" x14ac:dyDescent="0.2">
      <c r="B5" s="761"/>
      <c r="C5" s="767"/>
      <c r="D5" s="768"/>
      <c r="E5" s="769"/>
      <c r="F5" s="770"/>
      <c r="G5" s="766"/>
    </row>
    <row r="6" spans="2:8" ht="28.5" customHeight="1" x14ac:dyDescent="0.2">
      <c r="B6" s="756" t="s">
        <v>80</v>
      </c>
      <c r="C6" s="3229" t="s">
        <v>1134</v>
      </c>
      <c r="D6" s="3230"/>
      <c r="E6" s="3230"/>
      <c r="F6" s="3230"/>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x14ac:dyDescent="0.2">
      <c r="B15" s="792" t="s">
        <v>10</v>
      </c>
      <c r="C15" s="793" t="s">
        <v>85</v>
      </c>
      <c r="D15" s="794"/>
      <c r="E15" s="795"/>
      <c r="F15" s="796"/>
      <c r="G15" s="998">
        <f>G49</f>
        <v>0</v>
      </c>
    </row>
    <row r="16" spans="2:8" x14ac:dyDescent="0.2">
      <c r="B16" s="792" t="s">
        <v>12</v>
      </c>
      <c r="C16" s="793" t="s">
        <v>86</v>
      </c>
      <c r="D16" s="794"/>
      <c r="E16" s="795"/>
      <c r="F16" s="796"/>
      <c r="G16" s="998">
        <f>G136</f>
        <v>0</v>
      </c>
    </row>
    <row r="17" spans="2:7" x14ac:dyDescent="0.2">
      <c r="B17" s="792" t="s">
        <v>17</v>
      </c>
      <c r="C17" s="793" t="s">
        <v>87</v>
      </c>
      <c r="D17" s="794"/>
      <c r="E17" s="795"/>
      <c r="F17" s="796"/>
      <c r="G17" s="998">
        <f>G305</f>
        <v>0</v>
      </c>
    </row>
    <row r="18" spans="2:7" ht="22.5" customHeight="1" x14ac:dyDescent="0.2">
      <c r="B18" s="2830"/>
      <c r="C18" s="2831" t="s">
        <v>88</v>
      </c>
      <c r="D18" s="2832"/>
      <c r="E18" s="2833"/>
      <c r="F18" s="2834"/>
      <c r="G18" s="2835">
        <f>SUM(G15:G17)</f>
        <v>0</v>
      </c>
    </row>
    <row r="19" spans="2:7" x14ac:dyDescent="0.2">
      <c r="B19" s="798"/>
      <c r="C19" s="799"/>
      <c r="D19" s="2655"/>
      <c r="E19" s="2613"/>
      <c r="F19" s="2609"/>
      <c r="G19" s="2614"/>
    </row>
    <row r="20" spans="2:7" x14ac:dyDescent="0.2">
      <c r="B20" s="1317"/>
      <c r="C20" s="1317"/>
      <c r="D20" s="1269"/>
      <c r="E20" s="2679"/>
      <c r="F20" s="2680"/>
      <c r="G20" s="2680"/>
    </row>
    <row r="21" spans="2:7" ht="24" x14ac:dyDescent="0.2">
      <c r="B21" s="2836" t="s">
        <v>83</v>
      </c>
      <c r="C21" s="2837" t="s">
        <v>89</v>
      </c>
      <c r="D21" s="2744" t="s">
        <v>90</v>
      </c>
      <c r="E21" s="2838" t="s">
        <v>91</v>
      </c>
      <c r="F21" s="2839" t="s">
        <v>92</v>
      </c>
      <c r="G21" s="2840" t="s">
        <v>93</v>
      </c>
    </row>
    <row r="22" spans="2:7" x14ac:dyDescent="0.2">
      <c r="B22" s="129"/>
      <c r="C22" s="197"/>
      <c r="D22" s="198"/>
      <c r="E22" s="814"/>
      <c r="F22" s="815"/>
      <c r="G22" s="816"/>
    </row>
    <row r="23" spans="2:7" ht="20.25" x14ac:dyDescent="0.2">
      <c r="B23" s="686" t="s">
        <v>10</v>
      </c>
      <c r="C23" s="687" t="s">
        <v>85</v>
      </c>
      <c r="D23" s="688"/>
      <c r="E23" s="820"/>
      <c r="F23" s="821"/>
      <c r="G23" s="822"/>
    </row>
    <row r="24" spans="2:7" x14ac:dyDescent="0.2">
      <c r="B24" s="1318"/>
      <c r="C24" s="1319"/>
      <c r="D24" s="2464"/>
      <c r="E24" s="2465"/>
      <c r="F24" s="2681"/>
      <c r="G24" s="2682"/>
    </row>
    <row r="25" spans="2:7" ht="144" x14ac:dyDescent="0.2">
      <c r="B25" s="1320" t="s">
        <v>8</v>
      </c>
      <c r="C25" s="208" t="s">
        <v>99</v>
      </c>
      <c r="D25" s="2464" t="s">
        <v>98</v>
      </c>
      <c r="E25" s="2465">
        <v>1</v>
      </c>
      <c r="F25" s="2683">
        <v>0</v>
      </c>
      <c r="G25" s="2684">
        <f>E25*F25</f>
        <v>0</v>
      </c>
    </row>
    <row r="26" spans="2:7" x14ac:dyDescent="0.2">
      <c r="B26" s="1320"/>
      <c r="C26" s="1280"/>
      <c r="D26" s="2464"/>
      <c r="E26" s="2465"/>
      <c r="F26" s="2681"/>
      <c r="G26" s="2681"/>
    </row>
    <row r="27" spans="2:7" ht="25.5" x14ac:dyDescent="0.2">
      <c r="B27" s="1320" t="s">
        <v>15</v>
      </c>
      <c r="C27" s="841" t="s">
        <v>1135</v>
      </c>
      <c r="D27" s="2464" t="s">
        <v>95</v>
      </c>
      <c r="E27" s="2685">
        <v>2795</v>
      </c>
      <c r="F27" s="2683">
        <v>0</v>
      </c>
      <c r="G27" s="2684">
        <f>E27*F27</f>
        <v>0</v>
      </c>
    </row>
    <row r="28" spans="2:7" x14ac:dyDescent="0.2">
      <c r="B28" s="1318"/>
      <c r="C28" s="1319"/>
      <c r="D28" s="2464"/>
      <c r="E28" s="2465"/>
      <c r="F28" s="2681"/>
      <c r="G28" s="2686"/>
    </row>
    <row r="29" spans="2:7" ht="38.25" x14ac:dyDescent="0.2">
      <c r="B29" s="1320" t="s">
        <v>20</v>
      </c>
      <c r="C29" s="1008" t="s">
        <v>94</v>
      </c>
      <c r="D29" s="2464" t="s">
        <v>95</v>
      </c>
      <c r="E29" s="2685">
        <v>2795</v>
      </c>
      <c r="F29" s="2683">
        <v>0</v>
      </c>
      <c r="G29" s="2684">
        <f>E29*F29</f>
        <v>0</v>
      </c>
    </row>
    <row r="30" spans="2:7" x14ac:dyDescent="0.2">
      <c r="B30" s="1318"/>
      <c r="C30" s="1319"/>
      <c r="D30" s="2464"/>
      <c r="E30" s="2687"/>
      <c r="F30" s="2681"/>
      <c r="G30" s="2686"/>
    </row>
    <row r="31" spans="2:7" ht="38.25" x14ac:dyDescent="0.2">
      <c r="B31" s="1320" t="s">
        <v>24</v>
      </c>
      <c r="C31" s="841" t="s">
        <v>100</v>
      </c>
      <c r="D31" s="2464" t="s">
        <v>95</v>
      </c>
      <c r="E31" s="2685">
        <f>E29</f>
        <v>2795</v>
      </c>
      <c r="F31" s="2683">
        <v>0</v>
      </c>
      <c r="G31" s="2684">
        <f>E31*F31</f>
        <v>0</v>
      </c>
    </row>
    <row r="32" spans="2:7" x14ac:dyDescent="0.2">
      <c r="B32" s="1318"/>
      <c r="C32" s="1319"/>
      <c r="D32" s="2464"/>
      <c r="E32" s="2685"/>
      <c r="F32" s="2681"/>
      <c r="G32" s="2686"/>
    </row>
    <row r="33" spans="2:7" ht="63.75" x14ac:dyDescent="0.2">
      <c r="B33" s="1320" t="s">
        <v>29</v>
      </c>
      <c r="C33" s="841" t="s">
        <v>97</v>
      </c>
      <c r="D33" s="2464" t="s">
        <v>98</v>
      </c>
      <c r="E33" s="2465">
        <v>1</v>
      </c>
      <c r="F33" s="2683">
        <v>0</v>
      </c>
      <c r="G33" s="2684">
        <f>E33*F33</f>
        <v>0</v>
      </c>
    </row>
    <row r="34" spans="2:7" x14ac:dyDescent="0.2">
      <c r="B34" s="1318"/>
      <c r="C34" s="1319"/>
      <c r="D34" s="2464"/>
      <c r="E34" s="2465"/>
      <c r="F34" s="2684"/>
      <c r="G34" s="2682"/>
    </row>
    <row r="35" spans="2:7" ht="25.5" x14ac:dyDescent="0.2">
      <c r="B35" s="1321">
        <v>6</v>
      </c>
      <c r="C35" s="841" t="s">
        <v>1136</v>
      </c>
      <c r="D35" s="653" t="s">
        <v>123</v>
      </c>
      <c r="E35" s="2119">
        <v>1</v>
      </c>
      <c r="F35" s="2683">
        <v>0</v>
      </c>
      <c r="G35" s="2105">
        <f>F35*E35</f>
        <v>0</v>
      </c>
    </row>
    <row r="36" spans="2:7" x14ac:dyDescent="0.2">
      <c r="B36" s="1318"/>
      <c r="C36" s="841"/>
      <c r="D36" s="653"/>
      <c r="E36" s="2119"/>
      <c r="F36" s="1011"/>
      <c r="G36" s="2105"/>
    </row>
    <row r="37" spans="2:7" ht="38.25" x14ac:dyDescent="0.2">
      <c r="B37" s="1321">
        <f>MAX(B35:B36)+1</f>
        <v>7</v>
      </c>
      <c r="C37" s="862" t="s">
        <v>1137</v>
      </c>
      <c r="D37" s="865" t="s">
        <v>123</v>
      </c>
      <c r="E37" s="2122">
        <v>1</v>
      </c>
      <c r="F37" s="2683">
        <v>0</v>
      </c>
      <c r="G37" s="2105">
        <f>E37*F37</f>
        <v>0</v>
      </c>
    </row>
    <row r="38" spans="2:7" x14ac:dyDescent="0.2">
      <c r="B38" s="856"/>
      <c r="C38" s="1319"/>
      <c r="D38" s="2464"/>
      <c r="E38" s="2465"/>
      <c r="F38" s="2684"/>
      <c r="G38" s="2682"/>
    </row>
    <row r="39" spans="2:7" ht="36" x14ac:dyDescent="0.2">
      <c r="B39" s="1321">
        <f>MAX(B37:B38)+1</f>
        <v>8</v>
      </c>
      <c r="C39" s="3165" t="s">
        <v>2590</v>
      </c>
      <c r="D39" s="865" t="s">
        <v>95</v>
      </c>
      <c r="E39" s="2685">
        <v>2795</v>
      </c>
      <c r="F39" s="2683">
        <v>0</v>
      </c>
      <c r="G39" s="2105">
        <f>F39*E39</f>
        <v>0</v>
      </c>
    </row>
    <row r="40" spans="2:7" x14ac:dyDescent="0.2">
      <c r="B40" s="1318"/>
      <c r="C40" s="864"/>
      <c r="D40" s="865"/>
      <c r="E40" s="832"/>
      <c r="F40" s="1011"/>
      <c r="G40" s="2105"/>
    </row>
    <row r="41" spans="2:7" ht="29.25" customHeight="1" x14ac:dyDescent="0.2">
      <c r="B41" s="1321">
        <f>MAX(B39:B40)+1</f>
        <v>9</v>
      </c>
      <c r="C41" s="3165" t="s">
        <v>2591</v>
      </c>
      <c r="D41" s="865" t="s">
        <v>98</v>
      </c>
      <c r="E41" s="832">
        <v>1</v>
      </c>
      <c r="F41" s="2683">
        <v>0</v>
      </c>
      <c r="G41" s="2105">
        <f>F41*E41</f>
        <v>0</v>
      </c>
    </row>
    <row r="42" spans="2:7" x14ac:dyDescent="0.2">
      <c r="B42" s="1320"/>
      <c r="C42" s="864"/>
      <c r="D42" s="865"/>
      <c r="E42" s="832"/>
      <c r="F42" s="1011"/>
      <c r="G42" s="2105"/>
    </row>
    <row r="43" spans="2:7" x14ac:dyDescent="0.2">
      <c r="B43" s="1321">
        <v>10</v>
      </c>
      <c r="C43" s="864" t="s">
        <v>105</v>
      </c>
      <c r="D43" s="865" t="s">
        <v>98</v>
      </c>
      <c r="E43" s="832">
        <v>1</v>
      </c>
      <c r="F43" s="2683">
        <v>0</v>
      </c>
      <c r="G43" s="2105">
        <f>F43*E43</f>
        <v>0</v>
      </c>
    </row>
    <row r="44" spans="2:7" x14ac:dyDescent="0.2">
      <c r="B44" s="1321"/>
      <c r="C44" s="864"/>
      <c r="D44" s="865"/>
      <c r="E44" s="832"/>
      <c r="F44" s="1011"/>
      <c r="G44" s="2105"/>
    </row>
    <row r="45" spans="2:7" ht="51" x14ac:dyDescent="0.2">
      <c r="B45" s="1321">
        <v>11</v>
      </c>
      <c r="C45" s="864" t="s">
        <v>102</v>
      </c>
      <c r="D45" s="1322" t="s">
        <v>98</v>
      </c>
      <c r="E45" s="913">
        <v>1</v>
      </c>
      <c r="F45" s="2683">
        <v>0</v>
      </c>
      <c r="G45" s="1035">
        <f>E45*F45</f>
        <v>0</v>
      </c>
    </row>
    <row r="46" spans="2:7" x14ac:dyDescent="0.2">
      <c r="B46" s="861"/>
      <c r="C46" s="1209"/>
      <c r="D46" s="2464"/>
      <c r="E46" s="2685"/>
      <c r="F46" s="2681"/>
      <c r="G46" s="2681"/>
    </row>
    <row r="47" spans="2:7" ht="38.25" x14ac:dyDescent="0.2">
      <c r="B47" s="1321">
        <v>12</v>
      </c>
      <c r="C47" s="1209" t="s">
        <v>1138</v>
      </c>
      <c r="D47" s="2464" t="s">
        <v>123</v>
      </c>
      <c r="E47" s="2685">
        <v>15</v>
      </c>
      <c r="F47" s="2683">
        <v>0</v>
      </c>
      <c r="G47" s="1035">
        <f>E47*F47</f>
        <v>0</v>
      </c>
    </row>
    <row r="48" spans="2:7" x14ac:dyDescent="0.2">
      <c r="B48" s="1320"/>
      <c r="C48" s="1209"/>
      <c r="D48" s="2464"/>
      <c r="E48" s="2685"/>
      <c r="F48" s="2681"/>
      <c r="G48" s="2681"/>
    </row>
    <row r="49" spans="2:7" x14ac:dyDescent="0.2">
      <c r="B49" s="1025" t="s">
        <v>10</v>
      </c>
      <c r="C49" s="1026" t="s">
        <v>108</v>
      </c>
      <c r="D49" s="1026"/>
      <c r="E49" s="874"/>
      <c r="F49" s="875"/>
      <c r="G49" s="1029">
        <f>SUM(G25:G48)</f>
        <v>0</v>
      </c>
    </row>
    <row r="50" spans="2:7" x14ac:dyDescent="0.2">
      <c r="B50" s="1323"/>
      <c r="C50" s="1324"/>
      <c r="D50" s="2688"/>
      <c r="E50" s="2689"/>
      <c r="F50" s="2690"/>
      <c r="G50" s="2690"/>
    </row>
    <row r="51" spans="2:7" x14ac:dyDescent="0.2">
      <c r="B51" s="1323"/>
      <c r="C51" s="1324"/>
      <c r="D51" s="2688"/>
      <c r="E51" s="2689"/>
      <c r="F51" s="2690"/>
      <c r="G51" s="2690"/>
    </row>
    <row r="52" spans="2:7" x14ac:dyDescent="0.2">
      <c r="B52" s="1323"/>
      <c r="C52" s="1324"/>
      <c r="D52" s="2688"/>
      <c r="E52" s="2689"/>
      <c r="F52" s="2690"/>
      <c r="G52" s="2690"/>
    </row>
    <row r="53" spans="2:7" ht="24" x14ac:dyDescent="0.2">
      <c r="B53" s="2836" t="s">
        <v>83</v>
      </c>
      <c r="C53" s="2837" t="s">
        <v>89</v>
      </c>
      <c r="D53" s="2744" t="s">
        <v>90</v>
      </c>
      <c r="E53" s="2838" t="s">
        <v>91</v>
      </c>
      <c r="F53" s="2839" t="s">
        <v>92</v>
      </c>
      <c r="G53" s="2840" t="s">
        <v>93</v>
      </c>
    </row>
    <row r="54" spans="2:7" x14ac:dyDescent="0.2">
      <c r="B54" s="129"/>
      <c r="C54" s="217"/>
      <c r="D54" s="207"/>
      <c r="E54" s="814"/>
      <c r="F54" s="815"/>
      <c r="G54" s="816"/>
    </row>
    <row r="55" spans="2:7" ht="20.25" x14ac:dyDescent="0.3">
      <c r="B55" s="686" t="s">
        <v>12</v>
      </c>
      <c r="C55" s="693" t="s">
        <v>109</v>
      </c>
      <c r="D55" s="694"/>
      <c r="E55" s="820"/>
      <c r="F55" s="821"/>
      <c r="G55" s="822"/>
    </row>
    <row r="56" spans="2:7" ht="87" customHeight="1" x14ac:dyDescent="0.2">
      <c r="B56" s="3226" t="s">
        <v>110</v>
      </c>
      <c r="C56" s="3227"/>
      <c r="D56" s="3227"/>
      <c r="E56" s="3227"/>
      <c r="F56" s="3227"/>
      <c r="G56" s="3228"/>
    </row>
    <row r="57" spans="2:7" x14ac:dyDescent="0.2">
      <c r="B57" s="1318"/>
      <c r="C57" s="1319"/>
      <c r="D57" s="2464"/>
      <c r="E57" s="2685"/>
      <c r="F57" s="2681"/>
      <c r="G57" s="2686"/>
    </row>
    <row r="58" spans="2:7" ht="28.5" customHeight="1" x14ac:dyDescent="0.2">
      <c r="B58" s="1321">
        <f>MAX(B56:B57)+1</f>
        <v>1</v>
      </c>
      <c r="C58" s="1325" t="s">
        <v>1139</v>
      </c>
      <c r="D58" s="2464" t="s">
        <v>95</v>
      </c>
      <c r="E58" s="2685">
        <v>2799</v>
      </c>
      <c r="F58" s="2683">
        <v>0</v>
      </c>
      <c r="G58" s="2684">
        <f>E58*F58</f>
        <v>0</v>
      </c>
    </row>
    <row r="59" spans="2:7" x14ac:dyDescent="0.2">
      <c r="B59" s="1318"/>
      <c r="C59" s="1319"/>
      <c r="D59" s="2464"/>
      <c r="E59" s="2685"/>
      <c r="F59" s="2681"/>
      <c r="G59" s="2682"/>
    </row>
    <row r="60" spans="2:7" ht="63.75" x14ac:dyDescent="0.2">
      <c r="B60" s="1321">
        <f>MAX(B58:B59)+1</f>
        <v>2</v>
      </c>
      <c r="C60" s="1209" t="s">
        <v>1140</v>
      </c>
      <c r="D60" s="2464" t="s">
        <v>117</v>
      </c>
      <c r="E60" s="2685">
        <v>3360</v>
      </c>
      <c r="F60" s="2683">
        <v>0</v>
      </c>
      <c r="G60" s="2684">
        <f>E60*F60</f>
        <v>0</v>
      </c>
    </row>
    <row r="61" spans="2:7" x14ac:dyDescent="0.2">
      <c r="B61" s="1318"/>
      <c r="C61" s="1319"/>
      <c r="D61" s="2464"/>
      <c r="E61" s="2685"/>
      <c r="F61" s="2681"/>
      <c r="G61" s="2682"/>
    </row>
    <row r="62" spans="2:7" ht="127.5" x14ac:dyDescent="0.2">
      <c r="B62" s="1321">
        <f>MAX(B60:B61)+1</f>
        <v>3</v>
      </c>
      <c r="C62" s="1209" t="s">
        <v>1141</v>
      </c>
      <c r="D62" s="2464" t="s">
        <v>112</v>
      </c>
      <c r="E62" s="2685">
        <v>52</v>
      </c>
      <c r="F62" s="2683">
        <v>0</v>
      </c>
      <c r="G62" s="2684">
        <f>E62*F62</f>
        <v>0</v>
      </c>
    </row>
    <row r="63" spans="2:7" x14ac:dyDescent="0.2">
      <c r="B63" s="1318"/>
      <c r="C63" s="1209"/>
      <c r="D63" s="2464"/>
      <c r="E63" s="2686"/>
      <c r="F63" s="2681"/>
      <c r="G63" s="2682"/>
    </row>
    <row r="64" spans="2:7" ht="114.75" x14ac:dyDescent="0.2">
      <c r="B64" s="1321">
        <f>MAX(B62:B63)+1</f>
        <v>4</v>
      </c>
      <c r="C64" s="1209" t="s">
        <v>1142</v>
      </c>
      <c r="D64" s="2464" t="s">
        <v>112</v>
      </c>
      <c r="E64" s="2685">
        <v>2812</v>
      </c>
      <c r="F64" s="2683">
        <v>0</v>
      </c>
      <c r="G64" s="2684">
        <f>E64*F64</f>
        <v>0</v>
      </c>
    </row>
    <row r="65" spans="2:7" x14ac:dyDescent="0.2">
      <c r="B65" s="1318"/>
      <c r="C65" s="1209"/>
      <c r="D65" s="2464"/>
      <c r="E65" s="2685"/>
      <c r="F65" s="2681"/>
      <c r="G65" s="2682"/>
    </row>
    <row r="66" spans="2:7" ht="114.75" x14ac:dyDescent="0.2">
      <c r="B66" s="1321">
        <f>MAX(B64:B65)+1</f>
        <v>5</v>
      </c>
      <c r="C66" s="1209" t="s">
        <v>1143</v>
      </c>
      <c r="D66" s="2464" t="s">
        <v>112</v>
      </c>
      <c r="E66" s="2685">
        <v>1980</v>
      </c>
      <c r="F66" s="2683">
        <v>0</v>
      </c>
      <c r="G66" s="2684">
        <f>E66*F66</f>
        <v>0</v>
      </c>
    </row>
    <row r="67" spans="2:7" x14ac:dyDescent="0.2">
      <c r="B67" s="1318"/>
      <c r="C67" s="1209"/>
      <c r="D67" s="2464"/>
      <c r="E67" s="2685"/>
      <c r="F67" s="2681"/>
      <c r="G67" s="2682"/>
    </row>
    <row r="68" spans="2:7" ht="114.75" x14ac:dyDescent="0.2">
      <c r="B68" s="1321">
        <f>MAX(B66:B67)+1</f>
        <v>6</v>
      </c>
      <c r="C68" s="1209" t="s">
        <v>1144</v>
      </c>
      <c r="D68" s="2464" t="s">
        <v>112</v>
      </c>
      <c r="E68" s="2685">
        <f>281-O68</f>
        <v>281</v>
      </c>
      <c r="F68" s="2683">
        <v>0</v>
      </c>
      <c r="G68" s="2684">
        <f>E68*F68</f>
        <v>0</v>
      </c>
    </row>
    <row r="69" spans="2:7" x14ac:dyDescent="0.2">
      <c r="B69" s="1318"/>
      <c r="C69" s="1209"/>
      <c r="D69" s="2464"/>
      <c r="E69" s="2685"/>
      <c r="F69" s="2681"/>
      <c r="G69" s="2682"/>
    </row>
    <row r="70" spans="2:7" ht="102" x14ac:dyDescent="0.2">
      <c r="B70" s="1321">
        <f>MAX(B68:B69)+1</f>
        <v>7</v>
      </c>
      <c r="C70" s="1209" t="s">
        <v>1145</v>
      </c>
      <c r="D70" s="2464" t="s">
        <v>112</v>
      </c>
      <c r="E70" s="2685">
        <v>32</v>
      </c>
      <c r="F70" s="2683">
        <v>0</v>
      </c>
      <c r="G70" s="2684">
        <f>E70*F70</f>
        <v>0</v>
      </c>
    </row>
    <row r="71" spans="2:7" x14ac:dyDescent="0.2">
      <c r="B71" s="1318"/>
      <c r="C71" s="1209"/>
      <c r="D71" s="2464"/>
      <c r="E71" s="2685"/>
      <c r="F71" s="2681"/>
      <c r="G71" s="2682"/>
    </row>
    <row r="72" spans="2:7" ht="102" x14ac:dyDescent="0.2">
      <c r="B72" s="1321">
        <f>MAX(B70:B71)+1</f>
        <v>8</v>
      </c>
      <c r="C72" s="1209" t="s">
        <v>1146</v>
      </c>
      <c r="D72" s="2464" t="s">
        <v>112</v>
      </c>
      <c r="E72" s="2685">
        <v>12</v>
      </c>
      <c r="F72" s="2683">
        <v>0</v>
      </c>
      <c r="G72" s="2684">
        <f>E72*F72</f>
        <v>0</v>
      </c>
    </row>
    <row r="73" spans="2:7" x14ac:dyDescent="0.2">
      <c r="B73" s="1318"/>
      <c r="C73" s="1209"/>
      <c r="D73" s="2464"/>
      <c r="E73" s="2685"/>
      <c r="F73" s="2681"/>
      <c r="G73" s="2682"/>
    </row>
    <row r="74" spans="2:7" ht="63.75" x14ac:dyDescent="0.2">
      <c r="B74" s="1321">
        <f>MAX(B72:B73)+1</f>
        <v>9</v>
      </c>
      <c r="C74" s="1209" t="s">
        <v>1147</v>
      </c>
      <c r="D74" s="2464" t="s">
        <v>112</v>
      </c>
      <c r="E74" s="2685">
        <f>2786</f>
        <v>2786</v>
      </c>
      <c r="F74" s="2683">
        <v>0</v>
      </c>
      <c r="G74" s="2684">
        <f>E74*F74</f>
        <v>0</v>
      </c>
    </row>
    <row r="75" spans="2:7" x14ac:dyDescent="0.2">
      <c r="B75" s="1318"/>
      <c r="C75" s="1319"/>
      <c r="D75" s="2464"/>
      <c r="E75" s="2685"/>
      <c r="F75" s="2681"/>
      <c r="G75" s="2682"/>
    </row>
    <row r="76" spans="2:7" ht="114.75" x14ac:dyDescent="0.2">
      <c r="B76" s="1321">
        <f>MAX(B74:B75)+1</f>
        <v>10</v>
      </c>
      <c r="C76" s="1209" t="s">
        <v>1148</v>
      </c>
      <c r="D76" s="2464" t="s">
        <v>117</v>
      </c>
      <c r="E76" s="2685">
        <v>3450</v>
      </c>
      <c r="F76" s="2683">
        <v>0</v>
      </c>
      <c r="G76" s="2684">
        <f>E76*F76</f>
        <v>0</v>
      </c>
    </row>
    <row r="77" spans="2:7" x14ac:dyDescent="0.2">
      <c r="B77" s="1318"/>
      <c r="C77" s="1319"/>
      <c r="D77" s="2464"/>
      <c r="E77" s="2685"/>
      <c r="F77" s="2681"/>
      <c r="G77" s="2682"/>
    </row>
    <row r="78" spans="2:7" ht="25.5" x14ac:dyDescent="0.2">
      <c r="B78" s="1321">
        <f>MAX(B76:B77)+1</f>
        <v>11</v>
      </c>
      <c r="C78" s="1209" t="s">
        <v>1149</v>
      </c>
      <c r="D78" s="2464" t="s">
        <v>117</v>
      </c>
      <c r="E78" s="2685">
        <v>3450</v>
      </c>
      <c r="F78" s="2683">
        <v>0</v>
      </c>
      <c r="G78" s="2684">
        <f>E78*F78</f>
        <v>0</v>
      </c>
    </row>
    <row r="79" spans="2:7" x14ac:dyDescent="0.2">
      <c r="B79" s="1318"/>
      <c r="C79" s="1319"/>
      <c r="D79" s="2464"/>
      <c r="E79" s="2685"/>
      <c r="F79" s="2681"/>
      <c r="G79" s="2682"/>
    </row>
    <row r="80" spans="2:7" ht="76.5" x14ac:dyDescent="0.2">
      <c r="B80" s="1321">
        <f>MAX(B78:B79)+1</f>
        <v>12</v>
      </c>
      <c r="C80" s="1209" t="s">
        <v>1150</v>
      </c>
      <c r="D80" s="2464" t="s">
        <v>112</v>
      </c>
      <c r="E80" s="2685">
        <v>300</v>
      </c>
      <c r="F80" s="2683">
        <v>0</v>
      </c>
      <c r="G80" s="2684">
        <f>E80*F80</f>
        <v>0</v>
      </c>
    </row>
    <row r="81" spans="2:7" x14ac:dyDescent="0.2">
      <c r="B81" s="1318"/>
      <c r="C81" s="1319"/>
      <c r="D81" s="2464"/>
      <c r="E81" s="2685"/>
      <c r="F81" s="2681"/>
      <c r="G81" s="2682"/>
    </row>
    <row r="82" spans="2:7" ht="114.75" x14ac:dyDescent="0.2">
      <c r="B82" s="1321">
        <f>MAX(B80:B81)+1</f>
        <v>13</v>
      </c>
      <c r="C82" s="1209" t="s">
        <v>1151</v>
      </c>
      <c r="D82" s="2464" t="s">
        <v>112</v>
      </c>
      <c r="E82" s="2685">
        <f>1433-248</f>
        <v>1185</v>
      </c>
      <c r="F82" s="2683">
        <v>0</v>
      </c>
      <c r="G82" s="2684">
        <f>E82*F82</f>
        <v>0</v>
      </c>
    </row>
    <row r="83" spans="2:7" x14ac:dyDescent="0.2">
      <c r="B83" s="1318"/>
      <c r="C83" s="1319"/>
      <c r="D83" s="2464"/>
      <c r="E83" s="2685"/>
      <c r="F83" s="2681"/>
      <c r="G83" s="2682"/>
    </row>
    <row r="84" spans="2:7" ht="76.5" x14ac:dyDescent="0.2">
      <c r="B84" s="1321">
        <f>MAX(B82:B83)+1</f>
        <v>14</v>
      </c>
      <c r="C84" s="1209" t="s">
        <v>1152</v>
      </c>
      <c r="D84" s="2464" t="s">
        <v>112</v>
      </c>
      <c r="E84" s="2685">
        <v>528</v>
      </c>
      <c r="F84" s="2683">
        <v>0</v>
      </c>
      <c r="G84" s="2684">
        <f>E84*F84</f>
        <v>0</v>
      </c>
    </row>
    <row r="85" spans="2:7" x14ac:dyDescent="0.2">
      <c r="B85" s="1318"/>
      <c r="C85" s="1319"/>
      <c r="D85" s="2464"/>
      <c r="E85" s="2685"/>
      <c r="F85" s="2681"/>
      <c r="G85" s="2682"/>
    </row>
    <row r="86" spans="2:7" ht="76.5" x14ac:dyDescent="0.2">
      <c r="B86" s="1321">
        <f>MAX(B84:B85)+1</f>
        <v>15</v>
      </c>
      <c r="C86" s="1209" t="s">
        <v>1153</v>
      </c>
      <c r="D86" s="2464" t="s">
        <v>112</v>
      </c>
      <c r="E86" s="2685">
        <v>1085</v>
      </c>
      <c r="F86" s="2683">
        <v>0</v>
      </c>
      <c r="G86" s="2684">
        <f>E86*F86</f>
        <v>0</v>
      </c>
    </row>
    <row r="87" spans="2:7" x14ac:dyDescent="0.2">
      <c r="B87" s="1318"/>
      <c r="C87" s="1319"/>
      <c r="D87" s="2464"/>
      <c r="E87" s="2685"/>
      <c r="F87" s="2681"/>
      <c r="G87" s="2682"/>
    </row>
    <row r="88" spans="2:7" ht="38.25" x14ac:dyDescent="0.2">
      <c r="B88" s="1321">
        <f>MAX(B86:B87)+1</f>
        <v>16</v>
      </c>
      <c r="C88" s="1209" t="s">
        <v>1154</v>
      </c>
      <c r="D88" s="2464" t="s">
        <v>117</v>
      </c>
      <c r="E88" s="2685">
        <f>E60</f>
        <v>3360</v>
      </c>
      <c r="F88" s="2683">
        <v>0</v>
      </c>
      <c r="G88" s="2684">
        <f>E88*F88</f>
        <v>0</v>
      </c>
    </row>
    <row r="89" spans="2:7" x14ac:dyDescent="0.2">
      <c r="B89" s="1318"/>
      <c r="C89" s="1319"/>
      <c r="D89" s="2464"/>
      <c r="E89" s="2685"/>
      <c r="F89" s="2681"/>
      <c r="G89" s="2682"/>
    </row>
    <row r="90" spans="2:7" ht="89.25" x14ac:dyDescent="0.2">
      <c r="B90" s="1321">
        <f>MAX(B88:B89)+1</f>
        <v>17</v>
      </c>
      <c r="C90" s="1209" t="s">
        <v>1155</v>
      </c>
      <c r="D90" s="2464" t="s">
        <v>117</v>
      </c>
      <c r="E90" s="2685">
        <v>2010</v>
      </c>
      <c r="F90" s="2683">
        <v>0</v>
      </c>
      <c r="G90" s="2684">
        <f>E90*F90</f>
        <v>0</v>
      </c>
    </row>
    <row r="91" spans="2:7" x14ac:dyDescent="0.2">
      <c r="B91" s="1318"/>
      <c r="C91" s="1209"/>
      <c r="D91" s="2464"/>
      <c r="E91" s="2685"/>
      <c r="F91" s="2681"/>
      <c r="G91" s="2684"/>
    </row>
    <row r="92" spans="2:7" ht="63.75" x14ac:dyDescent="0.2">
      <c r="B92" s="1321">
        <f>MAX(B90:B91)+1</f>
        <v>18</v>
      </c>
      <c r="C92" s="1209" t="s">
        <v>1156</v>
      </c>
      <c r="D92" s="2464" t="s">
        <v>117</v>
      </c>
      <c r="E92" s="2465">
        <v>50</v>
      </c>
      <c r="F92" s="2683">
        <v>0</v>
      </c>
      <c r="G92" s="2684">
        <f>E92*F92</f>
        <v>0</v>
      </c>
    </row>
    <row r="93" spans="2:7" x14ac:dyDescent="0.2">
      <c r="B93" s="1318"/>
      <c r="C93" s="1319"/>
      <c r="D93" s="2464"/>
      <c r="E93" s="2685"/>
      <c r="F93" s="2681"/>
      <c r="G93" s="2682"/>
    </row>
    <row r="94" spans="2:7" ht="25.5" x14ac:dyDescent="0.2">
      <c r="B94" s="1321">
        <f>MAX(B92:B93)+1</f>
        <v>19</v>
      </c>
      <c r="C94" s="1209" t="s">
        <v>1157</v>
      </c>
      <c r="D94" s="2464" t="s">
        <v>117</v>
      </c>
      <c r="E94" s="2685">
        <f>E60</f>
        <v>3360</v>
      </c>
      <c r="F94" s="2683">
        <v>0</v>
      </c>
      <c r="G94" s="2684">
        <f>E94*F94</f>
        <v>0</v>
      </c>
    </row>
    <row r="95" spans="2:7" x14ac:dyDescent="0.2">
      <c r="B95" s="1318"/>
      <c r="C95" s="1209"/>
      <c r="D95" s="2464"/>
      <c r="E95" s="2685"/>
      <c r="F95" s="2681"/>
      <c r="G95" s="2682"/>
    </row>
    <row r="96" spans="2:7" ht="114.75" x14ac:dyDescent="0.2">
      <c r="B96" s="1321">
        <f>MAX(B94:B95)+1</f>
        <v>20</v>
      </c>
      <c r="C96" s="1209" t="s">
        <v>1158</v>
      </c>
      <c r="D96" s="2464" t="s">
        <v>112</v>
      </c>
      <c r="E96" s="2685">
        <v>1839</v>
      </c>
      <c r="F96" s="2683">
        <v>0</v>
      </c>
      <c r="G96" s="2684">
        <f>E96*F96</f>
        <v>0</v>
      </c>
    </row>
    <row r="97" spans="2:7" x14ac:dyDescent="0.2">
      <c r="B97" s="1318"/>
      <c r="C97" s="1209"/>
      <c r="D97" s="2464"/>
      <c r="E97" s="2685"/>
      <c r="F97" s="2681"/>
      <c r="G97" s="2682"/>
    </row>
    <row r="98" spans="2:7" ht="51" x14ac:dyDescent="0.2">
      <c r="B98" s="1321">
        <f>MAX(B96:B97)+1</f>
        <v>21</v>
      </c>
      <c r="C98" s="1209" t="s">
        <v>1159</v>
      </c>
      <c r="D98" s="2464" t="s">
        <v>112</v>
      </c>
      <c r="E98" s="2685">
        <f>E62</f>
        <v>52</v>
      </c>
      <c r="F98" s="2683">
        <v>0</v>
      </c>
      <c r="G98" s="2684">
        <f>E98*F98</f>
        <v>0</v>
      </c>
    </row>
    <row r="99" spans="2:7" x14ac:dyDescent="0.2">
      <c r="B99" s="1318"/>
      <c r="C99" s="1319"/>
      <c r="D99" s="2464"/>
      <c r="E99" s="2685"/>
      <c r="F99" s="2681"/>
      <c r="G99" s="2682"/>
    </row>
    <row r="100" spans="2:7" ht="25.5" x14ac:dyDescent="0.2">
      <c r="B100" s="1321">
        <f>MAX(B98:B99)+1</f>
        <v>22</v>
      </c>
      <c r="C100" s="1209" t="s">
        <v>1160</v>
      </c>
      <c r="D100" s="2464" t="s">
        <v>95</v>
      </c>
      <c r="E100" s="2685">
        <v>1371</v>
      </c>
      <c r="F100" s="2683">
        <v>0</v>
      </c>
      <c r="G100" s="2684">
        <f>E100*F100</f>
        <v>0</v>
      </c>
    </row>
    <row r="101" spans="2:7" x14ac:dyDescent="0.2">
      <c r="B101" s="1318"/>
      <c r="C101" s="1319"/>
      <c r="D101" s="2464"/>
      <c r="E101" s="2685"/>
      <c r="F101" s="2681"/>
      <c r="G101" s="2682"/>
    </row>
    <row r="102" spans="2:7" ht="114.75" x14ac:dyDescent="0.2">
      <c r="B102" s="1321">
        <f>MAX(B100:B101)+1</f>
        <v>23</v>
      </c>
      <c r="C102" s="1209" t="s">
        <v>1161</v>
      </c>
      <c r="D102" s="2464" t="s">
        <v>98</v>
      </c>
      <c r="E102" s="2685">
        <v>4</v>
      </c>
      <c r="F102" s="2683">
        <v>0</v>
      </c>
      <c r="G102" s="2684">
        <f>E102*F102</f>
        <v>0</v>
      </c>
    </row>
    <row r="103" spans="2:7" x14ac:dyDescent="0.2">
      <c r="B103" s="1318"/>
      <c r="C103" s="1209"/>
      <c r="D103" s="2464"/>
      <c r="E103" s="2685"/>
      <c r="F103" s="2681"/>
      <c r="G103" s="2684"/>
    </row>
    <row r="104" spans="2:7" ht="89.25" x14ac:dyDescent="0.2">
      <c r="B104" s="1321">
        <f>MAX(B102:B103)+1</f>
        <v>24</v>
      </c>
      <c r="C104" s="1209" t="s">
        <v>1162</v>
      </c>
      <c r="D104" s="2464" t="s">
        <v>98</v>
      </c>
      <c r="E104" s="2685">
        <v>1</v>
      </c>
      <c r="F104" s="2683">
        <v>0</v>
      </c>
      <c r="G104" s="2684">
        <f>E104*F104</f>
        <v>0</v>
      </c>
    </row>
    <row r="105" spans="2:7" x14ac:dyDescent="0.2">
      <c r="B105" s="1318"/>
      <c r="C105" s="1319"/>
      <c r="D105" s="2464"/>
      <c r="E105" s="2685"/>
      <c r="F105" s="2681"/>
      <c r="G105" s="2682"/>
    </row>
    <row r="106" spans="2:7" ht="38.25" x14ac:dyDescent="0.2">
      <c r="B106" s="1321">
        <f>MAX(B104:B105)+1</f>
        <v>25</v>
      </c>
      <c r="C106" s="1209" t="s">
        <v>1163</v>
      </c>
      <c r="D106" s="2464" t="s">
        <v>98</v>
      </c>
      <c r="E106" s="2685">
        <v>1</v>
      </c>
      <c r="F106" s="2683">
        <v>0</v>
      </c>
      <c r="G106" s="2684">
        <f>E106*F106</f>
        <v>0</v>
      </c>
    </row>
    <row r="107" spans="2:7" x14ac:dyDescent="0.2">
      <c r="B107" s="1318"/>
      <c r="C107" s="1209"/>
      <c r="D107" s="2464"/>
      <c r="E107" s="2685"/>
      <c r="F107" s="2681"/>
      <c r="G107" s="2684"/>
    </row>
    <row r="108" spans="2:7" ht="153" x14ac:dyDescent="0.2">
      <c r="B108" s="1321">
        <f>MAX(B106:B107)+1</f>
        <v>26</v>
      </c>
      <c r="C108" s="1209" t="s">
        <v>1164</v>
      </c>
      <c r="D108" s="2464" t="s">
        <v>95</v>
      </c>
      <c r="E108" s="2685">
        <v>17</v>
      </c>
      <c r="F108" s="2683">
        <v>0</v>
      </c>
      <c r="G108" s="2684">
        <f>E108*F108</f>
        <v>0</v>
      </c>
    </row>
    <row r="109" spans="2:7" x14ac:dyDescent="0.2">
      <c r="B109" s="1318"/>
      <c r="C109" s="1209"/>
      <c r="D109" s="2464"/>
      <c r="E109" s="2465"/>
      <c r="F109" s="2681"/>
      <c r="G109" s="2682"/>
    </row>
    <row r="110" spans="2:7" ht="76.5" x14ac:dyDescent="0.2">
      <c r="B110" s="1321">
        <f>MAX(B108:B109)+1</f>
        <v>27</v>
      </c>
      <c r="C110" s="1209" t="s">
        <v>1165</v>
      </c>
      <c r="D110" s="2464" t="s">
        <v>117</v>
      </c>
      <c r="E110" s="2465">
        <v>35</v>
      </c>
      <c r="F110" s="2683">
        <v>0</v>
      </c>
      <c r="G110" s="2684">
        <f>E110*F110</f>
        <v>0</v>
      </c>
    </row>
    <row r="111" spans="2:7" x14ac:dyDescent="0.2">
      <c r="B111" s="1318"/>
      <c r="C111" s="1209"/>
      <c r="D111" s="2464"/>
      <c r="E111" s="2465"/>
      <c r="F111" s="2681"/>
      <c r="G111" s="2682"/>
    </row>
    <row r="112" spans="2:7" ht="89.25" x14ac:dyDescent="0.2">
      <c r="B112" s="1321">
        <f>MAX(B110:B111)+1</f>
        <v>28</v>
      </c>
      <c r="C112" s="1209" t="s">
        <v>1166</v>
      </c>
      <c r="D112" s="2464" t="s">
        <v>117</v>
      </c>
      <c r="E112" s="2465">
        <f>E110</f>
        <v>35</v>
      </c>
      <c r="F112" s="2683">
        <v>0</v>
      </c>
      <c r="G112" s="2684">
        <f>E112*F112</f>
        <v>0</v>
      </c>
    </row>
    <row r="113" spans="2:7" x14ac:dyDescent="0.2">
      <c r="B113" s="1318"/>
      <c r="C113" s="1209"/>
      <c r="D113" s="2464"/>
      <c r="E113" s="2465"/>
      <c r="F113" s="2681"/>
      <c r="G113" s="2684"/>
    </row>
    <row r="114" spans="2:7" ht="51" x14ac:dyDescent="0.2">
      <c r="B114" s="1321">
        <f>MAX(B112:B113)+1</f>
        <v>29</v>
      </c>
      <c r="C114" s="1209" t="s">
        <v>1167</v>
      </c>
      <c r="D114" s="2464" t="s">
        <v>112</v>
      </c>
      <c r="E114" s="2465">
        <f>6*0.3*(2.3+1.2+2+3.3)</f>
        <v>15.84</v>
      </c>
      <c r="F114" s="2683">
        <v>0</v>
      </c>
      <c r="G114" s="2684">
        <f>E114*F114</f>
        <v>0</v>
      </c>
    </row>
    <row r="115" spans="2:7" x14ac:dyDescent="0.2">
      <c r="B115" s="1318"/>
      <c r="C115" s="1319"/>
      <c r="D115" s="2464"/>
      <c r="E115" s="2465"/>
      <c r="F115" s="2681"/>
      <c r="G115" s="2684"/>
    </row>
    <row r="116" spans="2:7" ht="51" x14ac:dyDescent="0.2">
      <c r="B116" s="1321">
        <f>MAX(B114:B115)+1</f>
        <v>30</v>
      </c>
      <c r="C116" s="1209" t="s">
        <v>1168</v>
      </c>
      <c r="D116" s="2464" t="s">
        <v>112</v>
      </c>
      <c r="E116" s="2465">
        <f>4*(2*(6*0.5*2))</f>
        <v>48</v>
      </c>
      <c r="F116" s="2683">
        <v>0</v>
      </c>
      <c r="G116" s="2684">
        <f>E116*F116</f>
        <v>0</v>
      </c>
    </row>
    <row r="117" spans="2:7" x14ac:dyDescent="0.2">
      <c r="B117" s="1318"/>
      <c r="C117" s="1319"/>
      <c r="D117" s="2464"/>
      <c r="E117" s="2465"/>
      <c r="F117" s="2681"/>
      <c r="G117" s="2684"/>
    </row>
    <row r="118" spans="2:7" ht="38.25" x14ac:dyDescent="0.2">
      <c r="B118" s="1321">
        <f>MAX(B116:B117)+1</f>
        <v>31</v>
      </c>
      <c r="C118" s="1209" t="s">
        <v>1169</v>
      </c>
      <c r="D118" s="2464" t="s">
        <v>112</v>
      </c>
      <c r="E118" s="2465">
        <f>4*(2*(6*0.6*0.6))</f>
        <v>17.279999999999998</v>
      </c>
      <c r="F118" s="2683">
        <v>0</v>
      </c>
      <c r="G118" s="2684">
        <f>E118*F118</f>
        <v>0</v>
      </c>
    </row>
    <row r="119" spans="2:7" x14ac:dyDescent="0.2">
      <c r="B119" s="1318"/>
      <c r="C119" s="1209"/>
      <c r="D119" s="2464"/>
      <c r="E119" s="2465"/>
      <c r="F119" s="2681"/>
      <c r="G119" s="2684"/>
    </row>
    <row r="120" spans="2:7" ht="63.75" x14ac:dyDescent="0.2">
      <c r="B120" s="1321">
        <f>MAX(B118:B119)+1</f>
        <v>32</v>
      </c>
      <c r="C120" s="1209" t="s">
        <v>1170</v>
      </c>
      <c r="D120" s="2464" t="s">
        <v>123</v>
      </c>
      <c r="E120" s="2685">
        <v>10</v>
      </c>
      <c r="F120" s="2683">
        <v>0</v>
      </c>
      <c r="G120" s="2684">
        <f>E120*F120</f>
        <v>0</v>
      </c>
    </row>
    <row r="121" spans="2:7" x14ac:dyDescent="0.2">
      <c r="B121" s="1318"/>
      <c r="C121" s="1319"/>
      <c r="D121" s="2464"/>
      <c r="E121" s="2465"/>
      <c r="F121" s="2691"/>
      <c r="G121" s="2682"/>
    </row>
    <row r="122" spans="2:7" ht="102" x14ac:dyDescent="0.2">
      <c r="B122" s="1321">
        <f>MAX(B120:B121)+1</f>
        <v>33</v>
      </c>
      <c r="C122" s="1209" t="s">
        <v>1171</v>
      </c>
      <c r="D122" s="2464" t="s">
        <v>112</v>
      </c>
      <c r="E122" s="2465">
        <v>10</v>
      </c>
      <c r="F122" s="2683">
        <v>0</v>
      </c>
      <c r="G122" s="2684">
        <f>E122*F122</f>
        <v>0</v>
      </c>
    </row>
    <row r="123" spans="2:7" x14ac:dyDescent="0.2">
      <c r="B123" s="1326"/>
      <c r="C123" s="1209"/>
      <c r="D123" s="2464"/>
      <c r="E123" s="2465"/>
      <c r="F123" s="2692"/>
      <c r="G123" s="2684"/>
    </row>
    <row r="124" spans="2:7" ht="63.75" x14ac:dyDescent="0.2">
      <c r="B124" s="1321">
        <f>MAX(B122:B123)+1</f>
        <v>34</v>
      </c>
      <c r="C124" s="1327" t="s">
        <v>1172</v>
      </c>
      <c r="D124" s="2464" t="s">
        <v>98</v>
      </c>
      <c r="E124" s="2465">
        <v>1</v>
      </c>
      <c r="F124" s="2683">
        <v>0</v>
      </c>
      <c r="G124" s="2684">
        <f>E124*F124</f>
        <v>0</v>
      </c>
    </row>
    <row r="125" spans="2:7" x14ac:dyDescent="0.2">
      <c r="B125" s="1318"/>
      <c r="C125" s="1327"/>
      <c r="D125" s="2464"/>
      <c r="E125" s="2465"/>
      <c r="F125" s="2681"/>
      <c r="G125" s="2684"/>
    </row>
    <row r="126" spans="2:7" ht="38.25" x14ac:dyDescent="0.2">
      <c r="B126" s="1321">
        <f>MAX(B124:B125)+1</f>
        <v>35</v>
      </c>
      <c r="C126" s="1209" t="s">
        <v>1173</v>
      </c>
      <c r="D126" s="2464" t="s">
        <v>98</v>
      </c>
      <c r="E126" s="2465">
        <v>8</v>
      </c>
      <c r="F126" s="2683">
        <v>0</v>
      </c>
      <c r="G126" s="2684">
        <f>E126*F126</f>
        <v>0</v>
      </c>
    </row>
    <row r="127" spans="2:7" x14ac:dyDescent="0.2">
      <c r="B127" s="1321"/>
      <c r="C127" s="1209"/>
      <c r="D127" s="2464"/>
      <c r="E127" s="2465"/>
      <c r="F127" s="2681"/>
      <c r="G127" s="2681"/>
    </row>
    <row r="128" spans="2:7" ht="38.25" x14ac:dyDescent="0.2">
      <c r="B128" s="1321">
        <f>MAX(B126:B127)+1</f>
        <v>36</v>
      </c>
      <c r="C128" s="924" t="s">
        <v>153</v>
      </c>
      <c r="D128" s="925" t="s">
        <v>112</v>
      </c>
      <c r="E128" s="1037">
        <v>14</v>
      </c>
      <c r="F128" s="2683">
        <v>0</v>
      </c>
      <c r="G128" s="2105">
        <f>E128*F128</f>
        <v>0</v>
      </c>
    </row>
    <row r="129" spans="2:8" x14ac:dyDescent="0.2">
      <c r="B129" s="1321"/>
      <c r="C129" s="1209"/>
      <c r="D129" s="2464"/>
      <c r="E129" s="2465"/>
      <c r="F129" s="2681"/>
      <c r="G129" s="2681"/>
    </row>
    <row r="130" spans="2:8" s="121" customFormat="1" ht="203.25" customHeight="1" x14ac:dyDescent="0.2">
      <c r="B130" s="1321">
        <v>37</v>
      </c>
      <c r="C130" s="2880" t="s">
        <v>150</v>
      </c>
      <c r="D130" s="2881" t="s">
        <v>149</v>
      </c>
      <c r="E130" s="472">
        <v>1</v>
      </c>
      <c r="F130" s="2472">
        <v>0</v>
      </c>
      <c r="G130" s="2473">
        <f>E130*F130</f>
        <v>0</v>
      </c>
      <c r="H130" s="2426"/>
    </row>
    <row r="131" spans="2:8" s="121" customFormat="1" ht="51.75" customHeight="1" x14ac:dyDescent="0.2">
      <c r="B131" s="3224">
        <v>38</v>
      </c>
      <c r="C131" s="409" t="s">
        <v>1174</v>
      </c>
      <c r="D131" s="207"/>
      <c r="E131" s="353"/>
      <c r="F131" s="2472"/>
      <c r="G131" s="2473"/>
      <c r="H131" s="2426"/>
    </row>
    <row r="132" spans="2:8" s="130" customFormat="1" ht="17.25" customHeight="1" x14ac:dyDescent="0.2">
      <c r="B132" s="3225"/>
      <c r="C132" s="291" t="s">
        <v>310</v>
      </c>
      <c r="D132" s="221" t="s">
        <v>95</v>
      </c>
      <c r="E132" s="353">
        <v>31</v>
      </c>
      <c r="F132" s="2472">
        <v>0</v>
      </c>
      <c r="G132" s="2473">
        <f t="shared" ref="G132" si="0">E132*F132</f>
        <v>0</v>
      </c>
      <c r="H132" s="2426"/>
    </row>
    <row r="133" spans="2:8" s="130" customFormat="1" ht="17.25" customHeight="1" x14ac:dyDescent="0.2">
      <c r="B133" s="3225"/>
      <c r="C133" s="291" t="s">
        <v>310</v>
      </c>
      <c r="D133" s="221" t="s">
        <v>95</v>
      </c>
      <c r="E133" s="353">
        <v>13</v>
      </c>
      <c r="F133" s="2472">
        <v>0</v>
      </c>
      <c r="G133" s="2473">
        <f t="shared" ref="G133" si="1">E133*F133</f>
        <v>0</v>
      </c>
      <c r="H133" s="2426"/>
    </row>
    <row r="134" spans="2:8" s="130" customFormat="1" ht="17.25" customHeight="1" x14ac:dyDescent="0.2">
      <c r="B134" s="3225"/>
      <c r="C134" s="291" t="s">
        <v>310</v>
      </c>
      <c r="D134" s="221" t="s">
        <v>95</v>
      </c>
      <c r="E134" s="353">
        <v>13</v>
      </c>
      <c r="F134" s="2472">
        <v>0</v>
      </c>
      <c r="G134" s="2473">
        <f t="shared" ref="G134" si="2">E134*F134</f>
        <v>0</v>
      </c>
      <c r="H134" s="2426"/>
    </row>
    <row r="135" spans="2:8" ht="13.5" thickBot="1" x14ac:dyDescent="0.25">
      <c r="B135" s="1328"/>
      <c r="C135" s="1329"/>
      <c r="D135" s="1329"/>
      <c r="E135" s="1330"/>
      <c r="F135" s="1331"/>
      <c r="G135" s="2693"/>
    </row>
    <row r="136" spans="2:8" ht="13.5" thickTop="1" x14ac:dyDescent="0.2">
      <c r="B136" s="1332" t="s">
        <v>12</v>
      </c>
      <c r="C136" s="1333" t="s">
        <v>157</v>
      </c>
      <c r="D136" s="1332"/>
      <c r="E136" s="1334"/>
      <c r="F136" s="1335"/>
      <c r="G136" s="1336">
        <f>SUM(G57:G135)</f>
        <v>0</v>
      </c>
    </row>
    <row r="137" spans="2:8" x14ac:dyDescent="0.2">
      <c r="B137" s="1337"/>
      <c r="C137" s="1338"/>
      <c r="D137" s="2694"/>
      <c r="E137" s="2695"/>
      <c r="F137" s="2696"/>
      <c r="G137" s="2697"/>
    </row>
    <row r="138" spans="2:8" x14ac:dyDescent="0.2">
      <c r="B138" s="1339"/>
      <c r="C138" s="1340"/>
      <c r="D138" s="2698"/>
      <c r="E138" s="2699"/>
      <c r="F138" s="2700"/>
      <c r="G138" s="2701"/>
    </row>
    <row r="139" spans="2:8" x14ac:dyDescent="0.2">
      <c r="B139" s="1341"/>
      <c r="C139" s="1317"/>
      <c r="D139" s="2702"/>
      <c r="E139" s="2703"/>
      <c r="F139" s="2704"/>
      <c r="G139" s="2705"/>
    </row>
    <row r="140" spans="2:8" ht="24" x14ac:dyDescent="0.2">
      <c r="B140" s="680" t="s">
        <v>83</v>
      </c>
      <c r="C140" s="681" t="s">
        <v>89</v>
      </c>
      <c r="D140" s="681" t="s">
        <v>90</v>
      </c>
      <c r="E140" s="808" t="s">
        <v>91</v>
      </c>
      <c r="F140" s="809" t="s">
        <v>92</v>
      </c>
      <c r="G140" s="810" t="s">
        <v>93</v>
      </c>
    </row>
    <row r="141" spans="2:8" x14ac:dyDescent="0.2">
      <c r="B141" s="129"/>
      <c r="C141" s="197"/>
      <c r="D141" s="207"/>
      <c r="E141" s="814"/>
      <c r="F141" s="815"/>
      <c r="G141" s="816"/>
    </row>
    <row r="142" spans="2:8" ht="20.25" x14ac:dyDescent="0.2">
      <c r="B142" s="1039" t="s">
        <v>17</v>
      </c>
      <c r="C142" s="1040" t="s">
        <v>158</v>
      </c>
      <c r="D142" s="694"/>
      <c r="E142" s="820"/>
      <c r="F142" s="821"/>
      <c r="G142" s="822"/>
    </row>
    <row r="143" spans="2:8" x14ac:dyDescent="0.2">
      <c r="B143" s="2865" t="s">
        <v>1</v>
      </c>
      <c r="C143" s="2866"/>
      <c r="D143" s="2867"/>
      <c r="E143" s="2867"/>
      <c r="F143" s="2867"/>
      <c r="G143" s="2868"/>
    </row>
    <row r="144" spans="2:8" x14ac:dyDescent="0.2">
      <c r="B144" s="2869" t="s">
        <v>2</v>
      </c>
      <c r="C144" s="2870"/>
      <c r="D144" s="2871"/>
      <c r="E144" s="2872"/>
      <c r="F144" s="2872"/>
      <c r="G144" s="2871"/>
    </row>
    <row r="145" spans="2:10" x14ac:dyDescent="0.2">
      <c r="B145" s="2865" t="s">
        <v>3</v>
      </c>
      <c r="C145" s="2866"/>
      <c r="D145" s="2867"/>
      <c r="E145" s="2867"/>
      <c r="F145" s="2867"/>
      <c r="G145" s="2868"/>
    </row>
    <row r="146" spans="2:10" x14ac:dyDescent="0.2">
      <c r="B146" s="2869" t="s">
        <v>4</v>
      </c>
      <c r="C146" s="2870"/>
      <c r="D146" s="2872"/>
      <c r="E146" s="2872"/>
      <c r="F146" s="2872"/>
      <c r="G146" s="2871"/>
    </row>
    <row r="147" spans="2:10" x14ac:dyDescent="0.2">
      <c r="B147" s="3226" t="s">
        <v>159</v>
      </c>
      <c r="C147" s="3227"/>
      <c r="D147" s="3227"/>
      <c r="E147" s="3227"/>
      <c r="F147" s="3227"/>
      <c r="G147" s="3228"/>
    </row>
    <row r="148" spans="2:10" x14ac:dyDescent="0.2">
      <c r="B148" s="3226" t="s">
        <v>160</v>
      </c>
      <c r="C148" s="3227"/>
      <c r="D148" s="3227"/>
      <c r="E148" s="3227"/>
      <c r="F148" s="3227"/>
      <c r="G148" s="3228"/>
    </row>
    <row r="149" spans="2:10" x14ac:dyDescent="0.2">
      <c r="B149" s="3226" t="s">
        <v>161</v>
      </c>
      <c r="C149" s="3227"/>
      <c r="D149" s="3227"/>
      <c r="E149" s="3227"/>
      <c r="F149" s="3227"/>
      <c r="G149" s="3228"/>
    </row>
    <row r="150" spans="2:10" x14ac:dyDescent="0.2">
      <c r="B150" s="845"/>
      <c r="C150" s="848"/>
      <c r="D150" s="2126"/>
      <c r="E150" s="2122"/>
      <c r="F150" s="1011"/>
      <c r="G150" s="2105"/>
    </row>
    <row r="151" spans="2:10" ht="38.25" x14ac:dyDescent="0.2">
      <c r="B151" s="1342">
        <v>1</v>
      </c>
      <c r="C151" s="932" t="s">
        <v>162</v>
      </c>
      <c r="D151" s="2508"/>
      <c r="E151" s="2509"/>
      <c r="F151" s="2510"/>
      <c r="G151" s="2511"/>
    </row>
    <row r="152" spans="2:10" ht="25.5" x14ac:dyDescent="0.2">
      <c r="B152" s="1343"/>
      <c r="C152" s="1344" t="s">
        <v>313</v>
      </c>
      <c r="D152" s="937" t="s">
        <v>95</v>
      </c>
      <c r="E152" s="2465">
        <f>2795*30/100</f>
        <v>838.5</v>
      </c>
      <c r="F152" s="2683">
        <v>0</v>
      </c>
      <c r="G152" s="1011">
        <f>E152*F152</f>
        <v>0</v>
      </c>
      <c r="I152" s="1345"/>
      <c r="J152" s="1345"/>
    </row>
    <row r="153" spans="2:10" x14ac:dyDescent="0.2">
      <c r="B153" s="1343"/>
      <c r="C153" s="1344" t="s">
        <v>314</v>
      </c>
      <c r="D153" s="937" t="s">
        <v>95</v>
      </c>
      <c r="E153" s="2465">
        <f>2795*70/100</f>
        <v>1956.5</v>
      </c>
      <c r="F153" s="2683">
        <v>0</v>
      </c>
      <c r="G153" s="1011">
        <f>E153*F153</f>
        <v>0</v>
      </c>
    </row>
    <row r="154" spans="2:10" x14ac:dyDescent="0.2">
      <c r="B154" s="1318"/>
      <c r="C154" s="1319"/>
      <c r="D154" s="2464"/>
      <c r="E154" s="2465"/>
      <c r="F154" s="2681"/>
      <c r="G154" s="2682"/>
    </row>
    <row r="155" spans="2:10" ht="51" x14ac:dyDescent="0.2">
      <c r="B155" s="1346">
        <v>2</v>
      </c>
      <c r="C155" s="946" t="s">
        <v>172</v>
      </c>
      <c r="D155" s="411" t="s">
        <v>95</v>
      </c>
      <c r="E155" s="1347">
        <v>2795</v>
      </c>
      <c r="F155" s="1010">
        <v>0</v>
      </c>
      <c r="G155" s="1011">
        <f>E155*F155</f>
        <v>0</v>
      </c>
    </row>
    <row r="156" spans="2:10" ht="38.25" x14ac:dyDescent="0.2">
      <c r="B156" s="1348" t="s">
        <v>173</v>
      </c>
      <c r="C156" s="946" t="s">
        <v>174</v>
      </c>
      <c r="D156" s="411" t="s">
        <v>95</v>
      </c>
      <c r="E156" s="1347">
        <v>2795</v>
      </c>
      <c r="F156" s="1010">
        <v>0</v>
      </c>
      <c r="G156" s="1011">
        <f>E156*F156</f>
        <v>0</v>
      </c>
    </row>
    <row r="157" spans="2:10" ht="25.5" x14ac:dyDescent="0.2">
      <c r="B157" s="1348" t="s">
        <v>175</v>
      </c>
      <c r="C157" s="946" t="s">
        <v>176</v>
      </c>
      <c r="D157" s="411" t="s">
        <v>95</v>
      </c>
      <c r="E157" s="1347">
        <v>2795</v>
      </c>
      <c r="F157" s="1010">
        <v>0</v>
      </c>
      <c r="G157" s="1011">
        <f>E157*F157</f>
        <v>0</v>
      </c>
    </row>
    <row r="158" spans="2:10" ht="51" x14ac:dyDescent="0.2">
      <c r="B158" s="1348" t="s">
        <v>177</v>
      </c>
      <c r="C158" s="946" t="s">
        <v>178</v>
      </c>
      <c r="D158" s="411" t="s">
        <v>95</v>
      </c>
      <c r="E158" s="1347">
        <v>2795</v>
      </c>
      <c r="F158" s="1010">
        <v>0</v>
      </c>
      <c r="G158" s="1011">
        <f>E158*F158</f>
        <v>0</v>
      </c>
    </row>
    <row r="159" spans="2:10" x14ac:dyDescent="0.2">
      <c r="B159" s="1318"/>
      <c r="C159" s="1319"/>
      <c r="D159" s="2464"/>
      <c r="E159" s="2465"/>
      <c r="F159" s="2681"/>
      <c r="G159" s="2682"/>
    </row>
    <row r="160" spans="2:10" ht="76.5" x14ac:dyDescent="0.2">
      <c r="B160" s="1349">
        <v>3</v>
      </c>
      <c r="C160" s="1350" t="s">
        <v>1175</v>
      </c>
      <c r="D160" s="2464"/>
      <c r="E160" s="2464"/>
      <c r="F160" s="2681"/>
      <c r="G160" s="2684"/>
    </row>
    <row r="161" spans="2:8" x14ac:dyDescent="0.2">
      <c r="B161" s="1319"/>
      <c r="C161" s="1288" t="s">
        <v>1176</v>
      </c>
      <c r="D161" s="2464" t="s">
        <v>123</v>
      </c>
      <c r="E161" s="2465">
        <v>18</v>
      </c>
      <c r="F161" s="1010">
        <v>0</v>
      </c>
      <c r="G161" s="1011">
        <f>E161*F161</f>
        <v>0</v>
      </c>
    </row>
    <row r="162" spans="2:8" x14ac:dyDescent="0.2">
      <c r="B162" s="1318"/>
      <c r="C162" s="1288" t="s">
        <v>1177</v>
      </c>
      <c r="D162" s="2464" t="s">
        <v>123</v>
      </c>
      <c r="E162" s="2465">
        <v>6</v>
      </c>
      <c r="F162" s="1010">
        <v>0</v>
      </c>
      <c r="G162" s="1011">
        <f>E162*F162</f>
        <v>0</v>
      </c>
    </row>
    <row r="163" spans="2:8" x14ac:dyDescent="0.2">
      <c r="B163" s="1318"/>
      <c r="C163" s="1288" t="s">
        <v>1178</v>
      </c>
      <c r="D163" s="2464" t="s">
        <v>123</v>
      </c>
      <c r="E163" s="2465">
        <v>5</v>
      </c>
      <c r="F163" s="1010">
        <v>0</v>
      </c>
      <c r="G163" s="1011">
        <f>E163*F163</f>
        <v>0</v>
      </c>
    </row>
    <row r="164" spans="2:8" x14ac:dyDescent="0.2">
      <c r="B164" s="1318"/>
      <c r="C164" s="1288" t="s">
        <v>1179</v>
      </c>
      <c r="D164" s="2464" t="s">
        <v>123</v>
      </c>
      <c r="E164" s="2465">
        <v>56</v>
      </c>
      <c r="F164" s="1010">
        <v>0</v>
      </c>
      <c r="G164" s="1011">
        <f>E164*F164</f>
        <v>0</v>
      </c>
    </row>
    <row r="165" spans="2:8" x14ac:dyDescent="0.2">
      <c r="B165" s="1318"/>
      <c r="C165" s="1288"/>
      <c r="D165" s="2464"/>
      <c r="E165" s="2465"/>
      <c r="F165" s="2681"/>
      <c r="G165" s="2692"/>
    </row>
    <row r="166" spans="2:8" ht="51" x14ac:dyDescent="0.2">
      <c r="B166" s="1349">
        <v>4</v>
      </c>
      <c r="C166" s="1350" t="s">
        <v>1180</v>
      </c>
      <c r="D166" s="2464"/>
      <c r="E166" s="2464"/>
      <c r="F166" s="2681"/>
      <c r="G166" s="2684"/>
    </row>
    <row r="167" spans="2:8" x14ac:dyDescent="0.2">
      <c r="B167" s="1319"/>
      <c r="C167" s="1288" t="s">
        <v>1181</v>
      </c>
      <c r="D167" s="2464" t="s">
        <v>95</v>
      </c>
      <c r="E167" s="2465">
        <v>48</v>
      </c>
      <c r="F167" s="1010">
        <v>0</v>
      </c>
      <c r="G167" s="1011">
        <f>E167*F167</f>
        <v>0</v>
      </c>
    </row>
    <row r="168" spans="2:8" x14ac:dyDescent="0.2">
      <c r="B168" s="1318"/>
      <c r="C168" s="1288" t="s">
        <v>1182</v>
      </c>
      <c r="D168" s="2464" t="s">
        <v>123</v>
      </c>
      <c r="E168" s="2465">
        <v>10</v>
      </c>
      <c r="F168" s="1010">
        <v>0</v>
      </c>
      <c r="G168" s="1011">
        <f>E168*F168</f>
        <v>0</v>
      </c>
    </row>
    <row r="169" spans="2:8" ht="25.5" x14ac:dyDescent="0.2">
      <c r="B169" s="1318"/>
      <c r="C169" s="1327" t="s">
        <v>1183</v>
      </c>
      <c r="D169" s="2464" t="s">
        <v>123</v>
      </c>
      <c r="E169" s="2465">
        <v>12</v>
      </c>
      <c r="F169" s="1010">
        <v>0</v>
      </c>
      <c r="G169" s="1011">
        <f>E169*F169</f>
        <v>0</v>
      </c>
    </row>
    <row r="170" spans="2:8" ht="38.25" x14ac:dyDescent="0.2">
      <c r="B170" s="1318"/>
      <c r="C170" s="1327" t="s">
        <v>1184</v>
      </c>
      <c r="D170" s="2464" t="s">
        <v>123</v>
      </c>
      <c r="E170" s="2465">
        <v>8</v>
      </c>
      <c r="F170" s="1010">
        <v>0</v>
      </c>
      <c r="G170" s="1011">
        <f>E170*F170</f>
        <v>0</v>
      </c>
    </row>
    <row r="171" spans="2:8" x14ac:dyDescent="0.2">
      <c r="B171" s="1318"/>
      <c r="C171" s="1288"/>
      <c r="D171" s="2464"/>
      <c r="E171" s="2465"/>
      <c r="F171" s="2681"/>
      <c r="G171" s="2692"/>
    </row>
    <row r="172" spans="2:8" ht="38.25" x14ac:dyDescent="0.2">
      <c r="B172" s="2474">
        <v>5</v>
      </c>
      <c r="C172" s="2475" t="s">
        <v>1185</v>
      </c>
      <c r="D172" s="2476"/>
      <c r="E172" s="2477"/>
      <c r="F172" s="2706"/>
      <c r="G172" s="2707"/>
    </row>
    <row r="173" spans="2:8" s="136" customFormat="1" x14ac:dyDescent="0.2">
      <c r="B173" s="2478"/>
      <c r="C173" s="267" t="s">
        <v>319</v>
      </c>
      <c r="D173" s="231" t="s">
        <v>149</v>
      </c>
      <c r="E173" s="265">
        <v>2</v>
      </c>
      <c r="F173" s="2433">
        <v>0</v>
      </c>
      <c r="G173" s="2434">
        <f t="shared" ref="G173:G191" si="3">E173*F173</f>
        <v>0</v>
      </c>
      <c r="H173" s="2426"/>
    </row>
    <row r="174" spans="2:8" s="136" customFormat="1" x14ac:dyDescent="0.2">
      <c r="B174" s="2478"/>
      <c r="C174" s="267" t="s">
        <v>1186</v>
      </c>
      <c r="D174" s="231" t="s">
        <v>149</v>
      </c>
      <c r="E174" s="265">
        <v>2</v>
      </c>
      <c r="F174" s="2433">
        <v>0</v>
      </c>
      <c r="G174" s="2434">
        <f t="shared" si="3"/>
        <v>0</v>
      </c>
      <c r="H174" s="2426"/>
    </row>
    <row r="175" spans="2:8" s="136" customFormat="1" x14ac:dyDescent="0.2">
      <c r="B175" s="2478"/>
      <c r="C175" s="267" t="s">
        <v>341</v>
      </c>
      <c r="D175" s="231" t="s">
        <v>149</v>
      </c>
      <c r="E175" s="265">
        <v>2</v>
      </c>
      <c r="F175" s="2433">
        <v>0</v>
      </c>
      <c r="G175" s="2434">
        <f t="shared" si="3"/>
        <v>0</v>
      </c>
      <c r="H175" s="2426"/>
    </row>
    <row r="176" spans="2:8" s="136" customFormat="1" ht="24" x14ac:dyDescent="0.2">
      <c r="B176" s="2478"/>
      <c r="C176" s="267" t="s">
        <v>342</v>
      </c>
      <c r="D176" s="231" t="s">
        <v>149</v>
      </c>
      <c r="E176" s="265">
        <v>2</v>
      </c>
      <c r="F176" s="2433">
        <v>0</v>
      </c>
      <c r="G176" s="2434">
        <f t="shared" si="3"/>
        <v>0</v>
      </c>
      <c r="H176" s="2426"/>
    </row>
    <row r="177" spans="2:8" s="136" customFormat="1" x14ac:dyDescent="0.2">
      <c r="B177" s="2478"/>
      <c r="C177" s="267" t="s">
        <v>343</v>
      </c>
      <c r="D177" s="231" t="s">
        <v>149</v>
      </c>
      <c r="E177" s="265">
        <v>2</v>
      </c>
      <c r="F177" s="2433">
        <v>0</v>
      </c>
      <c r="G177" s="2434">
        <f t="shared" si="3"/>
        <v>0</v>
      </c>
      <c r="H177" s="2426"/>
    </row>
    <row r="178" spans="2:8" s="136" customFormat="1" ht="15" customHeight="1" x14ac:dyDescent="0.2">
      <c r="B178" s="2478"/>
      <c r="C178" s="267" t="s">
        <v>344</v>
      </c>
      <c r="D178" s="231" t="s">
        <v>149</v>
      </c>
      <c r="E178" s="265">
        <v>2</v>
      </c>
      <c r="F178" s="2433">
        <v>0</v>
      </c>
      <c r="G178" s="2434">
        <f t="shared" si="3"/>
        <v>0</v>
      </c>
      <c r="H178" s="2426"/>
    </row>
    <row r="179" spans="2:8" s="136" customFormat="1" ht="12" customHeight="1" x14ac:dyDescent="0.2">
      <c r="B179" s="2478"/>
      <c r="C179" s="267" t="s">
        <v>345</v>
      </c>
      <c r="D179" s="231" t="s">
        <v>149</v>
      </c>
      <c r="E179" s="265">
        <v>1</v>
      </c>
      <c r="F179" s="2433">
        <v>0</v>
      </c>
      <c r="G179" s="2434">
        <f t="shared" si="3"/>
        <v>0</v>
      </c>
      <c r="H179" s="2426"/>
    </row>
    <row r="180" spans="2:8" s="136" customFormat="1" ht="12.75" customHeight="1" x14ac:dyDescent="0.2">
      <c r="B180" s="2478"/>
      <c r="C180" s="268" t="s">
        <v>346</v>
      </c>
      <c r="D180" s="231" t="s">
        <v>149</v>
      </c>
      <c r="E180" s="265">
        <v>1</v>
      </c>
      <c r="F180" s="2433">
        <v>0</v>
      </c>
      <c r="G180" s="2434">
        <f t="shared" si="3"/>
        <v>0</v>
      </c>
      <c r="H180" s="2426"/>
    </row>
    <row r="181" spans="2:8" s="136" customFormat="1" x14ac:dyDescent="0.2">
      <c r="B181" s="2478"/>
      <c r="C181" s="268" t="s">
        <v>347</v>
      </c>
      <c r="D181" s="231" t="s">
        <v>149</v>
      </c>
      <c r="E181" s="265">
        <v>1</v>
      </c>
      <c r="F181" s="2433">
        <v>0</v>
      </c>
      <c r="G181" s="2434">
        <f t="shared" si="3"/>
        <v>0</v>
      </c>
      <c r="H181" s="2426"/>
    </row>
    <row r="182" spans="2:8" s="136" customFormat="1" x14ac:dyDescent="0.2">
      <c r="B182" s="2478"/>
      <c r="C182" s="268" t="s">
        <v>348</v>
      </c>
      <c r="D182" s="231" t="s">
        <v>149</v>
      </c>
      <c r="E182" s="265">
        <v>1</v>
      </c>
      <c r="F182" s="2433">
        <v>0</v>
      </c>
      <c r="G182" s="2434">
        <f t="shared" si="3"/>
        <v>0</v>
      </c>
      <c r="H182" s="2426"/>
    </row>
    <row r="183" spans="2:8" s="136" customFormat="1" ht="14.25" customHeight="1" x14ac:dyDescent="0.2">
      <c r="B183" s="2478"/>
      <c r="C183" s="268" t="s">
        <v>349</v>
      </c>
      <c r="D183" s="231" t="s">
        <v>149</v>
      </c>
      <c r="E183" s="265">
        <v>1</v>
      </c>
      <c r="F183" s="2433">
        <v>0</v>
      </c>
      <c r="G183" s="2434">
        <f t="shared" si="3"/>
        <v>0</v>
      </c>
      <c r="H183" s="2426"/>
    </row>
    <row r="184" spans="2:8" s="136" customFormat="1" x14ac:dyDescent="0.2">
      <c r="B184" s="2478"/>
      <c r="C184" s="268" t="s">
        <v>350</v>
      </c>
      <c r="D184" s="231" t="s">
        <v>149</v>
      </c>
      <c r="E184" s="265">
        <v>1</v>
      </c>
      <c r="F184" s="2433">
        <v>0</v>
      </c>
      <c r="G184" s="2434">
        <f t="shared" si="3"/>
        <v>0</v>
      </c>
      <c r="H184" s="2426"/>
    </row>
    <row r="185" spans="2:8" s="136" customFormat="1" x14ac:dyDescent="0.2">
      <c r="B185" s="2478"/>
      <c r="C185" s="2435" t="s">
        <v>265</v>
      </c>
      <c r="D185" s="231" t="s">
        <v>149</v>
      </c>
      <c r="E185" s="265">
        <v>1</v>
      </c>
      <c r="F185" s="2433">
        <v>0</v>
      </c>
      <c r="G185" s="2434">
        <f t="shared" si="3"/>
        <v>0</v>
      </c>
      <c r="H185" s="2426"/>
    </row>
    <row r="186" spans="2:8" s="136" customFormat="1" x14ac:dyDescent="0.2">
      <c r="B186" s="2478"/>
      <c r="C186" s="2435" t="s">
        <v>351</v>
      </c>
      <c r="D186" s="231" t="s">
        <v>149</v>
      </c>
      <c r="E186" s="265">
        <v>1</v>
      </c>
      <c r="F186" s="2433">
        <v>0</v>
      </c>
      <c r="G186" s="2434">
        <f t="shared" si="3"/>
        <v>0</v>
      </c>
      <c r="H186" s="2426"/>
    </row>
    <row r="187" spans="2:8" s="136" customFormat="1" x14ac:dyDescent="0.2">
      <c r="B187" s="2478"/>
      <c r="C187" s="267" t="s">
        <v>352</v>
      </c>
      <c r="D187" s="231" t="s">
        <v>149</v>
      </c>
      <c r="E187" s="265">
        <v>1</v>
      </c>
      <c r="F187" s="2433">
        <v>0</v>
      </c>
      <c r="G187" s="2434">
        <f t="shared" si="3"/>
        <v>0</v>
      </c>
      <c r="H187" s="2426"/>
    </row>
    <row r="188" spans="2:8" s="136" customFormat="1" x14ac:dyDescent="0.2">
      <c r="B188" s="2478"/>
      <c r="C188" s="2435" t="s">
        <v>323</v>
      </c>
      <c r="D188" s="231" t="s">
        <v>149</v>
      </c>
      <c r="E188" s="265">
        <v>2</v>
      </c>
      <c r="F188" s="2433">
        <v>0</v>
      </c>
      <c r="G188" s="2434">
        <f t="shared" si="3"/>
        <v>0</v>
      </c>
      <c r="H188" s="2426"/>
    </row>
    <row r="189" spans="2:8" s="136" customFormat="1" x14ac:dyDescent="0.2">
      <c r="B189" s="2478"/>
      <c r="C189" s="2435" t="s">
        <v>354</v>
      </c>
      <c r="D189" s="231" t="s">
        <v>149</v>
      </c>
      <c r="E189" s="265">
        <v>4</v>
      </c>
      <c r="F189" s="2433">
        <v>0</v>
      </c>
      <c r="G189" s="2434">
        <f t="shared" si="3"/>
        <v>0</v>
      </c>
      <c r="H189" s="2426"/>
    </row>
    <row r="190" spans="2:8" s="136" customFormat="1" x14ac:dyDescent="0.2">
      <c r="B190" s="2478"/>
      <c r="C190" s="2435" t="s">
        <v>227</v>
      </c>
      <c r="D190" s="231" t="s">
        <v>149</v>
      </c>
      <c r="E190" s="265">
        <v>2</v>
      </c>
      <c r="F190" s="2433">
        <v>0</v>
      </c>
      <c r="G190" s="2434">
        <f t="shared" si="3"/>
        <v>0</v>
      </c>
      <c r="H190" s="2426"/>
    </row>
    <row r="191" spans="2:8" s="136" customFormat="1" ht="24" x14ac:dyDescent="0.2">
      <c r="B191" s="2478"/>
      <c r="C191" s="2436" t="s">
        <v>198</v>
      </c>
      <c r="D191" s="231" t="s">
        <v>149</v>
      </c>
      <c r="E191" s="265">
        <v>1</v>
      </c>
      <c r="F191" s="2433">
        <v>0</v>
      </c>
      <c r="G191" s="2434">
        <f t="shared" si="3"/>
        <v>0</v>
      </c>
      <c r="H191" s="2426"/>
    </row>
    <row r="192" spans="2:8" x14ac:dyDescent="0.2">
      <c r="B192" s="1318"/>
      <c r="C192" s="1288"/>
      <c r="D192" s="2464"/>
      <c r="E192" s="2465"/>
      <c r="F192" s="2681"/>
      <c r="G192" s="2692"/>
    </row>
    <row r="193" spans="2:8" x14ac:dyDescent="0.2">
      <c r="B193" s="2474">
        <v>6</v>
      </c>
      <c r="C193" s="2479" t="s">
        <v>1187</v>
      </c>
      <c r="D193" s="2476"/>
      <c r="E193" s="2477"/>
      <c r="F193" s="2706"/>
      <c r="G193" s="2707"/>
    </row>
    <row r="194" spans="2:8" x14ac:dyDescent="0.2">
      <c r="B194" s="2480"/>
      <c r="C194" s="2481" t="s">
        <v>1188</v>
      </c>
      <c r="D194" s="2476" t="s">
        <v>123</v>
      </c>
      <c r="E194" s="2477">
        <v>2</v>
      </c>
      <c r="F194" s="2482">
        <v>0</v>
      </c>
      <c r="G194" s="2483">
        <f t="shared" ref="G194:G197" si="4">E194*F194</f>
        <v>0</v>
      </c>
    </row>
    <row r="195" spans="2:8" x14ac:dyDescent="0.2">
      <c r="B195" s="2484"/>
      <c r="C195" s="2485" t="s">
        <v>1189</v>
      </c>
      <c r="D195" s="2476" t="s">
        <v>123</v>
      </c>
      <c r="E195" s="2477">
        <v>2</v>
      </c>
      <c r="F195" s="2482">
        <v>0</v>
      </c>
      <c r="G195" s="2483">
        <f t="shared" si="4"/>
        <v>0</v>
      </c>
    </row>
    <row r="196" spans="2:8" ht="25.5" x14ac:dyDescent="0.2">
      <c r="B196" s="2484"/>
      <c r="C196" s="2481" t="s">
        <v>1190</v>
      </c>
      <c r="D196" s="2476" t="s">
        <v>123</v>
      </c>
      <c r="E196" s="2477">
        <v>2</v>
      </c>
      <c r="F196" s="2482">
        <v>0</v>
      </c>
      <c r="G196" s="2483">
        <f t="shared" si="4"/>
        <v>0</v>
      </c>
    </row>
    <row r="197" spans="2:8" ht="25.5" x14ac:dyDescent="0.2">
      <c r="B197" s="2484"/>
      <c r="C197" s="2485" t="s">
        <v>1191</v>
      </c>
      <c r="D197" s="2476" t="s">
        <v>123</v>
      </c>
      <c r="E197" s="2477">
        <v>2</v>
      </c>
      <c r="F197" s="2482">
        <v>0</v>
      </c>
      <c r="G197" s="2483">
        <f t="shared" si="4"/>
        <v>0</v>
      </c>
    </row>
    <row r="198" spans="2:8" x14ac:dyDescent="0.2">
      <c r="B198" s="1352"/>
      <c r="C198" s="1288"/>
      <c r="D198" s="1285"/>
      <c r="E198" s="1351"/>
      <c r="F198" s="1354"/>
      <c r="G198" s="2692"/>
    </row>
    <row r="199" spans="2:8" x14ac:dyDescent="0.2">
      <c r="B199" s="2029">
        <v>7</v>
      </c>
      <c r="C199" s="2036" t="s">
        <v>1192</v>
      </c>
      <c r="D199" s="2031"/>
      <c r="E199" s="2032"/>
      <c r="F199" s="2708"/>
      <c r="G199" s="2709"/>
    </row>
    <row r="200" spans="2:8" s="136" customFormat="1" x14ac:dyDescent="0.2">
      <c r="B200" s="2873"/>
      <c r="C200" s="262" t="s">
        <v>325</v>
      </c>
      <c r="D200" s="202" t="s">
        <v>149</v>
      </c>
      <c r="E200" s="248">
        <v>1</v>
      </c>
      <c r="F200" s="2874">
        <v>0</v>
      </c>
      <c r="G200" s="2875">
        <f t="shared" ref="G200:G214" si="5">E200*F200</f>
        <v>0</v>
      </c>
      <c r="H200" s="2426"/>
    </row>
    <row r="201" spans="2:8" s="136" customFormat="1" ht="24" x14ac:dyDescent="0.2">
      <c r="B201" s="2873"/>
      <c r="C201" s="262" t="s">
        <v>326</v>
      </c>
      <c r="D201" s="202" t="s">
        <v>149</v>
      </c>
      <c r="E201" s="248">
        <v>2</v>
      </c>
      <c r="F201" s="2874">
        <v>0</v>
      </c>
      <c r="G201" s="2875">
        <f t="shared" si="5"/>
        <v>0</v>
      </c>
      <c r="H201" s="2426"/>
    </row>
    <row r="202" spans="2:8" s="136" customFormat="1" ht="12.75" customHeight="1" x14ac:dyDescent="0.2">
      <c r="B202" s="2873"/>
      <c r="C202" s="250" t="s">
        <v>209</v>
      </c>
      <c r="D202" s="202" t="s">
        <v>149</v>
      </c>
      <c r="E202" s="248">
        <v>1</v>
      </c>
      <c r="F202" s="2874">
        <v>0</v>
      </c>
      <c r="G202" s="2875">
        <f t="shared" si="5"/>
        <v>0</v>
      </c>
      <c r="H202" s="2426"/>
    </row>
    <row r="203" spans="2:8" s="136" customFormat="1" x14ac:dyDescent="0.2">
      <c r="B203" s="2873"/>
      <c r="C203" s="250" t="s">
        <v>327</v>
      </c>
      <c r="D203" s="202" t="s">
        <v>149</v>
      </c>
      <c r="E203" s="248">
        <v>1</v>
      </c>
      <c r="F203" s="2874">
        <v>0</v>
      </c>
      <c r="G203" s="2875">
        <f t="shared" si="5"/>
        <v>0</v>
      </c>
      <c r="H203" s="2426"/>
    </row>
    <row r="204" spans="2:8" s="136" customFormat="1" x14ac:dyDescent="0.2">
      <c r="B204" s="2873"/>
      <c r="C204" s="250" t="s">
        <v>211</v>
      </c>
      <c r="D204" s="202" t="s">
        <v>149</v>
      </c>
      <c r="E204" s="248">
        <v>1</v>
      </c>
      <c r="F204" s="2874">
        <v>0</v>
      </c>
      <c r="G204" s="2875">
        <f t="shared" si="5"/>
        <v>0</v>
      </c>
      <c r="H204" s="2426"/>
    </row>
    <row r="205" spans="2:8" s="136" customFormat="1" x14ac:dyDescent="0.2">
      <c r="B205" s="2873"/>
      <c r="C205" s="250" t="s">
        <v>328</v>
      </c>
      <c r="D205" s="202" t="s">
        <v>149</v>
      </c>
      <c r="E205" s="248">
        <v>1</v>
      </c>
      <c r="F205" s="2874">
        <v>0</v>
      </c>
      <c r="G205" s="2875">
        <f t="shared" si="5"/>
        <v>0</v>
      </c>
      <c r="H205" s="2426"/>
    </row>
    <row r="206" spans="2:8" s="136" customFormat="1" ht="15" customHeight="1" x14ac:dyDescent="0.2">
      <c r="B206" s="2873"/>
      <c r="C206" s="250" t="s">
        <v>825</v>
      </c>
      <c r="D206" s="202" t="s">
        <v>149</v>
      </c>
      <c r="E206" s="248">
        <v>1</v>
      </c>
      <c r="F206" s="2874">
        <v>0</v>
      </c>
      <c r="G206" s="2875">
        <f t="shared" si="5"/>
        <v>0</v>
      </c>
      <c r="H206" s="2426"/>
    </row>
    <row r="207" spans="2:8" s="136" customFormat="1" x14ac:dyDescent="0.2">
      <c r="B207" s="2873"/>
      <c r="C207" s="250" t="s">
        <v>224</v>
      </c>
      <c r="D207" s="202" t="s">
        <v>149</v>
      </c>
      <c r="E207" s="248">
        <v>1</v>
      </c>
      <c r="F207" s="2874">
        <v>0</v>
      </c>
      <c r="G207" s="2875">
        <f t="shared" si="5"/>
        <v>0</v>
      </c>
      <c r="H207" s="2426"/>
    </row>
    <row r="208" spans="2:8" s="136" customFormat="1" x14ac:dyDescent="0.2">
      <c r="B208" s="2873"/>
      <c r="C208" s="250" t="s">
        <v>215</v>
      </c>
      <c r="D208" s="202" t="s">
        <v>149</v>
      </c>
      <c r="E208" s="248">
        <v>1</v>
      </c>
      <c r="F208" s="2874">
        <v>0</v>
      </c>
      <c r="G208" s="2875">
        <f t="shared" si="5"/>
        <v>0</v>
      </c>
      <c r="H208" s="2426"/>
    </row>
    <row r="209" spans="2:8" s="136" customFormat="1" x14ac:dyDescent="0.2">
      <c r="B209" s="2873"/>
      <c r="C209" s="2428" t="s">
        <v>216</v>
      </c>
      <c r="D209" s="202" t="s">
        <v>149</v>
      </c>
      <c r="E209" s="248">
        <v>1</v>
      </c>
      <c r="F209" s="2874">
        <v>0</v>
      </c>
      <c r="G209" s="2875">
        <f t="shared" si="5"/>
        <v>0</v>
      </c>
      <c r="H209" s="2426"/>
    </row>
    <row r="210" spans="2:8" s="136" customFormat="1" x14ac:dyDescent="0.2">
      <c r="B210" s="2873"/>
      <c r="C210" s="2428" t="s">
        <v>329</v>
      </c>
      <c r="D210" s="202" t="s">
        <v>149</v>
      </c>
      <c r="E210" s="248">
        <v>1</v>
      </c>
      <c r="F210" s="2874">
        <v>0</v>
      </c>
      <c r="G210" s="2875">
        <f t="shared" si="5"/>
        <v>0</v>
      </c>
      <c r="H210" s="2426"/>
    </row>
    <row r="211" spans="2:8" s="136" customFormat="1" x14ac:dyDescent="0.2">
      <c r="B211" s="2873"/>
      <c r="C211" s="2428" t="s">
        <v>323</v>
      </c>
      <c r="D211" s="202" t="s">
        <v>149</v>
      </c>
      <c r="E211" s="248">
        <v>2</v>
      </c>
      <c r="F211" s="2874">
        <v>0</v>
      </c>
      <c r="G211" s="2875">
        <f t="shared" si="5"/>
        <v>0</v>
      </c>
      <c r="H211" s="2426"/>
    </row>
    <row r="212" spans="2:8" s="136" customFormat="1" x14ac:dyDescent="0.2">
      <c r="B212" s="2873"/>
      <c r="C212" s="2428" t="s">
        <v>219</v>
      </c>
      <c r="D212" s="202" t="s">
        <v>149</v>
      </c>
      <c r="E212" s="248">
        <v>1</v>
      </c>
      <c r="F212" s="2874">
        <v>0</v>
      </c>
      <c r="G212" s="2875">
        <f t="shared" si="5"/>
        <v>0</v>
      </c>
      <c r="H212" s="2426"/>
    </row>
    <row r="213" spans="2:8" s="136" customFormat="1" x14ac:dyDescent="0.2">
      <c r="B213" s="2873"/>
      <c r="C213" s="2428" t="s">
        <v>227</v>
      </c>
      <c r="D213" s="202" t="s">
        <v>149</v>
      </c>
      <c r="E213" s="248">
        <v>3</v>
      </c>
      <c r="F213" s="2874">
        <v>0</v>
      </c>
      <c r="G213" s="2875">
        <f t="shared" si="5"/>
        <v>0</v>
      </c>
      <c r="H213" s="2426"/>
    </row>
    <row r="214" spans="2:8" s="136" customFormat="1" ht="24" x14ac:dyDescent="0.2">
      <c r="B214" s="2873"/>
      <c r="C214" s="2876" t="s">
        <v>198</v>
      </c>
      <c r="D214" s="202" t="s">
        <v>149</v>
      </c>
      <c r="E214" s="248">
        <v>1</v>
      </c>
      <c r="F214" s="2874">
        <v>0</v>
      </c>
      <c r="G214" s="2875">
        <f t="shared" si="5"/>
        <v>0</v>
      </c>
      <c r="H214" s="2426"/>
    </row>
    <row r="215" spans="2:8" s="136" customFormat="1" x14ac:dyDescent="0.2">
      <c r="B215" s="2873"/>
      <c r="C215" s="262" t="s">
        <v>322</v>
      </c>
      <c r="D215" s="202" t="s">
        <v>149</v>
      </c>
      <c r="E215" s="248">
        <v>1</v>
      </c>
      <c r="F215" s="2874">
        <v>0</v>
      </c>
      <c r="G215" s="2875">
        <f t="shared" ref="G215:G221" si="6">E215*F215</f>
        <v>0</v>
      </c>
      <c r="H215" s="2426"/>
    </row>
    <row r="216" spans="2:8" s="136" customFormat="1" ht="36.75" customHeight="1" x14ac:dyDescent="0.2">
      <c r="B216" s="2873"/>
      <c r="C216" s="250" t="s">
        <v>285</v>
      </c>
      <c r="D216" s="202" t="s">
        <v>149</v>
      </c>
      <c r="E216" s="248">
        <v>1</v>
      </c>
      <c r="F216" s="2874">
        <v>0</v>
      </c>
      <c r="G216" s="2875">
        <f t="shared" si="6"/>
        <v>0</v>
      </c>
      <c r="H216" s="2426"/>
    </row>
    <row r="217" spans="2:8" s="136" customFormat="1" x14ac:dyDescent="0.2">
      <c r="B217" s="2873"/>
      <c r="C217" s="250" t="s">
        <v>193</v>
      </c>
      <c r="D217" s="202" t="s">
        <v>149</v>
      </c>
      <c r="E217" s="248">
        <v>1</v>
      </c>
      <c r="F217" s="2874">
        <v>0</v>
      </c>
      <c r="G217" s="2875">
        <f t="shared" si="6"/>
        <v>0</v>
      </c>
      <c r="H217" s="2426"/>
    </row>
    <row r="218" spans="2:8" s="136" customFormat="1" x14ac:dyDescent="0.2">
      <c r="B218" s="2873"/>
      <c r="C218" s="250" t="s">
        <v>194</v>
      </c>
      <c r="D218" s="202" t="s">
        <v>149</v>
      </c>
      <c r="E218" s="248">
        <v>1</v>
      </c>
      <c r="F218" s="2874">
        <v>0</v>
      </c>
      <c r="G218" s="2875">
        <f t="shared" si="6"/>
        <v>0</v>
      </c>
      <c r="H218" s="2426"/>
    </row>
    <row r="219" spans="2:8" s="136" customFormat="1" x14ac:dyDescent="0.2">
      <c r="B219" s="2873"/>
      <c r="C219" s="2428" t="s">
        <v>323</v>
      </c>
      <c r="D219" s="202" t="s">
        <v>149</v>
      </c>
      <c r="E219" s="248">
        <v>2</v>
      </c>
      <c r="F219" s="2874">
        <v>0</v>
      </c>
      <c r="G219" s="2875">
        <f t="shared" si="6"/>
        <v>0</v>
      </c>
      <c r="H219" s="2426"/>
    </row>
    <row r="220" spans="2:8" s="136" customFormat="1" x14ac:dyDescent="0.2">
      <c r="B220" s="2873"/>
      <c r="C220" s="2428" t="s">
        <v>197</v>
      </c>
      <c r="D220" s="202" t="s">
        <v>149</v>
      </c>
      <c r="E220" s="248">
        <v>1</v>
      </c>
      <c r="F220" s="2874">
        <v>0</v>
      </c>
      <c r="G220" s="2875">
        <f t="shared" si="6"/>
        <v>0</v>
      </c>
      <c r="H220" s="2426"/>
    </row>
    <row r="221" spans="2:8" s="136" customFormat="1" ht="24" x14ac:dyDescent="0.2">
      <c r="B221" s="2873"/>
      <c r="C221" s="2876" t="s">
        <v>198</v>
      </c>
      <c r="D221" s="202" t="s">
        <v>149</v>
      </c>
      <c r="E221" s="248">
        <v>1</v>
      </c>
      <c r="F221" s="2874">
        <v>0</v>
      </c>
      <c r="G221" s="2875">
        <f t="shared" si="6"/>
        <v>0</v>
      </c>
      <c r="H221" s="2426"/>
    </row>
    <row r="222" spans="2:8" s="121" customFormat="1" ht="18" customHeight="1" x14ac:dyDescent="0.2">
      <c r="B222" s="2877"/>
      <c r="C222" s="2876" t="s">
        <v>318</v>
      </c>
      <c r="D222" s="218" t="s">
        <v>149</v>
      </c>
      <c r="E222" s="203">
        <v>4</v>
      </c>
      <c r="F222" s="2878">
        <v>0</v>
      </c>
      <c r="G222" s="2875">
        <f t="shared" ref="G222:G224" si="7">E222*F222</f>
        <v>0</v>
      </c>
      <c r="H222" s="2426"/>
    </row>
    <row r="223" spans="2:8" s="121" customFormat="1" ht="18" customHeight="1" x14ac:dyDescent="0.2">
      <c r="B223" s="2877"/>
      <c r="C223" s="2876" t="s">
        <v>319</v>
      </c>
      <c r="D223" s="218" t="s">
        <v>149</v>
      </c>
      <c r="E223" s="203">
        <v>4</v>
      </c>
      <c r="F223" s="2878">
        <v>0</v>
      </c>
      <c r="G223" s="2875">
        <f t="shared" si="7"/>
        <v>0</v>
      </c>
      <c r="H223" s="2426"/>
    </row>
    <row r="224" spans="2:8" s="147" customFormat="1" ht="18" customHeight="1" x14ac:dyDescent="0.25">
      <c r="B224" s="2879"/>
      <c r="C224" s="2428" t="s">
        <v>320</v>
      </c>
      <c r="D224" s="218" t="s">
        <v>149</v>
      </c>
      <c r="E224" s="203">
        <v>16</v>
      </c>
      <c r="F224" s="2878">
        <v>0</v>
      </c>
      <c r="G224" s="2875">
        <f t="shared" si="7"/>
        <v>0</v>
      </c>
      <c r="H224" s="2486"/>
    </row>
    <row r="225" spans="2:8" x14ac:dyDescent="0.2">
      <c r="B225" s="1352"/>
      <c r="C225" s="1353"/>
      <c r="D225" s="1285"/>
      <c r="E225" s="1351"/>
      <c r="F225" s="1354"/>
      <c r="G225" s="2692"/>
    </row>
    <row r="226" spans="2:8" x14ac:dyDescent="0.2">
      <c r="B226" s="2029">
        <v>8</v>
      </c>
      <c r="C226" s="2036" t="s">
        <v>1193</v>
      </c>
      <c r="D226" s="2031"/>
      <c r="E226" s="2032"/>
      <c r="F226" s="2708"/>
      <c r="G226" s="2709"/>
    </row>
    <row r="227" spans="2:8" s="136" customFormat="1" x14ac:dyDescent="0.2">
      <c r="B227" s="2873"/>
      <c r="C227" s="262" t="s">
        <v>325</v>
      </c>
      <c r="D227" s="202" t="s">
        <v>149</v>
      </c>
      <c r="E227" s="248">
        <v>1</v>
      </c>
      <c r="F227" s="2874">
        <v>0</v>
      </c>
      <c r="G227" s="2875">
        <f t="shared" ref="G227:G248" si="8">E227*F227</f>
        <v>0</v>
      </c>
      <c r="H227" s="2426"/>
    </row>
    <row r="228" spans="2:8" s="136" customFormat="1" ht="24" x14ac:dyDescent="0.2">
      <c r="B228" s="2873"/>
      <c r="C228" s="262" t="s">
        <v>326</v>
      </c>
      <c r="D228" s="202" t="s">
        <v>149</v>
      </c>
      <c r="E228" s="248">
        <v>2</v>
      </c>
      <c r="F228" s="2874">
        <v>0</v>
      </c>
      <c r="G228" s="2875">
        <f t="shared" si="8"/>
        <v>0</v>
      </c>
      <c r="H228" s="2426"/>
    </row>
    <row r="229" spans="2:8" s="136" customFormat="1" ht="12.75" customHeight="1" x14ac:dyDescent="0.2">
      <c r="B229" s="2873"/>
      <c r="C229" s="250" t="s">
        <v>209</v>
      </c>
      <c r="D229" s="202" t="s">
        <v>149</v>
      </c>
      <c r="E229" s="248">
        <v>1</v>
      </c>
      <c r="F229" s="2874">
        <v>0</v>
      </c>
      <c r="G229" s="2875">
        <f t="shared" si="8"/>
        <v>0</v>
      </c>
      <c r="H229" s="2426"/>
    </row>
    <row r="230" spans="2:8" s="136" customFormat="1" x14ac:dyDescent="0.2">
      <c r="B230" s="2873"/>
      <c r="C230" s="250" t="s">
        <v>327</v>
      </c>
      <c r="D230" s="202" t="s">
        <v>149</v>
      </c>
      <c r="E230" s="248">
        <v>1</v>
      </c>
      <c r="F230" s="2874">
        <v>0</v>
      </c>
      <c r="G230" s="2875">
        <f t="shared" si="8"/>
        <v>0</v>
      </c>
      <c r="H230" s="2426"/>
    </row>
    <row r="231" spans="2:8" s="136" customFormat="1" x14ac:dyDescent="0.2">
      <c r="B231" s="2873"/>
      <c r="C231" s="250" t="s">
        <v>211</v>
      </c>
      <c r="D231" s="202" t="s">
        <v>149</v>
      </c>
      <c r="E231" s="248">
        <v>1</v>
      </c>
      <c r="F231" s="2874">
        <v>0</v>
      </c>
      <c r="G231" s="2875">
        <f t="shared" si="8"/>
        <v>0</v>
      </c>
      <c r="H231" s="2426"/>
    </row>
    <row r="232" spans="2:8" s="136" customFormat="1" x14ac:dyDescent="0.2">
      <c r="B232" s="2873"/>
      <c r="C232" s="250" t="s">
        <v>328</v>
      </c>
      <c r="D232" s="202" t="s">
        <v>149</v>
      </c>
      <c r="E232" s="248">
        <v>1</v>
      </c>
      <c r="F232" s="2874">
        <v>0</v>
      </c>
      <c r="G232" s="2875">
        <f t="shared" si="8"/>
        <v>0</v>
      </c>
      <c r="H232" s="2426"/>
    </row>
    <row r="233" spans="2:8" s="136" customFormat="1" ht="17.25" customHeight="1" x14ac:dyDescent="0.2">
      <c r="B233" s="2873"/>
      <c r="C233" s="250" t="s">
        <v>825</v>
      </c>
      <c r="D233" s="202" t="s">
        <v>149</v>
      </c>
      <c r="E233" s="248">
        <v>1</v>
      </c>
      <c r="F233" s="2874">
        <v>0</v>
      </c>
      <c r="G233" s="2875">
        <f t="shared" si="8"/>
        <v>0</v>
      </c>
      <c r="H233" s="2426"/>
    </row>
    <row r="234" spans="2:8" s="136" customFormat="1" x14ac:dyDescent="0.2">
      <c r="B234" s="2873"/>
      <c r="C234" s="250" t="s">
        <v>224</v>
      </c>
      <c r="D234" s="202" t="s">
        <v>149</v>
      </c>
      <c r="E234" s="248">
        <v>1</v>
      </c>
      <c r="F234" s="2874">
        <v>0</v>
      </c>
      <c r="G234" s="2875">
        <f t="shared" si="8"/>
        <v>0</v>
      </c>
      <c r="H234" s="2426"/>
    </row>
    <row r="235" spans="2:8" s="136" customFormat="1" x14ac:dyDescent="0.2">
      <c r="B235" s="2873"/>
      <c r="C235" s="250" t="s">
        <v>215</v>
      </c>
      <c r="D235" s="202" t="s">
        <v>149</v>
      </c>
      <c r="E235" s="248">
        <v>1</v>
      </c>
      <c r="F235" s="2874">
        <v>0</v>
      </c>
      <c r="G235" s="2875">
        <f t="shared" si="8"/>
        <v>0</v>
      </c>
      <c r="H235" s="2426"/>
    </row>
    <row r="236" spans="2:8" s="136" customFormat="1" x14ac:dyDescent="0.2">
      <c r="B236" s="2873"/>
      <c r="C236" s="2428" t="s">
        <v>216</v>
      </c>
      <c r="D236" s="202" t="s">
        <v>149</v>
      </c>
      <c r="E236" s="248">
        <v>1</v>
      </c>
      <c r="F236" s="2874">
        <v>0</v>
      </c>
      <c r="G236" s="2875">
        <f t="shared" si="8"/>
        <v>0</v>
      </c>
      <c r="H236" s="2426"/>
    </row>
    <row r="237" spans="2:8" s="136" customFormat="1" x14ac:dyDescent="0.2">
      <c r="B237" s="2873"/>
      <c r="C237" s="2428" t="s">
        <v>329</v>
      </c>
      <c r="D237" s="202" t="s">
        <v>149</v>
      </c>
      <c r="E237" s="248">
        <v>1</v>
      </c>
      <c r="F237" s="2874">
        <v>0</v>
      </c>
      <c r="G237" s="2875">
        <f t="shared" si="8"/>
        <v>0</v>
      </c>
      <c r="H237" s="2426"/>
    </row>
    <row r="238" spans="2:8" s="136" customFormat="1" x14ac:dyDescent="0.2">
      <c r="B238" s="2873"/>
      <c r="C238" s="2428" t="s">
        <v>323</v>
      </c>
      <c r="D238" s="202" t="s">
        <v>149</v>
      </c>
      <c r="E238" s="248">
        <v>2</v>
      </c>
      <c r="F238" s="2874">
        <v>0</v>
      </c>
      <c r="G238" s="2875">
        <f t="shared" si="8"/>
        <v>0</v>
      </c>
      <c r="H238" s="2426"/>
    </row>
    <row r="239" spans="2:8" s="136" customFormat="1" x14ac:dyDescent="0.2">
      <c r="B239" s="2873"/>
      <c r="C239" s="2428" t="s">
        <v>219</v>
      </c>
      <c r="D239" s="202" t="s">
        <v>149</v>
      </c>
      <c r="E239" s="248">
        <v>1</v>
      </c>
      <c r="F239" s="2874">
        <v>0</v>
      </c>
      <c r="G239" s="2875">
        <f t="shared" si="8"/>
        <v>0</v>
      </c>
      <c r="H239" s="2426"/>
    </row>
    <row r="240" spans="2:8" s="136" customFormat="1" x14ac:dyDescent="0.2">
      <c r="B240" s="2873"/>
      <c r="C240" s="2428" t="s">
        <v>227</v>
      </c>
      <c r="D240" s="202" t="s">
        <v>149</v>
      </c>
      <c r="E240" s="248">
        <v>3</v>
      </c>
      <c r="F240" s="2874">
        <v>0</v>
      </c>
      <c r="G240" s="2875">
        <f t="shared" si="8"/>
        <v>0</v>
      </c>
      <c r="H240" s="2426"/>
    </row>
    <row r="241" spans="2:8" s="136" customFormat="1" ht="24" x14ac:dyDescent="0.2">
      <c r="B241" s="2873"/>
      <c r="C241" s="2876" t="s">
        <v>198</v>
      </c>
      <c r="D241" s="202" t="s">
        <v>149</v>
      </c>
      <c r="E241" s="248">
        <v>1</v>
      </c>
      <c r="F241" s="2874">
        <v>0</v>
      </c>
      <c r="G241" s="2875">
        <f t="shared" si="8"/>
        <v>0</v>
      </c>
      <c r="H241" s="2426"/>
    </row>
    <row r="242" spans="2:8" s="136" customFormat="1" x14ac:dyDescent="0.2">
      <c r="B242" s="2873"/>
      <c r="C242" s="262" t="s">
        <v>322</v>
      </c>
      <c r="D242" s="202" t="s">
        <v>149</v>
      </c>
      <c r="E242" s="248">
        <v>1</v>
      </c>
      <c r="F242" s="2874">
        <v>0</v>
      </c>
      <c r="G242" s="2875">
        <f t="shared" si="8"/>
        <v>0</v>
      </c>
      <c r="H242" s="2426"/>
    </row>
    <row r="243" spans="2:8" s="136" customFormat="1" ht="51" customHeight="1" x14ac:dyDescent="0.2">
      <c r="B243" s="2873"/>
      <c r="C243" s="250" t="s">
        <v>285</v>
      </c>
      <c r="D243" s="202" t="s">
        <v>149</v>
      </c>
      <c r="E243" s="248">
        <v>1</v>
      </c>
      <c r="F243" s="2874">
        <v>0</v>
      </c>
      <c r="G243" s="2875">
        <f t="shared" si="8"/>
        <v>0</v>
      </c>
      <c r="H243" s="2426"/>
    </row>
    <row r="244" spans="2:8" s="136" customFormat="1" x14ac:dyDescent="0.2">
      <c r="B244" s="2873"/>
      <c r="C244" s="250" t="s">
        <v>193</v>
      </c>
      <c r="D244" s="202" t="s">
        <v>149</v>
      </c>
      <c r="E244" s="248">
        <v>1</v>
      </c>
      <c r="F244" s="2874">
        <v>0</v>
      </c>
      <c r="G244" s="2875">
        <f t="shared" si="8"/>
        <v>0</v>
      </c>
      <c r="H244" s="2426"/>
    </row>
    <row r="245" spans="2:8" s="136" customFormat="1" x14ac:dyDescent="0.2">
      <c r="B245" s="2873"/>
      <c r="C245" s="250" t="s">
        <v>194</v>
      </c>
      <c r="D245" s="202" t="s">
        <v>149</v>
      </c>
      <c r="E245" s="248">
        <v>1</v>
      </c>
      <c r="F245" s="2874">
        <v>0</v>
      </c>
      <c r="G245" s="2875">
        <f t="shared" si="8"/>
        <v>0</v>
      </c>
      <c r="H245" s="2426"/>
    </row>
    <row r="246" spans="2:8" s="136" customFormat="1" x14ac:dyDescent="0.2">
      <c r="B246" s="2873"/>
      <c r="C246" s="2428" t="s">
        <v>323</v>
      </c>
      <c r="D246" s="202" t="s">
        <v>149</v>
      </c>
      <c r="E246" s="248">
        <v>2</v>
      </c>
      <c r="F246" s="2874">
        <v>0</v>
      </c>
      <c r="G246" s="2875">
        <f t="shared" si="8"/>
        <v>0</v>
      </c>
      <c r="H246" s="2426"/>
    </row>
    <row r="247" spans="2:8" s="136" customFormat="1" x14ac:dyDescent="0.2">
      <c r="B247" s="2873"/>
      <c r="C247" s="2428" t="s">
        <v>197</v>
      </c>
      <c r="D247" s="202" t="s">
        <v>149</v>
      </c>
      <c r="E247" s="248">
        <v>1</v>
      </c>
      <c r="F247" s="2874">
        <v>0</v>
      </c>
      <c r="G247" s="2875">
        <f t="shared" si="8"/>
        <v>0</v>
      </c>
      <c r="H247" s="2426"/>
    </row>
    <row r="248" spans="2:8" s="136" customFormat="1" ht="24" x14ac:dyDescent="0.2">
      <c r="B248" s="2873"/>
      <c r="C248" s="2876" t="s">
        <v>198</v>
      </c>
      <c r="D248" s="202" t="s">
        <v>149</v>
      </c>
      <c r="E248" s="248">
        <v>1</v>
      </c>
      <c r="F248" s="2874">
        <v>0</v>
      </c>
      <c r="G248" s="2875">
        <f t="shared" si="8"/>
        <v>0</v>
      </c>
      <c r="H248" s="2426"/>
    </row>
    <row r="249" spans="2:8" s="121" customFormat="1" ht="18" customHeight="1" x14ac:dyDescent="0.2">
      <c r="B249" s="2877"/>
      <c r="C249" s="2876" t="s">
        <v>318</v>
      </c>
      <c r="D249" s="218" t="s">
        <v>149</v>
      </c>
      <c r="E249" s="203">
        <v>2</v>
      </c>
      <c r="F249" s="2878">
        <v>0</v>
      </c>
      <c r="G249" s="2875">
        <f t="shared" ref="G249:G250" si="9">E249*F249</f>
        <v>0</v>
      </c>
      <c r="H249" s="2426"/>
    </row>
    <row r="250" spans="2:8" s="121" customFormat="1" ht="18" customHeight="1" x14ac:dyDescent="0.2">
      <c r="B250" s="2877"/>
      <c r="C250" s="2876" t="s">
        <v>319</v>
      </c>
      <c r="D250" s="218" t="s">
        <v>149</v>
      </c>
      <c r="E250" s="203">
        <v>4</v>
      </c>
      <c r="F250" s="2878">
        <v>0</v>
      </c>
      <c r="G250" s="2875">
        <f t="shared" si="9"/>
        <v>0</v>
      </c>
      <c r="H250" s="2426"/>
    </row>
    <row r="251" spans="2:8" x14ac:dyDescent="0.2">
      <c r="B251" s="1352"/>
      <c r="C251" s="1209"/>
      <c r="D251" s="1285"/>
      <c r="E251" s="1351"/>
      <c r="F251" s="2681"/>
      <c r="G251" s="2692"/>
    </row>
    <row r="252" spans="2:8" ht="51" x14ac:dyDescent="0.2">
      <c r="B252" s="2029">
        <v>9</v>
      </c>
      <c r="C252" s="2030" t="s">
        <v>1194</v>
      </c>
      <c r="D252" s="2031"/>
      <c r="E252" s="2032"/>
      <c r="F252" s="2708"/>
      <c r="G252" s="2709"/>
    </row>
    <row r="253" spans="2:8" s="136" customFormat="1" x14ac:dyDescent="0.2">
      <c r="B253" s="2873"/>
      <c r="C253" s="262" t="s">
        <v>325</v>
      </c>
      <c r="D253" s="202" t="s">
        <v>149</v>
      </c>
      <c r="E253" s="248">
        <v>1</v>
      </c>
      <c r="F253" s="2874">
        <v>0</v>
      </c>
      <c r="G253" s="2875">
        <f t="shared" ref="G253:G274" si="10">E253*F253</f>
        <v>0</v>
      </c>
      <c r="H253" s="2426"/>
    </row>
    <row r="254" spans="2:8" s="136" customFormat="1" ht="24" x14ac:dyDescent="0.2">
      <c r="B254" s="2873"/>
      <c r="C254" s="262" t="s">
        <v>326</v>
      </c>
      <c r="D254" s="202" t="s">
        <v>149</v>
      </c>
      <c r="E254" s="248">
        <v>2</v>
      </c>
      <c r="F254" s="2874">
        <v>0</v>
      </c>
      <c r="G254" s="2875">
        <f t="shared" si="10"/>
        <v>0</v>
      </c>
      <c r="H254" s="2426"/>
    </row>
    <row r="255" spans="2:8" s="136" customFormat="1" ht="17.25" customHeight="1" x14ac:dyDescent="0.2">
      <c r="B255" s="2873"/>
      <c r="C255" s="250" t="s">
        <v>209</v>
      </c>
      <c r="D255" s="202" t="s">
        <v>149</v>
      </c>
      <c r="E255" s="248">
        <v>1</v>
      </c>
      <c r="F255" s="2874">
        <v>0</v>
      </c>
      <c r="G255" s="2875">
        <f t="shared" si="10"/>
        <v>0</v>
      </c>
      <c r="H255" s="2426"/>
    </row>
    <row r="256" spans="2:8" s="136" customFormat="1" x14ac:dyDescent="0.2">
      <c r="B256" s="2873"/>
      <c r="C256" s="250" t="s">
        <v>327</v>
      </c>
      <c r="D256" s="202" t="s">
        <v>149</v>
      </c>
      <c r="E256" s="248">
        <v>1</v>
      </c>
      <c r="F256" s="2874">
        <v>0</v>
      </c>
      <c r="G256" s="2875">
        <f t="shared" si="10"/>
        <v>0</v>
      </c>
      <c r="H256" s="2426"/>
    </row>
    <row r="257" spans="2:8" s="136" customFormat="1" x14ac:dyDescent="0.2">
      <c r="B257" s="2873"/>
      <c r="C257" s="250" t="s">
        <v>211</v>
      </c>
      <c r="D257" s="202" t="s">
        <v>149</v>
      </c>
      <c r="E257" s="248">
        <v>1</v>
      </c>
      <c r="F257" s="2874">
        <v>0</v>
      </c>
      <c r="G257" s="2875">
        <f t="shared" si="10"/>
        <v>0</v>
      </c>
      <c r="H257" s="2426"/>
    </row>
    <row r="258" spans="2:8" s="136" customFormat="1" x14ac:dyDescent="0.2">
      <c r="B258" s="2873"/>
      <c r="C258" s="250" t="s">
        <v>328</v>
      </c>
      <c r="D258" s="202" t="s">
        <v>149</v>
      </c>
      <c r="E258" s="248">
        <v>1</v>
      </c>
      <c r="F258" s="2874">
        <v>0</v>
      </c>
      <c r="G258" s="2875">
        <f t="shared" si="10"/>
        <v>0</v>
      </c>
      <c r="H258" s="2426"/>
    </row>
    <row r="259" spans="2:8" s="136" customFormat="1" ht="16.5" customHeight="1" x14ac:dyDescent="0.2">
      <c r="B259" s="2873"/>
      <c r="C259" s="250" t="s">
        <v>825</v>
      </c>
      <c r="D259" s="202" t="s">
        <v>149</v>
      </c>
      <c r="E259" s="248">
        <v>1</v>
      </c>
      <c r="F259" s="2874">
        <v>0</v>
      </c>
      <c r="G259" s="2875">
        <f t="shared" si="10"/>
        <v>0</v>
      </c>
      <c r="H259" s="2426"/>
    </row>
    <row r="260" spans="2:8" s="136" customFormat="1" x14ac:dyDescent="0.2">
      <c r="B260" s="2873"/>
      <c r="C260" s="250" t="s">
        <v>224</v>
      </c>
      <c r="D260" s="202" t="s">
        <v>149</v>
      </c>
      <c r="E260" s="248">
        <v>1</v>
      </c>
      <c r="F260" s="2874">
        <v>0</v>
      </c>
      <c r="G260" s="2875">
        <f t="shared" si="10"/>
        <v>0</v>
      </c>
      <c r="H260" s="2426"/>
    </row>
    <row r="261" spans="2:8" s="136" customFormat="1" x14ac:dyDescent="0.2">
      <c r="B261" s="2873"/>
      <c r="C261" s="250" t="s">
        <v>215</v>
      </c>
      <c r="D261" s="202" t="s">
        <v>149</v>
      </c>
      <c r="E261" s="248">
        <v>1</v>
      </c>
      <c r="F261" s="2874">
        <v>0</v>
      </c>
      <c r="G261" s="2875">
        <f t="shared" si="10"/>
        <v>0</v>
      </c>
      <c r="H261" s="2426"/>
    </row>
    <row r="262" spans="2:8" s="136" customFormat="1" x14ac:dyDescent="0.2">
      <c r="B262" s="2873"/>
      <c r="C262" s="2428" t="s">
        <v>216</v>
      </c>
      <c r="D262" s="202" t="s">
        <v>149</v>
      </c>
      <c r="E262" s="248">
        <v>1</v>
      </c>
      <c r="F262" s="2874">
        <v>0</v>
      </c>
      <c r="G262" s="2875">
        <f t="shared" si="10"/>
        <v>0</v>
      </c>
      <c r="H262" s="2426"/>
    </row>
    <row r="263" spans="2:8" s="136" customFormat="1" x14ac:dyDescent="0.2">
      <c r="B263" s="2873"/>
      <c r="C263" s="2428" t="s">
        <v>329</v>
      </c>
      <c r="D263" s="202" t="s">
        <v>149</v>
      </c>
      <c r="E263" s="248">
        <v>1</v>
      </c>
      <c r="F263" s="2874">
        <v>0</v>
      </c>
      <c r="G263" s="2875">
        <f t="shared" si="10"/>
        <v>0</v>
      </c>
      <c r="H263" s="2426"/>
    </row>
    <row r="264" spans="2:8" s="136" customFormat="1" x14ac:dyDescent="0.2">
      <c r="B264" s="2873"/>
      <c r="C264" s="2428" t="s">
        <v>323</v>
      </c>
      <c r="D264" s="202" t="s">
        <v>149</v>
      </c>
      <c r="E264" s="248">
        <v>2</v>
      </c>
      <c r="F264" s="2874">
        <v>0</v>
      </c>
      <c r="G264" s="2875">
        <f t="shared" si="10"/>
        <v>0</v>
      </c>
      <c r="H264" s="2426"/>
    </row>
    <row r="265" spans="2:8" s="136" customFormat="1" x14ac:dyDescent="0.2">
      <c r="B265" s="2873"/>
      <c r="C265" s="2428" t="s">
        <v>219</v>
      </c>
      <c r="D265" s="202" t="s">
        <v>149</v>
      </c>
      <c r="E265" s="248">
        <v>1</v>
      </c>
      <c r="F265" s="2874">
        <v>0</v>
      </c>
      <c r="G265" s="2875">
        <f t="shared" si="10"/>
        <v>0</v>
      </c>
      <c r="H265" s="2426"/>
    </row>
    <row r="266" spans="2:8" s="136" customFormat="1" x14ac:dyDescent="0.2">
      <c r="B266" s="2873"/>
      <c r="C266" s="2428" t="s">
        <v>227</v>
      </c>
      <c r="D266" s="202" t="s">
        <v>149</v>
      </c>
      <c r="E266" s="248">
        <v>3</v>
      </c>
      <c r="F266" s="2874">
        <v>0</v>
      </c>
      <c r="G266" s="2875">
        <f t="shared" si="10"/>
        <v>0</v>
      </c>
      <c r="H266" s="2426"/>
    </row>
    <row r="267" spans="2:8" s="136" customFormat="1" ht="24" x14ac:dyDescent="0.2">
      <c r="B267" s="2873"/>
      <c r="C267" s="2876" t="s">
        <v>198</v>
      </c>
      <c r="D267" s="202" t="s">
        <v>149</v>
      </c>
      <c r="E267" s="248">
        <v>1</v>
      </c>
      <c r="F267" s="2874">
        <v>0</v>
      </c>
      <c r="G267" s="2875">
        <f t="shared" si="10"/>
        <v>0</v>
      </c>
      <c r="H267" s="2426"/>
    </row>
    <row r="268" spans="2:8" s="136" customFormat="1" x14ac:dyDescent="0.2">
      <c r="B268" s="2873"/>
      <c r="C268" s="262" t="s">
        <v>322</v>
      </c>
      <c r="D268" s="202" t="s">
        <v>149</v>
      </c>
      <c r="E268" s="248">
        <v>1</v>
      </c>
      <c r="F268" s="2874">
        <v>0</v>
      </c>
      <c r="G268" s="2875">
        <f t="shared" si="10"/>
        <v>0</v>
      </c>
      <c r="H268" s="2426"/>
    </row>
    <row r="269" spans="2:8" s="136" customFormat="1" ht="42" customHeight="1" x14ac:dyDescent="0.2">
      <c r="B269" s="2873"/>
      <c r="C269" s="250" t="s">
        <v>285</v>
      </c>
      <c r="D269" s="202" t="s">
        <v>149</v>
      </c>
      <c r="E269" s="248">
        <v>1</v>
      </c>
      <c r="F269" s="2874">
        <v>0</v>
      </c>
      <c r="G269" s="2875">
        <f t="shared" si="10"/>
        <v>0</v>
      </c>
      <c r="H269" s="2426"/>
    </row>
    <row r="270" spans="2:8" s="136" customFormat="1" x14ac:dyDescent="0.2">
      <c r="B270" s="2873"/>
      <c r="C270" s="250" t="s">
        <v>193</v>
      </c>
      <c r="D270" s="202" t="s">
        <v>149</v>
      </c>
      <c r="E270" s="248">
        <v>1</v>
      </c>
      <c r="F270" s="2874">
        <v>0</v>
      </c>
      <c r="G270" s="2875">
        <f t="shared" si="10"/>
        <v>0</v>
      </c>
      <c r="H270" s="2426"/>
    </row>
    <row r="271" spans="2:8" s="136" customFormat="1" x14ac:dyDescent="0.2">
      <c r="B271" s="2873"/>
      <c r="C271" s="250" t="s">
        <v>194</v>
      </c>
      <c r="D271" s="202" t="s">
        <v>149</v>
      </c>
      <c r="E271" s="248">
        <v>1</v>
      </c>
      <c r="F271" s="2874">
        <v>0</v>
      </c>
      <c r="G271" s="2875">
        <f t="shared" si="10"/>
        <v>0</v>
      </c>
      <c r="H271" s="2426"/>
    </row>
    <row r="272" spans="2:8" s="136" customFormat="1" x14ac:dyDescent="0.2">
      <c r="B272" s="2873"/>
      <c r="C272" s="2428" t="s">
        <v>323</v>
      </c>
      <c r="D272" s="202" t="s">
        <v>149</v>
      </c>
      <c r="E272" s="248">
        <v>2</v>
      </c>
      <c r="F272" s="2874">
        <v>0</v>
      </c>
      <c r="G272" s="2875">
        <f t="shared" si="10"/>
        <v>0</v>
      </c>
      <c r="H272" s="2426"/>
    </row>
    <row r="273" spans="2:8" s="136" customFormat="1" x14ac:dyDescent="0.2">
      <c r="B273" s="2873"/>
      <c r="C273" s="2428" t="s">
        <v>197</v>
      </c>
      <c r="D273" s="202" t="s">
        <v>149</v>
      </c>
      <c r="E273" s="248">
        <v>1</v>
      </c>
      <c r="F273" s="2874">
        <v>0</v>
      </c>
      <c r="G273" s="2875">
        <f t="shared" si="10"/>
        <v>0</v>
      </c>
      <c r="H273" s="2426"/>
    </row>
    <row r="274" spans="2:8" s="136" customFormat="1" ht="24" x14ac:dyDescent="0.2">
      <c r="B274" s="2873"/>
      <c r="C274" s="2876" t="s">
        <v>198</v>
      </c>
      <c r="D274" s="202" t="s">
        <v>149</v>
      </c>
      <c r="E274" s="248">
        <v>1</v>
      </c>
      <c r="F274" s="2874">
        <v>0</v>
      </c>
      <c r="G274" s="2875">
        <f t="shared" si="10"/>
        <v>0</v>
      </c>
      <c r="H274" s="2426"/>
    </row>
    <row r="275" spans="2:8" s="121" customFormat="1" ht="18" customHeight="1" x14ac:dyDescent="0.2">
      <c r="B275" s="2877"/>
      <c r="C275" s="2876" t="s">
        <v>318</v>
      </c>
      <c r="D275" s="218" t="s">
        <v>149</v>
      </c>
      <c r="E275" s="203">
        <v>2</v>
      </c>
      <c r="F275" s="2878">
        <v>0</v>
      </c>
      <c r="G275" s="2875">
        <f t="shared" ref="G275:G276" si="11">E275*F275</f>
        <v>0</v>
      </c>
      <c r="H275" s="2426"/>
    </row>
    <row r="276" spans="2:8" s="121" customFormat="1" ht="18" customHeight="1" x14ac:dyDescent="0.2">
      <c r="B276" s="2877"/>
      <c r="C276" s="2876" t="s">
        <v>319</v>
      </c>
      <c r="D276" s="218" t="s">
        <v>149</v>
      </c>
      <c r="E276" s="203">
        <v>4</v>
      </c>
      <c r="F276" s="2878">
        <v>0</v>
      </c>
      <c r="G276" s="2875">
        <f t="shared" si="11"/>
        <v>0</v>
      </c>
      <c r="H276" s="2426"/>
    </row>
    <row r="277" spans="2:8" x14ac:dyDescent="0.2">
      <c r="B277" s="1352"/>
      <c r="C277" s="1355"/>
      <c r="D277" s="1285"/>
      <c r="E277" s="1351"/>
      <c r="F277" s="2681"/>
      <c r="G277" s="2692"/>
    </row>
    <row r="278" spans="2:8" ht="38.25" x14ac:dyDescent="0.2">
      <c r="B278" s="2037">
        <v>10</v>
      </c>
      <c r="C278" s="2038" t="s">
        <v>1195</v>
      </c>
      <c r="D278" s="2039"/>
      <c r="E278" s="2040"/>
      <c r="F278" s="2710"/>
      <c r="G278" s="2711"/>
    </row>
    <row r="279" spans="2:8" x14ac:dyDescent="0.2">
      <c r="B279" s="2041"/>
      <c r="C279" s="2042" t="s">
        <v>322</v>
      </c>
      <c r="D279" s="2043" t="s">
        <v>149</v>
      </c>
      <c r="E279" s="2044">
        <v>3</v>
      </c>
      <c r="F279" s="2045">
        <v>0</v>
      </c>
      <c r="G279" s="2046">
        <f t="shared" ref="G279:G285" si="12">E279*F279</f>
        <v>0</v>
      </c>
    </row>
    <row r="280" spans="2:8" ht="51" x14ac:dyDescent="0.2">
      <c r="B280" s="2041"/>
      <c r="C280" s="2047" t="s">
        <v>285</v>
      </c>
      <c r="D280" s="2043" t="s">
        <v>149</v>
      </c>
      <c r="E280" s="2044">
        <v>3</v>
      </c>
      <c r="F280" s="2045">
        <v>0</v>
      </c>
      <c r="G280" s="2046">
        <f t="shared" si="12"/>
        <v>0</v>
      </c>
    </row>
    <row r="281" spans="2:8" x14ac:dyDescent="0.2">
      <c r="B281" s="2041"/>
      <c r="C281" s="2047" t="s">
        <v>193</v>
      </c>
      <c r="D281" s="2043" t="s">
        <v>149</v>
      </c>
      <c r="E281" s="2044">
        <v>3</v>
      </c>
      <c r="F281" s="2045">
        <v>0</v>
      </c>
      <c r="G281" s="2046">
        <f t="shared" si="12"/>
        <v>0</v>
      </c>
    </row>
    <row r="282" spans="2:8" x14ac:dyDescent="0.2">
      <c r="B282" s="2041"/>
      <c r="C282" s="2047" t="s">
        <v>194</v>
      </c>
      <c r="D282" s="2043" t="s">
        <v>149</v>
      </c>
      <c r="E282" s="2044">
        <v>3</v>
      </c>
      <c r="F282" s="2045">
        <v>0</v>
      </c>
      <c r="G282" s="2046">
        <f t="shared" si="12"/>
        <v>0</v>
      </c>
    </row>
    <row r="283" spans="2:8" x14ac:dyDescent="0.2">
      <c r="B283" s="2041"/>
      <c r="C283" s="2048" t="s">
        <v>323</v>
      </c>
      <c r="D283" s="2043" t="s">
        <v>149</v>
      </c>
      <c r="E283" s="2044">
        <v>6</v>
      </c>
      <c r="F283" s="2045">
        <v>0</v>
      </c>
      <c r="G283" s="2046">
        <f t="shared" si="12"/>
        <v>0</v>
      </c>
    </row>
    <row r="284" spans="2:8" x14ac:dyDescent="0.2">
      <c r="B284" s="2041"/>
      <c r="C284" s="2048" t="s">
        <v>197</v>
      </c>
      <c r="D284" s="2043" t="s">
        <v>149</v>
      </c>
      <c r="E284" s="2044">
        <v>3</v>
      </c>
      <c r="F284" s="2045">
        <v>0</v>
      </c>
      <c r="G284" s="2046">
        <f t="shared" si="12"/>
        <v>0</v>
      </c>
    </row>
    <row r="285" spans="2:8" ht="25.5" x14ac:dyDescent="0.2">
      <c r="B285" s="2049"/>
      <c r="C285" s="2050" t="s">
        <v>1196</v>
      </c>
      <c r="D285" s="2043" t="s">
        <v>149</v>
      </c>
      <c r="E285" s="2044">
        <v>3</v>
      </c>
      <c r="F285" s="2045">
        <v>0</v>
      </c>
      <c r="G285" s="2046">
        <f t="shared" si="12"/>
        <v>0</v>
      </c>
    </row>
    <row r="286" spans="2:8" x14ac:dyDescent="0.2">
      <c r="B286" s="1352"/>
      <c r="C286" s="1355"/>
      <c r="D286" s="1285"/>
      <c r="E286" s="1351"/>
      <c r="F286" s="2681"/>
      <c r="G286" s="2692"/>
    </row>
    <row r="287" spans="2:8" ht="38.25" x14ac:dyDescent="0.2">
      <c r="B287" s="2037">
        <v>11</v>
      </c>
      <c r="C287" s="2038" t="s">
        <v>1197</v>
      </c>
      <c r="D287" s="2039"/>
      <c r="E287" s="2040"/>
      <c r="F287" s="2710"/>
      <c r="G287" s="2711"/>
    </row>
    <row r="288" spans="2:8" x14ac:dyDescent="0.2">
      <c r="B288" s="2037"/>
      <c r="C288" s="2042" t="s">
        <v>325</v>
      </c>
      <c r="D288" s="2043" t="s">
        <v>149</v>
      </c>
      <c r="E288" s="2044">
        <v>3</v>
      </c>
      <c r="F288" s="2045">
        <v>0</v>
      </c>
      <c r="G288" s="2046">
        <f t="shared" ref="G288:G302" si="13">E288*F288</f>
        <v>0</v>
      </c>
    </row>
    <row r="289" spans="2:7" ht="25.5" x14ac:dyDescent="0.2">
      <c r="B289" s="2037"/>
      <c r="C289" s="2042" t="s">
        <v>326</v>
      </c>
      <c r="D289" s="2043" t="s">
        <v>149</v>
      </c>
      <c r="E289" s="2044">
        <v>6</v>
      </c>
      <c r="F289" s="2045">
        <v>0</v>
      </c>
      <c r="G289" s="2046">
        <f t="shared" si="13"/>
        <v>0</v>
      </c>
    </row>
    <row r="290" spans="2:7" x14ac:dyDescent="0.2">
      <c r="B290" s="2037"/>
      <c r="C290" s="2047" t="s">
        <v>209</v>
      </c>
      <c r="D290" s="2043" t="s">
        <v>149</v>
      </c>
      <c r="E290" s="2044">
        <v>3</v>
      </c>
      <c r="F290" s="2045">
        <v>0</v>
      </c>
      <c r="G290" s="2046">
        <f t="shared" si="13"/>
        <v>0</v>
      </c>
    </row>
    <row r="291" spans="2:7" x14ac:dyDescent="0.2">
      <c r="B291" s="2037"/>
      <c r="C291" s="2047" t="s">
        <v>327</v>
      </c>
      <c r="D291" s="2043" t="s">
        <v>149</v>
      </c>
      <c r="E291" s="2044">
        <v>3</v>
      </c>
      <c r="F291" s="2045">
        <v>0</v>
      </c>
      <c r="G291" s="2046">
        <f t="shared" si="13"/>
        <v>0</v>
      </c>
    </row>
    <row r="292" spans="2:7" x14ac:dyDescent="0.2">
      <c r="B292" s="2037"/>
      <c r="C292" s="2047" t="s">
        <v>211</v>
      </c>
      <c r="D292" s="2043" t="s">
        <v>149</v>
      </c>
      <c r="E292" s="2044">
        <v>3</v>
      </c>
      <c r="F292" s="2045">
        <v>0</v>
      </c>
      <c r="G292" s="2046">
        <f t="shared" si="13"/>
        <v>0</v>
      </c>
    </row>
    <row r="293" spans="2:7" x14ac:dyDescent="0.2">
      <c r="B293" s="2037"/>
      <c r="C293" s="2047" t="s">
        <v>328</v>
      </c>
      <c r="D293" s="2043" t="s">
        <v>149</v>
      </c>
      <c r="E293" s="2044">
        <v>3</v>
      </c>
      <c r="F293" s="2045">
        <v>0</v>
      </c>
      <c r="G293" s="2046">
        <f t="shared" si="13"/>
        <v>0</v>
      </c>
    </row>
    <row r="294" spans="2:7" x14ac:dyDescent="0.2">
      <c r="B294" s="2037"/>
      <c r="C294" s="2047" t="s">
        <v>1104</v>
      </c>
      <c r="D294" s="2043" t="s">
        <v>149</v>
      </c>
      <c r="E294" s="2044">
        <v>3</v>
      </c>
      <c r="F294" s="2045">
        <v>0</v>
      </c>
      <c r="G294" s="2046">
        <f t="shared" si="13"/>
        <v>0</v>
      </c>
    </row>
    <row r="295" spans="2:7" x14ac:dyDescent="0.2">
      <c r="B295" s="2037"/>
      <c r="C295" s="2047" t="s">
        <v>224</v>
      </c>
      <c r="D295" s="2043" t="s">
        <v>149</v>
      </c>
      <c r="E295" s="2044">
        <v>3</v>
      </c>
      <c r="F295" s="2045">
        <v>0</v>
      </c>
      <c r="G295" s="2046">
        <f t="shared" si="13"/>
        <v>0</v>
      </c>
    </row>
    <row r="296" spans="2:7" x14ac:dyDescent="0.2">
      <c r="B296" s="2037"/>
      <c r="C296" s="2047" t="s">
        <v>215</v>
      </c>
      <c r="D296" s="2043" t="s">
        <v>149</v>
      </c>
      <c r="E296" s="2044">
        <v>3</v>
      </c>
      <c r="F296" s="2045">
        <v>0</v>
      </c>
      <c r="G296" s="2046">
        <f t="shared" si="13"/>
        <v>0</v>
      </c>
    </row>
    <row r="297" spans="2:7" x14ac:dyDescent="0.2">
      <c r="B297" s="2037"/>
      <c r="C297" s="2048" t="s">
        <v>216</v>
      </c>
      <c r="D297" s="2043" t="s">
        <v>149</v>
      </c>
      <c r="E297" s="2044">
        <v>3</v>
      </c>
      <c r="F297" s="2045">
        <v>0</v>
      </c>
      <c r="G297" s="2046">
        <f t="shared" si="13"/>
        <v>0</v>
      </c>
    </row>
    <row r="298" spans="2:7" x14ac:dyDescent="0.2">
      <c r="B298" s="2037"/>
      <c r="C298" s="2048" t="s">
        <v>329</v>
      </c>
      <c r="D298" s="2043" t="s">
        <v>149</v>
      </c>
      <c r="E298" s="2044">
        <v>3</v>
      </c>
      <c r="F298" s="2045">
        <v>0</v>
      </c>
      <c r="G298" s="2046">
        <f t="shared" si="13"/>
        <v>0</v>
      </c>
    </row>
    <row r="299" spans="2:7" x14ac:dyDescent="0.2">
      <c r="B299" s="2037"/>
      <c r="C299" s="2048" t="s">
        <v>323</v>
      </c>
      <c r="D299" s="2043" t="s">
        <v>149</v>
      </c>
      <c r="E299" s="2044">
        <v>6</v>
      </c>
      <c r="F299" s="2045">
        <v>0</v>
      </c>
      <c r="G299" s="2046">
        <f t="shared" si="13"/>
        <v>0</v>
      </c>
    </row>
    <row r="300" spans="2:7" x14ac:dyDescent="0.2">
      <c r="B300" s="2049"/>
      <c r="C300" s="2048" t="s">
        <v>219</v>
      </c>
      <c r="D300" s="2043" t="s">
        <v>149</v>
      </c>
      <c r="E300" s="2044">
        <v>3</v>
      </c>
      <c r="F300" s="2045">
        <v>0</v>
      </c>
      <c r="G300" s="2046">
        <f t="shared" si="13"/>
        <v>0</v>
      </c>
    </row>
    <row r="301" spans="2:7" x14ac:dyDescent="0.2">
      <c r="B301" s="2041"/>
      <c r="C301" s="2048" t="s">
        <v>227</v>
      </c>
      <c r="D301" s="2043" t="s">
        <v>149</v>
      </c>
      <c r="E301" s="2044">
        <v>9</v>
      </c>
      <c r="F301" s="2045">
        <v>0</v>
      </c>
      <c r="G301" s="2046">
        <f t="shared" si="13"/>
        <v>0</v>
      </c>
    </row>
    <row r="302" spans="2:7" ht="25.5" x14ac:dyDescent="0.2">
      <c r="B302" s="2041"/>
      <c r="C302" s="2050" t="s">
        <v>1196</v>
      </c>
      <c r="D302" s="2043" t="s">
        <v>149</v>
      </c>
      <c r="E302" s="2044">
        <v>3</v>
      </c>
      <c r="F302" s="2045">
        <v>0</v>
      </c>
      <c r="G302" s="2046">
        <f t="shared" si="13"/>
        <v>0</v>
      </c>
    </row>
    <row r="303" spans="2:7" x14ac:dyDescent="0.2">
      <c r="B303" s="1318"/>
      <c r="C303" s="1209"/>
      <c r="D303" s="1285"/>
      <c r="E303" s="1351"/>
      <c r="F303" s="1354"/>
      <c r="G303" s="2692"/>
    </row>
    <row r="304" spans="2:7" x14ac:dyDescent="0.2">
      <c r="B304" s="1352"/>
      <c r="C304" s="1266"/>
      <c r="D304" s="1285"/>
      <c r="E304" s="1351"/>
      <c r="F304" s="2681"/>
      <c r="G304" s="2692"/>
    </row>
    <row r="305" spans="2:7" x14ac:dyDescent="0.2">
      <c r="B305" s="702" t="s">
        <v>17</v>
      </c>
      <c r="C305" s="1052" t="s">
        <v>302</v>
      </c>
      <c r="D305" s="1053"/>
      <c r="E305" s="987"/>
      <c r="F305" s="988"/>
      <c r="G305" s="1029">
        <f>SUM(G152:G303)</f>
        <v>0</v>
      </c>
    </row>
    <row r="306" spans="2:7" x14ac:dyDescent="0.2">
      <c r="B306" s="1356"/>
      <c r="C306" s="1317"/>
      <c r="D306" s="2702"/>
      <c r="E306" s="2703"/>
      <c r="F306" s="2704"/>
      <c r="G306" s="2712"/>
    </row>
  </sheetData>
  <mergeCells count="6">
    <mergeCell ref="B131:B134"/>
    <mergeCell ref="B148:G148"/>
    <mergeCell ref="B149:G149"/>
    <mergeCell ref="C6:F6"/>
    <mergeCell ref="B56:G56"/>
    <mergeCell ref="B147:G14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98F68-F2DA-4AEF-8044-B5C5D89330C1}">
  <sheetPr codeName="Sheet62">
    <tabColor rgb="FF0070C0"/>
  </sheetPr>
  <dimension ref="B1:S323"/>
  <sheetViews>
    <sheetView topLeftCell="A77" zoomScaleNormal="100" zoomScaleSheetLayoutView="85" workbookViewId="0">
      <selection activeCell="C93" sqref="C93"/>
    </sheetView>
  </sheetViews>
  <sheetFormatPr defaultColWidth="10.42578125" defaultRowHeight="12.75" x14ac:dyDescent="0.2"/>
  <cols>
    <col min="1" max="1" width="10.42578125" style="741"/>
    <col min="2" max="2" width="7.42578125" style="739" customWidth="1"/>
    <col min="3" max="3" width="37.7109375" style="740" customWidth="1"/>
    <col min="4" max="4" width="7.42578125" style="2654" customWidth="1"/>
    <col min="5" max="5" width="12.85546875" style="2560" customWidth="1"/>
    <col min="6" max="6" width="13.28515625" style="1218" customWidth="1"/>
    <col min="7" max="7" width="16.5703125" style="117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7.4257812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7.4257812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7.4257812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7.4257812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7.4257812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7.4257812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7.4257812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7.4257812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7.4257812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7.4257812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7.4257812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7.4257812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7.4257812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7.4257812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7.4257812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7.4257812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7.4257812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7.4257812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7.4257812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7.4257812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7.4257812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7.4257812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7.4257812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7.4257812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7.4257812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7.4257812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7.4257812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7.4257812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7.4257812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7.4257812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7.4257812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7.4257812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7.4257812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7.4257812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7.4257812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7.4257812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7.4257812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7.4257812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7.4257812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7.4257812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7.4257812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7.4257812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7.4257812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7.4257812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7.4257812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7.4257812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7.4257812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7.4257812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7.4257812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7.4257812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7.4257812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7.4257812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7.4257812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7.4257812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7.4257812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7.4257812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7.4257812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7.4257812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7.4257812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7.4257812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7.4257812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7.4257812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7.4257812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2561"/>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31" t="s">
        <v>1198</v>
      </c>
      <c r="D6" s="3232"/>
      <c r="E6" s="3232"/>
      <c r="F6" s="3232"/>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x14ac:dyDescent="0.2">
      <c r="B15" s="792" t="s">
        <v>10</v>
      </c>
      <c r="C15" s="793" t="s">
        <v>85</v>
      </c>
      <c r="D15" s="794"/>
      <c r="E15" s="795"/>
      <c r="F15" s="796"/>
      <c r="G15" s="797">
        <f>G51</f>
        <v>0</v>
      </c>
    </row>
    <row r="16" spans="2:8" x14ac:dyDescent="0.2">
      <c r="B16" s="792" t="s">
        <v>12</v>
      </c>
      <c r="C16" s="793" t="s">
        <v>86</v>
      </c>
      <c r="D16" s="794"/>
      <c r="E16" s="795"/>
      <c r="F16" s="796"/>
      <c r="G16" s="797">
        <f>G103</f>
        <v>0</v>
      </c>
    </row>
    <row r="17" spans="2:18" x14ac:dyDescent="0.2">
      <c r="B17" s="792" t="s">
        <v>17</v>
      </c>
      <c r="C17" s="793" t="s">
        <v>87</v>
      </c>
      <c r="D17" s="794"/>
      <c r="E17" s="795"/>
      <c r="F17" s="796"/>
      <c r="G17" s="797">
        <f>G223</f>
        <v>0</v>
      </c>
    </row>
    <row r="18" spans="2:18" x14ac:dyDescent="0.2">
      <c r="B18" s="2830"/>
      <c r="C18" s="2831" t="s">
        <v>88</v>
      </c>
      <c r="D18" s="2832"/>
      <c r="E18" s="2833"/>
      <c r="F18" s="2834"/>
      <c r="G18" s="2844">
        <f>SUM(G15:G17)</f>
        <v>0</v>
      </c>
    </row>
    <row r="19" spans="2:18" x14ac:dyDescent="0.2">
      <c r="B19" s="798"/>
      <c r="C19" s="799"/>
      <c r="D19" s="2655"/>
      <c r="E19" s="2574"/>
      <c r="F19" s="2445"/>
      <c r="G19" s="2446"/>
    </row>
    <row r="20" spans="2:18" x14ac:dyDescent="0.2">
      <c r="G20" s="2562"/>
    </row>
    <row r="21" spans="2:18" ht="24" x14ac:dyDescent="0.2">
      <c r="B21" s="2841" t="s">
        <v>83</v>
      </c>
      <c r="C21" s="2842" t="s">
        <v>89</v>
      </c>
      <c r="D21" s="2843" t="s">
        <v>90</v>
      </c>
      <c r="E21" s="2838" t="s">
        <v>91</v>
      </c>
      <c r="F21" s="2839" t="s">
        <v>92</v>
      </c>
      <c r="G21" s="2840" t="s">
        <v>93</v>
      </c>
    </row>
    <row r="22" spans="2:18" x14ac:dyDescent="0.2">
      <c r="B22" s="811"/>
      <c r="C22" s="812"/>
      <c r="D22" s="813"/>
      <c r="E22" s="814"/>
      <c r="F22" s="815"/>
      <c r="G22" s="816"/>
    </row>
    <row r="23" spans="2:18" ht="20.25" x14ac:dyDescent="0.2">
      <c r="B23" s="817" t="s">
        <v>10</v>
      </c>
      <c r="C23" s="818" t="s">
        <v>85</v>
      </c>
      <c r="D23" s="819"/>
      <c r="E23" s="820"/>
      <c r="F23" s="821"/>
      <c r="G23" s="822"/>
    </row>
    <row r="24" spans="2:18" ht="20.25" x14ac:dyDescent="0.2">
      <c r="B24" s="823"/>
      <c r="C24" s="824"/>
      <c r="D24" s="825"/>
      <c r="E24" s="826"/>
      <c r="F24" s="827"/>
      <c r="G24" s="828"/>
    </row>
    <row r="25" spans="2:18" s="130" customFormat="1" ht="38.25" x14ac:dyDescent="0.2">
      <c r="B25" s="829">
        <v>1.1000000000000001</v>
      </c>
      <c r="C25" s="830" t="s">
        <v>94</v>
      </c>
      <c r="D25" s="831" t="s">
        <v>95</v>
      </c>
      <c r="E25" s="832">
        <v>2091</v>
      </c>
      <c r="F25" s="2444">
        <v>0</v>
      </c>
      <c r="G25" s="834">
        <f>E25*F25</f>
        <v>0</v>
      </c>
    </row>
    <row r="26" spans="2:18" s="130" customFormat="1" x14ac:dyDescent="0.2">
      <c r="B26" s="829"/>
      <c r="C26" s="830"/>
      <c r="D26" s="831"/>
      <c r="E26" s="832"/>
      <c r="F26" s="833"/>
      <c r="G26" s="834"/>
    </row>
    <row r="27" spans="2:18" ht="160.5" customHeight="1" x14ac:dyDescent="0.2">
      <c r="B27" s="835">
        <v>1.1000000000000001</v>
      </c>
      <c r="C27" s="836" t="s">
        <v>99</v>
      </c>
      <c r="D27" s="2121" t="s">
        <v>123</v>
      </c>
      <c r="E27" s="2242">
        <v>1</v>
      </c>
      <c r="F27" s="2444">
        <v>0</v>
      </c>
      <c r="G27" s="2522">
        <f>F27*E27</f>
        <v>0</v>
      </c>
    </row>
    <row r="28" spans="2:18" x14ac:dyDescent="0.2">
      <c r="B28" s="840"/>
      <c r="C28" s="841"/>
      <c r="D28" s="653"/>
      <c r="E28" s="2244"/>
      <c r="F28" s="833"/>
      <c r="G28" s="2522"/>
    </row>
    <row r="29" spans="2:18" ht="25.5" x14ac:dyDescent="0.2">
      <c r="B29" s="845">
        <v>1.2</v>
      </c>
      <c r="C29" s="841" t="s">
        <v>1135</v>
      </c>
      <c r="D29" s="2124" t="s">
        <v>95</v>
      </c>
      <c r="E29" s="2243">
        <v>2091</v>
      </c>
      <c r="F29" s="2444">
        <v>0</v>
      </c>
      <c r="G29" s="2522">
        <f>F29*E29</f>
        <v>0</v>
      </c>
    </row>
    <row r="30" spans="2:18" x14ac:dyDescent="0.2">
      <c r="B30" s="845"/>
      <c r="C30" s="848"/>
      <c r="D30" s="2124"/>
      <c r="E30" s="2244"/>
      <c r="F30" s="833"/>
      <c r="G30" s="2522"/>
    </row>
    <row r="31" spans="2:18" x14ac:dyDescent="0.2">
      <c r="B31" s="845">
        <v>1.3</v>
      </c>
      <c r="C31" s="841" t="s">
        <v>96</v>
      </c>
      <c r="D31" s="2124" t="s">
        <v>123</v>
      </c>
      <c r="E31" s="2244">
        <v>80</v>
      </c>
      <c r="F31" s="2444">
        <v>0</v>
      </c>
      <c r="G31" s="2522">
        <f>F31*E31</f>
        <v>0</v>
      </c>
      <c r="M31" s="849"/>
      <c r="N31" s="850"/>
      <c r="O31" s="851"/>
      <c r="P31" s="852"/>
      <c r="Q31" s="853"/>
      <c r="R31" s="854"/>
    </row>
    <row r="32" spans="2:18" x14ac:dyDescent="0.2">
      <c r="B32" s="855"/>
      <c r="C32" s="841"/>
      <c r="D32" s="653"/>
      <c r="E32" s="2244"/>
      <c r="F32" s="833"/>
      <c r="G32" s="2522"/>
    </row>
    <row r="33" spans="2:18" ht="80.25" customHeight="1" x14ac:dyDescent="0.2">
      <c r="B33" s="856" t="s">
        <v>641</v>
      </c>
      <c r="C33" s="841" t="s">
        <v>97</v>
      </c>
      <c r="D33" s="2124" t="s">
        <v>123</v>
      </c>
      <c r="E33" s="2244">
        <v>1</v>
      </c>
      <c r="F33" s="2444">
        <v>0</v>
      </c>
      <c r="G33" s="2522">
        <f>F33*E33</f>
        <v>0</v>
      </c>
    </row>
    <row r="34" spans="2:18" x14ac:dyDescent="0.2">
      <c r="B34" s="845"/>
      <c r="C34" s="848"/>
      <c r="D34" s="2126"/>
      <c r="E34" s="2244"/>
      <c r="F34" s="833"/>
      <c r="G34" s="2522"/>
      <c r="M34" s="858"/>
      <c r="N34" s="859"/>
      <c r="O34" s="860"/>
      <c r="P34" s="742"/>
      <c r="Q34" s="853"/>
      <c r="R34" s="854"/>
    </row>
    <row r="35" spans="2:18" ht="25.5" x14ac:dyDescent="0.2">
      <c r="B35" s="856" t="s">
        <v>664</v>
      </c>
      <c r="C35" s="841" t="s">
        <v>1136</v>
      </c>
      <c r="D35" s="653" t="s">
        <v>123</v>
      </c>
      <c r="E35" s="2244">
        <v>1</v>
      </c>
      <c r="F35" s="2444">
        <v>0</v>
      </c>
      <c r="G35" s="2522">
        <f>F35*E35</f>
        <v>0</v>
      </c>
    </row>
    <row r="36" spans="2:18" x14ac:dyDescent="0.2">
      <c r="B36" s="856"/>
      <c r="C36" s="841"/>
      <c r="D36" s="653"/>
      <c r="E36" s="2244"/>
      <c r="F36" s="833"/>
      <c r="G36" s="2522"/>
    </row>
    <row r="37" spans="2:18" ht="38.25" x14ac:dyDescent="0.2">
      <c r="B37" s="861" t="s">
        <v>678</v>
      </c>
      <c r="C37" s="862" t="s">
        <v>1137</v>
      </c>
      <c r="D37" s="865" t="s">
        <v>123</v>
      </c>
      <c r="E37" s="2242">
        <v>1</v>
      </c>
      <c r="F37" s="2444">
        <v>0</v>
      </c>
      <c r="G37" s="2522">
        <f>E37*F37</f>
        <v>0</v>
      </c>
    </row>
    <row r="38" spans="2:18" ht="12.75" customHeight="1" x14ac:dyDescent="0.2">
      <c r="B38" s="840"/>
      <c r="C38" s="841"/>
      <c r="D38" s="653"/>
      <c r="E38" s="2244"/>
      <c r="F38" s="833"/>
      <c r="G38" s="2522"/>
    </row>
    <row r="39" spans="2:18" ht="40.5" customHeight="1" x14ac:dyDescent="0.2">
      <c r="B39" s="856" t="s">
        <v>688</v>
      </c>
      <c r="C39" s="841" t="s">
        <v>100</v>
      </c>
      <c r="D39" s="653" t="s">
        <v>123</v>
      </c>
      <c r="E39" s="2244">
        <v>1</v>
      </c>
      <c r="F39" s="2444">
        <v>0</v>
      </c>
      <c r="G39" s="2522">
        <f>F39*E39</f>
        <v>0</v>
      </c>
    </row>
    <row r="40" spans="2:18" ht="12" customHeight="1" x14ac:dyDescent="0.2">
      <c r="B40" s="856"/>
      <c r="C40" s="841"/>
      <c r="D40" s="653"/>
      <c r="E40" s="2244"/>
      <c r="F40" s="833"/>
      <c r="G40" s="2522"/>
    </row>
    <row r="41" spans="2:18" ht="40.5" customHeight="1" x14ac:dyDescent="0.2">
      <c r="B41" s="861" t="s">
        <v>688</v>
      </c>
      <c r="C41" s="3165" t="s">
        <v>2590</v>
      </c>
      <c r="D41" s="865" t="s">
        <v>95</v>
      </c>
      <c r="E41" s="832">
        <v>2148</v>
      </c>
      <c r="F41" s="2444">
        <v>0</v>
      </c>
      <c r="G41" s="2522">
        <f t="shared" ref="G41:G45" si="0">F41*E41</f>
        <v>0</v>
      </c>
    </row>
    <row r="42" spans="2:18" ht="11.25" customHeight="1" x14ac:dyDescent="0.2">
      <c r="B42" s="861"/>
      <c r="C42" s="864"/>
      <c r="D42" s="865"/>
      <c r="E42" s="832"/>
      <c r="F42" s="833"/>
      <c r="G42" s="2522"/>
    </row>
    <row r="43" spans="2:18" ht="30" customHeight="1" x14ac:dyDescent="0.2">
      <c r="B43" s="861" t="s">
        <v>1199</v>
      </c>
      <c r="C43" s="3165" t="s">
        <v>2591</v>
      </c>
      <c r="D43" s="865" t="s">
        <v>98</v>
      </c>
      <c r="E43" s="832">
        <v>1</v>
      </c>
      <c r="F43" s="2444">
        <v>0</v>
      </c>
      <c r="G43" s="2522">
        <f t="shared" si="0"/>
        <v>0</v>
      </c>
    </row>
    <row r="44" spans="2:18" ht="9" customHeight="1" x14ac:dyDescent="0.2">
      <c r="B44" s="861"/>
      <c r="C44" s="864"/>
      <c r="D44" s="865"/>
      <c r="E44" s="832"/>
      <c r="F44" s="833"/>
      <c r="G44" s="2522"/>
    </row>
    <row r="45" spans="2:18" ht="30.75" customHeight="1" x14ac:dyDescent="0.2">
      <c r="B45" s="861" t="s">
        <v>1200</v>
      </c>
      <c r="C45" s="864" t="s">
        <v>105</v>
      </c>
      <c r="D45" s="865" t="s">
        <v>98</v>
      </c>
      <c r="E45" s="832">
        <v>1</v>
      </c>
      <c r="F45" s="2444">
        <v>0</v>
      </c>
      <c r="G45" s="2522">
        <f t="shared" si="0"/>
        <v>0</v>
      </c>
    </row>
    <row r="46" spans="2:18" ht="13.5" customHeight="1" x14ac:dyDescent="0.2">
      <c r="B46" s="861"/>
      <c r="C46" s="864"/>
      <c r="D46" s="865"/>
      <c r="E46" s="832"/>
      <c r="F46" s="833"/>
      <c r="G46" s="2522"/>
    </row>
    <row r="47" spans="2:18" ht="53.25" customHeight="1" x14ac:dyDescent="0.2">
      <c r="B47" s="861" t="s">
        <v>1201</v>
      </c>
      <c r="C47" s="864" t="s">
        <v>102</v>
      </c>
      <c r="D47" s="210" t="s">
        <v>98</v>
      </c>
      <c r="E47" s="814">
        <v>1</v>
      </c>
      <c r="F47" s="2444">
        <v>0</v>
      </c>
      <c r="G47" s="867">
        <f>E47*F47</f>
        <v>0</v>
      </c>
    </row>
    <row r="48" spans="2:18" ht="14.25" customHeight="1" x14ac:dyDescent="0.2">
      <c r="B48" s="861"/>
      <c r="C48" s="864"/>
      <c r="D48" s="210"/>
      <c r="E48" s="814"/>
      <c r="F48" s="866"/>
      <c r="G48" s="867"/>
    </row>
    <row r="49" spans="2:16" ht="66" customHeight="1" x14ac:dyDescent="0.2">
      <c r="B49" s="861" t="s">
        <v>1202</v>
      </c>
      <c r="C49" s="3165" t="s">
        <v>2593</v>
      </c>
      <c r="D49" s="210" t="s">
        <v>149</v>
      </c>
      <c r="E49" s="814">
        <v>3</v>
      </c>
      <c r="F49" s="2444">
        <v>0</v>
      </c>
      <c r="G49" s="867">
        <f>E49*F49</f>
        <v>0</v>
      </c>
    </row>
    <row r="50" spans="2:16" x14ac:dyDescent="0.2">
      <c r="B50" s="855"/>
      <c r="C50" s="841"/>
      <c r="D50" s="653"/>
      <c r="E50" s="2559"/>
      <c r="F50" s="2447"/>
      <c r="G50" s="2522"/>
    </row>
    <row r="51" spans="2:16" x14ac:dyDescent="0.2">
      <c r="B51" s="872" t="s">
        <v>10</v>
      </c>
      <c r="C51" s="873" t="s">
        <v>108</v>
      </c>
      <c r="D51" s="873"/>
      <c r="E51" s="874"/>
      <c r="F51" s="875"/>
      <c r="G51" s="876">
        <f>SUM(G25:G50)</f>
        <v>0</v>
      </c>
    </row>
    <row r="54" spans="2:16" ht="24" x14ac:dyDescent="0.2">
      <c r="B54" s="805" t="s">
        <v>83</v>
      </c>
      <c r="C54" s="806" t="s">
        <v>89</v>
      </c>
      <c r="D54" s="807" t="s">
        <v>90</v>
      </c>
      <c r="E54" s="808" t="s">
        <v>91</v>
      </c>
      <c r="F54" s="809" t="s">
        <v>92</v>
      </c>
      <c r="G54" s="810" t="s">
        <v>93</v>
      </c>
    </row>
    <row r="55" spans="2:16" x14ac:dyDescent="0.2">
      <c r="B55" s="811"/>
      <c r="C55" s="877"/>
      <c r="D55" s="878"/>
      <c r="E55" s="814"/>
      <c r="F55" s="815"/>
      <c r="G55" s="816"/>
    </row>
    <row r="56" spans="2:16" ht="20.25" x14ac:dyDescent="0.3">
      <c r="B56" s="817" t="s">
        <v>12</v>
      </c>
      <c r="C56" s="879" t="s">
        <v>109</v>
      </c>
      <c r="D56" s="880"/>
      <c r="E56" s="820"/>
      <c r="F56" s="821"/>
      <c r="G56" s="822"/>
    </row>
    <row r="57" spans="2:16" ht="73.5" customHeight="1" x14ac:dyDescent="0.2">
      <c r="B57" s="3233" t="s">
        <v>110</v>
      </c>
      <c r="C57" s="3234"/>
      <c r="D57" s="3234"/>
      <c r="E57" s="3234"/>
      <c r="F57" s="3234"/>
      <c r="G57" s="3235"/>
    </row>
    <row r="58" spans="2:16" ht="12.75" customHeight="1" x14ac:dyDescent="0.2">
      <c r="B58" s="802"/>
      <c r="C58" s="799"/>
    </row>
    <row r="59" spans="2:16" ht="25.5" x14ac:dyDescent="0.2">
      <c r="B59" s="840" t="s">
        <v>1205</v>
      </c>
      <c r="C59" s="841" t="s">
        <v>1206</v>
      </c>
      <c r="D59" s="653" t="s">
        <v>1207</v>
      </c>
      <c r="E59" s="2244">
        <v>166.08</v>
      </c>
      <c r="F59" s="833">
        <v>0</v>
      </c>
      <c r="G59" s="2522">
        <f>F59*E59</f>
        <v>0</v>
      </c>
      <c r="J59" s="881"/>
      <c r="L59" s="744"/>
      <c r="N59" s="881"/>
      <c r="O59" s="881"/>
      <c r="P59" s="881"/>
    </row>
    <row r="60" spans="2:16" ht="13.5" customHeight="1" x14ac:dyDescent="0.2">
      <c r="B60" s="840"/>
      <c r="C60" s="841"/>
      <c r="D60" s="653"/>
      <c r="E60" s="2244"/>
      <c r="F60" s="834"/>
      <c r="G60" s="2522"/>
      <c r="J60" s="881"/>
    </row>
    <row r="61" spans="2:16" ht="64.5" customHeight="1" x14ac:dyDescent="0.2">
      <c r="B61" s="840">
        <v>2.2000000000000002</v>
      </c>
      <c r="C61" s="841" t="s">
        <v>1208</v>
      </c>
      <c r="D61" s="2124" t="s">
        <v>1207</v>
      </c>
      <c r="E61" s="2244">
        <v>262.51</v>
      </c>
      <c r="F61" s="833">
        <v>0</v>
      </c>
      <c r="G61" s="2522">
        <f>F61*E61</f>
        <v>0</v>
      </c>
    </row>
    <row r="62" spans="2:16" ht="12.75" customHeight="1" x14ac:dyDescent="0.2">
      <c r="B62" s="845"/>
      <c r="C62" s="882"/>
      <c r="D62" s="2124"/>
      <c r="E62" s="2244"/>
      <c r="F62" s="834"/>
      <c r="G62" s="2522"/>
    </row>
    <row r="63" spans="2:16" ht="51" x14ac:dyDescent="0.2">
      <c r="B63" s="840">
        <v>2.2999999999999998</v>
      </c>
      <c r="C63" s="841" t="s">
        <v>1209</v>
      </c>
      <c r="D63" s="653" t="s">
        <v>112</v>
      </c>
      <c r="E63" s="2244">
        <v>2132.61</v>
      </c>
      <c r="F63" s="833">
        <v>0</v>
      </c>
      <c r="G63" s="2522">
        <f>F63*E63</f>
        <v>0</v>
      </c>
      <c r="I63" s="744"/>
    </row>
    <row r="64" spans="2:16" x14ac:dyDescent="0.2">
      <c r="B64" s="840"/>
      <c r="C64" s="841"/>
      <c r="D64" s="653"/>
      <c r="E64" s="2244"/>
      <c r="F64" s="834"/>
      <c r="G64" s="2522"/>
      <c r="I64" s="744"/>
    </row>
    <row r="65" spans="2:16" ht="38.25" x14ac:dyDescent="0.2">
      <c r="B65" s="883" t="s">
        <v>1210</v>
      </c>
      <c r="C65" s="884" t="s">
        <v>1211</v>
      </c>
      <c r="D65" s="2230" t="s">
        <v>117</v>
      </c>
      <c r="E65" s="2524">
        <v>1743.84</v>
      </c>
      <c r="F65" s="833">
        <v>0</v>
      </c>
      <c r="G65" s="2522">
        <f>F65*E65</f>
        <v>0</v>
      </c>
    </row>
    <row r="66" spans="2:16" x14ac:dyDescent="0.2">
      <c r="B66" s="840"/>
      <c r="C66" s="841"/>
      <c r="D66" s="653"/>
      <c r="E66" s="2244"/>
      <c r="F66" s="834"/>
      <c r="G66" s="2522"/>
    </row>
    <row r="67" spans="2:16" ht="25.5" x14ac:dyDescent="0.2">
      <c r="B67" s="840">
        <v>2.5</v>
      </c>
      <c r="C67" s="841" t="s">
        <v>1212</v>
      </c>
      <c r="D67" s="653" t="s">
        <v>1213</v>
      </c>
      <c r="E67" s="2244">
        <v>1660.8</v>
      </c>
      <c r="F67" s="833">
        <v>0</v>
      </c>
      <c r="G67" s="2522">
        <f>F67*E67</f>
        <v>0</v>
      </c>
    </row>
    <row r="68" spans="2:16" x14ac:dyDescent="0.2">
      <c r="B68" s="840"/>
      <c r="C68" s="841"/>
      <c r="D68" s="653"/>
      <c r="E68" s="2244"/>
      <c r="F68" s="834"/>
      <c r="G68" s="2522"/>
    </row>
    <row r="69" spans="2:16" ht="25.5" x14ac:dyDescent="0.2">
      <c r="B69" s="883" t="s">
        <v>1214</v>
      </c>
      <c r="C69" s="887" t="s">
        <v>1215</v>
      </c>
      <c r="D69" s="865" t="s">
        <v>1207</v>
      </c>
      <c r="E69" s="2242">
        <v>166.08</v>
      </c>
      <c r="F69" s="833">
        <v>0</v>
      </c>
      <c r="G69" s="2522">
        <f>F69*E69</f>
        <v>0</v>
      </c>
    </row>
    <row r="70" spans="2:16" ht="12.75" customHeight="1" x14ac:dyDescent="0.2">
      <c r="B70" s="840"/>
      <c r="C70" s="841"/>
      <c r="D70" s="653"/>
      <c r="E70" s="2244"/>
      <c r="F70" s="834"/>
      <c r="G70" s="2522"/>
      <c r="J70" s="888"/>
      <c r="L70" s="889"/>
    </row>
    <row r="71" spans="2:16" ht="45" customHeight="1" x14ac:dyDescent="0.2">
      <c r="B71" s="840">
        <v>2.7</v>
      </c>
      <c r="C71" s="841" t="s">
        <v>1216</v>
      </c>
      <c r="D71" s="653" t="s">
        <v>1207</v>
      </c>
      <c r="E71" s="2244">
        <v>1575.02</v>
      </c>
      <c r="F71" s="833">
        <v>0</v>
      </c>
      <c r="G71" s="2522">
        <f>F71*E71</f>
        <v>0</v>
      </c>
      <c r="I71" s="744"/>
    </row>
    <row r="72" spans="2:16" ht="13.5" customHeight="1" x14ac:dyDescent="0.2">
      <c r="B72" s="840"/>
      <c r="C72" s="841"/>
      <c r="D72" s="653"/>
      <c r="E72" s="2244"/>
      <c r="F72" s="834"/>
      <c r="G72" s="2522"/>
      <c r="I72" s="744"/>
    </row>
    <row r="73" spans="2:16" ht="41.25" customHeight="1" x14ac:dyDescent="0.2">
      <c r="B73" s="835">
        <v>2.8</v>
      </c>
      <c r="C73" s="841" t="s">
        <v>1217</v>
      </c>
      <c r="D73" s="653" t="s">
        <v>1207</v>
      </c>
      <c r="E73" s="2244">
        <v>503.52</v>
      </c>
      <c r="F73" s="833">
        <v>0</v>
      </c>
      <c r="G73" s="2522">
        <f>F73*E73</f>
        <v>0</v>
      </c>
      <c r="P73" s="744"/>
    </row>
    <row r="74" spans="2:16" ht="13.5" customHeight="1" x14ac:dyDescent="0.2">
      <c r="B74" s="840"/>
      <c r="C74" s="841"/>
      <c r="D74" s="653"/>
      <c r="E74" s="2244"/>
      <c r="F74" s="834"/>
      <c r="G74" s="2522"/>
      <c r="P74" s="744"/>
    </row>
    <row r="75" spans="2:16" ht="68.25" customHeight="1" x14ac:dyDescent="0.2">
      <c r="B75" s="840">
        <v>2.9</v>
      </c>
      <c r="C75" s="890" t="s">
        <v>1218</v>
      </c>
      <c r="D75" s="2100" t="s">
        <v>1219</v>
      </c>
      <c r="E75" s="2244">
        <v>150.5</v>
      </c>
      <c r="F75" s="833">
        <v>0</v>
      </c>
      <c r="G75" s="2522">
        <f>E75*F75</f>
        <v>0</v>
      </c>
      <c r="P75" s="744"/>
    </row>
    <row r="76" spans="2:16" ht="15" customHeight="1" x14ac:dyDescent="0.2">
      <c r="B76" s="840"/>
      <c r="C76" s="841"/>
      <c r="D76" s="653"/>
      <c r="E76" s="2244"/>
      <c r="F76" s="834"/>
      <c r="G76" s="2522"/>
    </row>
    <row r="77" spans="2:16" x14ac:dyDescent="0.2">
      <c r="B77" s="892" t="s">
        <v>1220</v>
      </c>
      <c r="C77" s="841" t="s">
        <v>1221</v>
      </c>
      <c r="D77" s="653" t="s">
        <v>112</v>
      </c>
      <c r="E77" s="2244">
        <v>986.18</v>
      </c>
      <c r="F77" s="833">
        <v>0</v>
      </c>
      <c r="G77" s="2522">
        <f>F77*E77</f>
        <v>0</v>
      </c>
      <c r="I77" s="888"/>
    </row>
    <row r="78" spans="2:16" x14ac:dyDescent="0.2">
      <c r="B78" s="840"/>
      <c r="C78" s="841"/>
      <c r="D78" s="653"/>
      <c r="E78" s="2244"/>
      <c r="F78" s="834"/>
      <c r="G78" s="2522"/>
    </row>
    <row r="79" spans="2:16" x14ac:dyDescent="0.2">
      <c r="B79" s="892" t="s">
        <v>1222</v>
      </c>
      <c r="C79" s="841" t="s">
        <v>1223</v>
      </c>
      <c r="D79" s="653" t="s">
        <v>112</v>
      </c>
      <c r="E79" s="2244">
        <v>983.7</v>
      </c>
      <c r="F79" s="833">
        <v>0</v>
      </c>
      <c r="G79" s="2522">
        <f>F79*E79</f>
        <v>0</v>
      </c>
    </row>
    <row r="80" spans="2:16" x14ac:dyDescent="0.2">
      <c r="B80" s="892"/>
      <c r="C80" s="841"/>
      <c r="D80" s="653"/>
      <c r="E80" s="2244"/>
      <c r="F80" s="834"/>
      <c r="G80" s="2522"/>
    </row>
    <row r="81" spans="2:19" ht="29.25" customHeight="1" x14ac:dyDescent="0.2">
      <c r="B81" s="892" t="s">
        <v>1224</v>
      </c>
      <c r="C81" s="841" t="s">
        <v>1225</v>
      </c>
      <c r="D81" s="653" t="s">
        <v>1226</v>
      </c>
      <c r="E81" s="2244">
        <v>30</v>
      </c>
      <c r="F81" s="833">
        <v>0</v>
      </c>
      <c r="G81" s="2522">
        <f>F81*E81</f>
        <v>0</v>
      </c>
    </row>
    <row r="82" spans="2:19" x14ac:dyDescent="0.2">
      <c r="B82" s="840"/>
      <c r="C82" s="841"/>
      <c r="D82" s="653"/>
      <c r="E82" s="2244"/>
      <c r="F82" s="834"/>
      <c r="G82" s="2522"/>
    </row>
    <row r="83" spans="2:19" ht="28.5" customHeight="1" x14ac:dyDescent="0.2">
      <c r="B83" s="892" t="s">
        <v>1227</v>
      </c>
      <c r="C83" s="841" t="s">
        <v>1228</v>
      </c>
      <c r="D83" s="2124" t="s">
        <v>1213</v>
      </c>
      <c r="E83" s="2244">
        <v>100</v>
      </c>
      <c r="F83" s="833">
        <v>0</v>
      </c>
      <c r="G83" s="2522">
        <f>F83*E83</f>
        <v>0</v>
      </c>
      <c r="L83" s="893"/>
      <c r="M83" s="894"/>
      <c r="N83" s="895"/>
      <c r="O83" s="896"/>
      <c r="P83" s="897"/>
      <c r="Q83" s="897"/>
      <c r="R83" s="897"/>
    </row>
    <row r="84" spans="2:19" x14ac:dyDescent="0.2">
      <c r="B84" s="845"/>
      <c r="C84" s="840"/>
      <c r="D84" s="2126"/>
      <c r="E84" s="2244"/>
      <c r="F84" s="834"/>
      <c r="G84" s="2522"/>
      <c r="L84" s="893"/>
      <c r="M84" s="894"/>
      <c r="N84" s="895"/>
      <c r="O84" s="896"/>
      <c r="P84" s="897"/>
      <c r="Q84" s="897"/>
      <c r="R84" s="897"/>
    </row>
    <row r="85" spans="2:19" ht="90.75" customHeight="1" x14ac:dyDescent="0.2">
      <c r="B85" s="892" t="s">
        <v>1229</v>
      </c>
      <c r="C85" s="898" t="s">
        <v>1230</v>
      </c>
      <c r="D85" s="653" t="s">
        <v>1213</v>
      </c>
      <c r="E85" s="2244">
        <v>100</v>
      </c>
      <c r="F85" s="833">
        <v>0</v>
      </c>
      <c r="G85" s="2522">
        <f>E85*F85</f>
        <v>0</v>
      </c>
      <c r="L85" s="899"/>
      <c r="M85" s="900"/>
      <c r="N85" s="901"/>
      <c r="O85" s="902"/>
      <c r="P85" s="903"/>
      <c r="Q85" s="903"/>
      <c r="R85" s="903"/>
    </row>
    <row r="86" spans="2:19" ht="12" customHeight="1" x14ac:dyDescent="0.2">
      <c r="B86" s="892"/>
      <c r="C86" s="882"/>
      <c r="D86" s="2124"/>
      <c r="E86" s="2244"/>
      <c r="F86" s="834"/>
      <c r="G86" s="2522"/>
      <c r="L86" s="899"/>
      <c r="M86" s="900"/>
      <c r="N86" s="901"/>
      <c r="O86" s="902"/>
      <c r="P86" s="903"/>
      <c r="Q86" s="903"/>
      <c r="R86" s="903"/>
    </row>
    <row r="87" spans="2:19" ht="64.5" customHeight="1" x14ac:dyDescent="0.2">
      <c r="B87" s="892" t="s">
        <v>1231</v>
      </c>
      <c r="C87" s="898" t="s">
        <v>1232</v>
      </c>
      <c r="D87" s="653" t="s">
        <v>1213</v>
      </c>
      <c r="E87" s="2244">
        <v>100</v>
      </c>
      <c r="F87" s="833">
        <v>0</v>
      </c>
      <c r="G87" s="2522">
        <f>E87*F87</f>
        <v>0</v>
      </c>
      <c r="L87" s="899"/>
      <c r="M87" s="900"/>
      <c r="N87" s="901"/>
      <c r="O87" s="902"/>
      <c r="P87" s="903"/>
      <c r="Q87" s="903"/>
      <c r="R87" s="903"/>
    </row>
    <row r="88" spans="2:19" x14ac:dyDescent="0.2">
      <c r="B88" s="840"/>
      <c r="C88" s="898"/>
      <c r="D88" s="653"/>
      <c r="E88" s="2244"/>
      <c r="F88" s="834"/>
      <c r="G88" s="2522"/>
    </row>
    <row r="89" spans="2:19" ht="25.5" x14ac:dyDescent="0.2">
      <c r="B89" s="892" t="s">
        <v>1233</v>
      </c>
      <c r="C89" s="841" t="s">
        <v>1234</v>
      </c>
      <c r="D89" s="653" t="s">
        <v>137</v>
      </c>
      <c r="E89" s="2244">
        <v>20</v>
      </c>
      <c r="F89" s="833">
        <v>0</v>
      </c>
      <c r="G89" s="2522">
        <f>F89*E89</f>
        <v>0</v>
      </c>
    </row>
    <row r="90" spans="2:19" x14ac:dyDescent="0.2">
      <c r="B90" s="892"/>
      <c r="C90" s="841"/>
      <c r="D90" s="653"/>
      <c r="E90" s="2244"/>
      <c r="F90" s="834"/>
      <c r="G90" s="2522"/>
    </row>
    <row r="91" spans="2:19" ht="25.5" x14ac:dyDescent="0.2">
      <c r="B91" s="892" t="s">
        <v>1235</v>
      </c>
      <c r="C91" s="841" t="s">
        <v>1236</v>
      </c>
      <c r="D91" s="2124" t="s">
        <v>117</v>
      </c>
      <c r="E91" s="2244">
        <v>322.5</v>
      </c>
      <c r="F91" s="833">
        <v>0</v>
      </c>
      <c r="G91" s="2522">
        <f>F91*E91</f>
        <v>0</v>
      </c>
    </row>
    <row r="92" spans="2:19" ht="15" customHeight="1" x14ac:dyDescent="0.2">
      <c r="B92" s="845"/>
      <c r="C92" s="904"/>
      <c r="D92" s="2124"/>
      <c r="E92" s="2244"/>
      <c r="F92" s="834"/>
      <c r="G92" s="2522"/>
      <c r="N92" s="906"/>
      <c r="O92" s="907"/>
      <c r="P92" s="908"/>
      <c r="Q92" s="909"/>
      <c r="R92" s="748"/>
      <c r="S92" s="910"/>
    </row>
    <row r="93" spans="2:19" ht="63.75" x14ac:dyDescent="0.2">
      <c r="B93" s="861" t="s">
        <v>1237</v>
      </c>
      <c r="C93" s="911" t="s">
        <v>139</v>
      </c>
      <c r="D93" s="912"/>
      <c r="E93" s="913"/>
      <c r="F93" s="914"/>
      <c r="G93" s="915"/>
    </row>
    <row r="94" spans="2:19" x14ac:dyDescent="0.2">
      <c r="B94" s="861"/>
      <c r="C94" s="916" t="s">
        <v>712</v>
      </c>
      <c r="D94" s="912" t="s">
        <v>95</v>
      </c>
      <c r="E94" s="913">
        <v>20</v>
      </c>
      <c r="F94" s="833">
        <v>0</v>
      </c>
      <c r="G94" s="915">
        <f>E94*F94</f>
        <v>0</v>
      </c>
    </row>
    <row r="95" spans="2:19" x14ac:dyDescent="0.2">
      <c r="B95" s="892"/>
      <c r="C95" s="916" t="s">
        <v>1238</v>
      </c>
      <c r="D95" s="912" t="s">
        <v>95</v>
      </c>
      <c r="E95" s="913">
        <v>13</v>
      </c>
      <c r="F95" s="833">
        <v>0</v>
      </c>
      <c r="G95" s="915">
        <f>E95*F95</f>
        <v>0</v>
      </c>
    </row>
    <row r="96" spans="2:19" x14ac:dyDescent="0.2">
      <c r="B96" s="845"/>
      <c r="C96" s="916"/>
      <c r="D96" s="912"/>
      <c r="E96" s="913"/>
      <c r="F96" s="914"/>
      <c r="G96" s="915"/>
    </row>
    <row r="97" spans="2:9" ht="41.25" customHeight="1" x14ac:dyDescent="0.2">
      <c r="B97" s="892" t="s">
        <v>1239</v>
      </c>
      <c r="C97" s="917" t="s">
        <v>1240</v>
      </c>
      <c r="D97" s="2235" t="s">
        <v>112</v>
      </c>
      <c r="E97" s="2526">
        <v>20</v>
      </c>
      <c r="F97" s="833">
        <v>0</v>
      </c>
      <c r="G97" s="2522">
        <f>E97*F97</f>
        <v>0</v>
      </c>
    </row>
    <row r="98" spans="2:9" x14ac:dyDescent="0.2">
      <c r="B98" s="921"/>
      <c r="C98" s="917"/>
      <c r="D98" s="2235"/>
      <c r="E98" s="2526"/>
      <c r="F98" s="2448"/>
      <c r="G98" s="2522"/>
    </row>
    <row r="99" spans="2:9" ht="36.75" customHeight="1" x14ac:dyDescent="0.2">
      <c r="B99" s="892" t="s">
        <v>1241</v>
      </c>
      <c r="C99" s="922" t="s">
        <v>1242</v>
      </c>
      <c r="D99" s="2235" t="s">
        <v>149</v>
      </c>
      <c r="E99" s="2526">
        <v>6</v>
      </c>
      <c r="F99" s="833">
        <v>0</v>
      </c>
      <c r="G99" s="2522">
        <f>E99*F99</f>
        <v>0</v>
      </c>
      <c r="H99" s="923"/>
      <c r="I99" s="130"/>
    </row>
    <row r="100" spans="2:9" ht="13.5" customHeight="1" x14ac:dyDescent="0.2">
      <c r="B100" s="892"/>
      <c r="C100" s="922"/>
      <c r="D100" s="2235"/>
      <c r="E100" s="2526"/>
      <c r="F100" s="2448"/>
      <c r="G100" s="2522"/>
      <c r="H100" s="923"/>
      <c r="I100" s="130"/>
    </row>
    <row r="101" spans="2:9" ht="36.75" customHeight="1" x14ac:dyDescent="0.2">
      <c r="B101" s="892" t="s">
        <v>1243</v>
      </c>
      <c r="C101" s="924" t="s">
        <v>153</v>
      </c>
      <c r="D101" s="925" t="s">
        <v>112</v>
      </c>
      <c r="E101" s="926">
        <v>6</v>
      </c>
      <c r="F101" s="833">
        <v>0</v>
      </c>
      <c r="G101" s="2522">
        <f>E101*F101</f>
        <v>0</v>
      </c>
      <c r="H101" s="923"/>
      <c r="I101" s="130"/>
    </row>
    <row r="102" spans="2:9" ht="16.5" customHeight="1" x14ac:dyDescent="0.2">
      <c r="B102" s="892"/>
      <c r="C102" s="927"/>
      <c r="D102" s="2449"/>
      <c r="E102" s="2526"/>
      <c r="F102" s="2449"/>
      <c r="G102" s="2545"/>
    </row>
    <row r="103" spans="2:9" ht="13.5" customHeight="1" x14ac:dyDescent="0.2">
      <c r="B103" s="872" t="s">
        <v>12</v>
      </c>
      <c r="C103" s="873" t="s">
        <v>157</v>
      </c>
      <c r="D103" s="872"/>
      <c r="E103" s="874"/>
      <c r="F103" s="875"/>
      <c r="G103" s="876">
        <f>SUM(G59:G102)</f>
        <v>0</v>
      </c>
    </row>
    <row r="104" spans="2:9" ht="30" customHeight="1" x14ac:dyDescent="0.2"/>
    <row r="105" spans="2:9" ht="18" customHeight="1" x14ac:dyDescent="0.2">
      <c r="B105" s="805" t="s">
        <v>83</v>
      </c>
      <c r="C105" s="806" t="s">
        <v>89</v>
      </c>
      <c r="D105" s="806" t="s">
        <v>90</v>
      </c>
      <c r="E105" s="808" t="s">
        <v>91</v>
      </c>
      <c r="F105" s="809" t="s">
        <v>92</v>
      </c>
      <c r="G105" s="810" t="s">
        <v>93</v>
      </c>
    </row>
    <row r="106" spans="2:9" ht="18" customHeight="1" x14ac:dyDescent="0.2">
      <c r="B106" s="811"/>
      <c r="C106" s="812"/>
      <c r="D106" s="878"/>
      <c r="E106" s="814"/>
      <c r="F106" s="815"/>
      <c r="G106" s="816"/>
    </row>
    <row r="107" spans="2:9" ht="18" customHeight="1" x14ac:dyDescent="0.2">
      <c r="B107" s="930" t="s">
        <v>17</v>
      </c>
      <c r="C107" s="931" t="s">
        <v>158</v>
      </c>
      <c r="D107" s="880"/>
      <c r="E107" s="820"/>
      <c r="F107" s="821"/>
      <c r="G107" s="822"/>
    </row>
    <row r="108" spans="2:9" ht="18" customHeight="1" x14ac:dyDescent="0.2">
      <c r="B108" s="2865" t="s">
        <v>1</v>
      </c>
      <c r="C108" s="2866"/>
      <c r="D108" s="2867"/>
      <c r="E108" s="2867"/>
      <c r="F108" s="2867"/>
      <c r="G108" s="2868"/>
    </row>
    <row r="109" spans="2:9" ht="15.75" customHeight="1" x14ac:dyDescent="0.2">
      <c r="B109" s="2869" t="s">
        <v>2</v>
      </c>
      <c r="C109" s="2870"/>
      <c r="D109" s="2871"/>
      <c r="E109" s="2872"/>
      <c r="F109" s="2872"/>
      <c r="G109" s="2871"/>
    </row>
    <row r="110" spans="2:9" ht="18" customHeight="1" x14ac:dyDescent="0.2">
      <c r="B110" s="2865" t="s">
        <v>3</v>
      </c>
      <c r="C110" s="2866"/>
      <c r="D110" s="2867"/>
      <c r="E110" s="2867"/>
      <c r="F110" s="2867"/>
      <c r="G110" s="2868"/>
    </row>
    <row r="111" spans="2:9" ht="18" customHeight="1" x14ac:dyDescent="0.2">
      <c r="B111" s="2869" t="s">
        <v>4</v>
      </c>
      <c r="C111" s="2870"/>
      <c r="D111" s="2872"/>
      <c r="E111" s="2872"/>
      <c r="F111" s="2872"/>
      <c r="G111" s="2871"/>
    </row>
    <row r="112" spans="2:9" ht="15.75" customHeight="1" x14ac:dyDescent="0.2">
      <c r="B112" s="3233" t="s">
        <v>159</v>
      </c>
      <c r="C112" s="3234"/>
      <c r="D112" s="3234"/>
      <c r="E112" s="3234"/>
      <c r="F112" s="3234"/>
      <c r="G112" s="3235"/>
    </row>
    <row r="113" spans="2:9" x14ac:dyDescent="0.2">
      <c r="B113" s="3233" t="s">
        <v>160</v>
      </c>
      <c r="C113" s="3234"/>
      <c r="D113" s="3234"/>
      <c r="E113" s="3234"/>
      <c r="F113" s="3234"/>
      <c r="G113" s="3235"/>
    </row>
    <row r="114" spans="2:9" ht="12.75" customHeight="1" x14ac:dyDescent="0.2">
      <c r="B114" s="3233" t="s">
        <v>161</v>
      </c>
      <c r="C114" s="3234"/>
      <c r="D114" s="3234"/>
      <c r="E114" s="3234"/>
      <c r="F114" s="3234"/>
      <c r="G114" s="3235"/>
    </row>
    <row r="115" spans="2:9" ht="12.75" customHeight="1" x14ac:dyDescent="0.2">
      <c r="B115" s="845"/>
      <c r="C115" s="848"/>
      <c r="D115" s="2126"/>
      <c r="E115" s="2242"/>
      <c r="F115" s="834"/>
      <c r="G115" s="2522"/>
    </row>
    <row r="116" spans="2:9" ht="12.75" customHeight="1" x14ac:dyDescent="0.2">
      <c r="B116" s="829">
        <v>1</v>
      </c>
      <c r="C116" s="932" t="s">
        <v>162</v>
      </c>
      <c r="D116" s="2508"/>
      <c r="E116" s="2528"/>
      <c r="F116" s="2450"/>
      <c r="G116" s="2529"/>
    </row>
    <row r="117" spans="2:9" x14ac:dyDescent="0.2">
      <c r="B117" s="829"/>
      <c r="C117" s="936" t="s">
        <v>722</v>
      </c>
      <c r="D117" s="937" t="s">
        <v>95</v>
      </c>
      <c r="E117" s="947">
        <v>623</v>
      </c>
      <c r="F117" s="833">
        <v>0</v>
      </c>
      <c r="G117" s="834">
        <f t="shared" ref="G117:G122" si="1">E117*F117</f>
        <v>0</v>
      </c>
      <c r="I117" s="940"/>
    </row>
    <row r="118" spans="2:9" ht="24.75" customHeight="1" x14ac:dyDescent="0.2">
      <c r="B118" s="829"/>
      <c r="C118" s="2103" t="s">
        <v>1244</v>
      </c>
      <c r="D118" s="937" t="s">
        <v>95</v>
      </c>
      <c r="E118" s="947">
        <v>1453</v>
      </c>
      <c r="F118" s="833">
        <v>0</v>
      </c>
      <c r="G118" s="834">
        <f t="shared" si="1"/>
        <v>0</v>
      </c>
      <c r="I118" s="940"/>
    </row>
    <row r="119" spans="2:9" ht="24.75" customHeight="1" x14ac:dyDescent="0.2">
      <c r="B119" s="829"/>
      <c r="C119" s="2102" t="s">
        <v>1245</v>
      </c>
      <c r="D119" s="937" t="s">
        <v>95</v>
      </c>
      <c r="E119" s="832">
        <v>13</v>
      </c>
      <c r="F119" s="833">
        <v>0</v>
      </c>
      <c r="G119" s="834">
        <f t="shared" si="1"/>
        <v>0</v>
      </c>
    </row>
    <row r="120" spans="2:9" ht="44.25" customHeight="1" x14ac:dyDescent="0.2">
      <c r="B120" s="829"/>
      <c r="C120" s="2101" t="s">
        <v>1246</v>
      </c>
      <c r="D120" s="937" t="s">
        <v>95</v>
      </c>
      <c r="E120" s="832">
        <v>2</v>
      </c>
      <c r="F120" s="833">
        <v>0</v>
      </c>
      <c r="G120" s="834">
        <f t="shared" si="1"/>
        <v>0</v>
      </c>
      <c r="I120" s="940"/>
    </row>
    <row r="121" spans="2:9" ht="30" customHeight="1" x14ac:dyDescent="0.2">
      <c r="B121" s="829"/>
      <c r="C121" s="2104" t="s">
        <v>1247</v>
      </c>
      <c r="D121" s="937" t="s">
        <v>95</v>
      </c>
      <c r="E121" s="832">
        <v>51</v>
      </c>
      <c r="F121" s="833">
        <v>0</v>
      </c>
      <c r="G121" s="834">
        <f t="shared" si="1"/>
        <v>0</v>
      </c>
    </row>
    <row r="122" spans="2:9" ht="44.25" customHeight="1" x14ac:dyDescent="0.2">
      <c r="B122" s="829"/>
      <c r="C122" s="2104" t="s">
        <v>1248</v>
      </c>
      <c r="D122" s="937" t="s">
        <v>95</v>
      </c>
      <c r="E122" s="832">
        <v>6</v>
      </c>
      <c r="F122" s="833">
        <v>0</v>
      </c>
      <c r="G122" s="834">
        <f t="shared" si="1"/>
        <v>0</v>
      </c>
    </row>
    <row r="123" spans="2:9" ht="12" customHeight="1" x14ac:dyDescent="0.2">
      <c r="B123" s="829"/>
      <c r="C123" s="944"/>
      <c r="D123" s="937"/>
      <c r="E123" s="938"/>
      <c r="F123" s="2245"/>
      <c r="G123" s="2529"/>
    </row>
    <row r="124" spans="2:9" ht="67.5" customHeight="1" x14ac:dyDescent="0.2">
      <c r="B124" s="945">
        <v>2</v>
      </c>
      <c r="C124" s="946" t="s">
        <v>172</v>
      </c>
      <c r="D124" s="2727" t="s">
        <v>95</v>
      </c>
      <c r="E124" s="947">
        <f>SUM(E117:E123)</f>
        <v>2148</v>
      </c>
      <c r="F124" s="833">
        <v>0</v>
      </c>
      <c r="G124" s="834">
        <f>E124*F124</f>
        <v>0</v>
      </c>
    </row>
    <row r="125" spans="2:9" ht="58.5" customHeight="1" x14ac:dyDescent="0.2">
      <c r="B125" s="948" t="s">
        <v>173</v>
      </c>
      <c r="C125" s="946" t="s">
        <v>174</v>
      </c>
      <c r="D125" s="2727" t="s">
        <v>95</v>
      </c>
      <c r="E125" s="947">
        <f>E124</f>
        <v>2148</v>
      </c>
      <c r="F125" s="833">
        <v>0</v>
      </c>
      <c r="G125" s="834">
        <f>E125*F125</f>
        <v>0</v>
      </c>
    </row>
    <row r="126" spans="2:9" ht="42" customHeight="1" x14ac:dyDescent="0.2">
      <c r="B126" s="948" t="s">
        <v>175</v>
      </c>
      <c r="C126" s="946" t="s">
        <v>176</v>
      </c>
      <c r="D126" s="2727" t="s">
        <v>95</v>
      </c>
      <c r="E126" s="947">
        <f>E124</f>
        <v>2148</v>
      </c>
      <c r="F126" s="833">
        <v>0</v>
      </c>
      <c r="G126" s="834">
        <f>E126*F126</f>
        <v>0</v>
      </c>
    </row>
    <row r="127" spans="2:9" ht="69" customHeight="1" x14ac:dyDescent="0.2">
      <c r="B127" s="948" t="s">
        <v>177</v>
      </c>
      <c r="C127" s="946" t="s">
        <v>178</v>
      </c>
      <c r="D127" s="2727" t="s">
        <v>95</v>
      </c>
      <c r="E127" s="947">
        <f>E124</f>
        <v>2148</v>
      </c>
      <c r="F127" s="833">
        <v>0</v>
      </c>
      <c r="G127" s="834">
        <f>E127*F127</f>
        <v>0</v>
      </c>
    </row>
    <row r="128" spans="2:9" x14ac:dyDescent="0.2">
      <c r="B128" s="845"/>
      <c r="C128" s="904"/>
      <c r="D128" s="2124"/>
      <c r="E128" s="2242"/>
      <c r="F128" s="2444"/>
      <c r="G128" s="2522"/>
    </row>
    <row r="129" spans="2:9" x14ac:dyDescent="0.2">
      <c r="B129" s="2051" t="s">
        <v>1249</v>
      </c>
      <c r="C129" s="2058" t="s">
        <v>1250</v>
      </c>
      <c r="D129" s="2110"/>
      <c r="E129" s="2578"/>
      <c r="F129" s="2451"/>
      <c r="G129" s="2451"/>
      <c r="H129" s="953"/>
    </row>
    <row r="130" spans="2:9" ht="27.75" customHeight="1" x14ac:dyDescent="0.2">
      <c r="B130" s="2051"/>
      <c r="C130" s="2053" t="s">
        <v>1251</v>
      </c>
      <c r="D130" s="2110" t="s">
        <v>149</v>
      </c>
      <c r="E130" s="2578">
        <v>1</v>
      </c>
      <c r="F130" s="2054">
        <v>0</v>
      </c>
      <c r="G130" s="2055">
        <f t="shared" ref="G130:G131" si="2">E130*F130</f>
        <v>0</v>
      </c>
      <c r="H130" s="953"/>
    </row>
    <row r="131" spans="2:9" x14ac:dyDescent="0.2">
      <c r="B131" s="2051"/>
      <c r="C131" s="2053" t="s">
        <v>1252</v>
      </c>
      <c r="D131" s="2110" t="s">
        <v>149</v>
      </c>
      <c r="E131" s="2578">
        <v>1</v>
      </c>
      <c r="F131" s="2054">
        <v>0</v>
      </c>
      <c r="G131" s="2055">
        <f t="shared" si="2"/>
        <v>0</v>
      </c>
      <c r="H131" s="953"/>
      <c r="I131" s="723"/>
    </row>
    <row r="132" spans="2:9" x14ac:dyDescent="0.2">
      <c r="B132" s="950"/>
      <c r="C132" s="848"/>
      <c r="D132" s="2126"/>
      <c r="E132" s="2242"/>
      <c r="F132" s="834"/>
      <c r="G132" s="2522"/>
      <c r="H132" s="953"/>
      <c r="I132" s="723"/>
    </row>
    <row r="133" spans="2:9" x14ac:dyDescent="0.2">
      <c r="B133" s="2051" t="s">
        <v>1253</v>
      </c>
      <c r="C133" s="2058" t="s">
        <v>1254</v>
      </c>
      <c r="D133" s="2110"/>
      <c r="E133" s="2578"/>
      <c r="F133" s="2451"/>
      <c r="G133" s="2451"/>
      <c r="I133" s="723"/>
    </row>
    <row r="134" spans="2:9" x14ac:dyDescent="0.2">
      <c r="B134" s="2051"/>
      <c r="C134" s="2056" t="s">
        <v>1255</v>
      </c>
      <c r="D134" s="2057" t="s">
        <v>149</v>
      </c>
      <c r="E134" s="2044">
        <v>1</v>
      </c>
      <c r="F134" s="2054">
        <v>0</v>
      </c>
      <c r="G134" s="2055">
        <f t="shared" ref="G134:G148" si="3">E134*F134</f>
        <v>0</v>
      </c>
      <c r="I134" s="723"/>
    </row>
    <row r="135" spans="2:9" ht="25.5" x14ac:dyDescent="0.2">
      <c r="B135" s="2051"/>
      <c r="C135" s="2056" t="s">
        <v>342</v>
      </c>
      <c r="D135" s="2057" t="s">
        <v>149</v>
      </c>
      <c r="E135" s="2044">
        <v>2</v>
      </c>
      <c r="F135" s="2054">
        <v>0</v>
      </c>
      <c r="G135" s="2055">
        <f t="shared" si="3"/>
        <v>0</v>
      </c>
      <c r="I135" s="723"/>
    </row>
    <row r="136" spans="2:9" ht="33.75" customHeight="1" x14ac:dyDescent="0.2">
      <c r="B136" s="2051"/>
      <c r="C136" s="2053" t="s">
        <v>843</v>
      </c>
      <c r="D136" s="2057" t="s">
        <v>149</v>
      </c>
      <c r="E136" s="2044">
        <v>1</v>
      </c>
      <c r="F136" s="2054">
        <v>0</v>
      </c>
      <c r="G136" s="2055">
        <f t="shared" si="3"/>
        <v>0</v>
      </c>
      <c r="I136" s="723"/>
    </row>
    <row r="137" spans="2:9" x14ac:dyDescent="0.2">
      <c r="B137" s="2051"/>
      <c r="C137" s="2053" t="s">
        <v>210</v>
      </c>
      <c r="D137" s="2057" t="s">
        <v>149</v>
      </c>
      <c r="E137" s="2044">
        <v>1</v>
      </c>
      <c r="F137" s="2054">
        <v>0</v>
      </c>
      <c r="G137" s="2055">
        <f t="shared" si="3"/>
        <v>0</v>
      </c>
      <c r="I137" s="723"/>
    </row>
    <row r="138" spans="2:9" x14ac:dyDescent="0.2">
      <c r="B138" s="2051"/>
      <c r="C138" s="2053" t="s">
        <v>211</v>
      </c>
      <c r="D138" s="2057" t="s">
        <v>149</v>
      </c>
      <c r="E138" s="2044">
        <v>1</v>
      </c>
      <c r="F138" s="2054">
        <v>0</v>
      </c>
      <c r="G138" s="2055">
        <f t="shared" si="3"/>
        <v>0</v>
      </c>
      <c r="I138" s="723"/>
    </row>
    <row r="139" spans="2:9" x14ac:dyDescent="0.2">
      <c r="B139" s="2051"/>
      <c r="C139" s="2053" t="s">
        <v>212</v>
      </c>
      <c r="D139" s="2057" t="s">
        <v>149</v>
      </c>
      <c r="E139" s="2044">
        <v>1</v>
      </c>
      <c r="F139" s="2054">
        <v>0</v>
      </c>
      <c r="G139" s="2055">
        <f t="shared" si="3"/>
        <v>0</v>
      </c>
      <c r="I139" s="723"/>
    </row>
    <row r="140" spans="2:9" ht="25.5" x14ac:dyDescent="0.2">
      <c r="B140" s="2051"/>
      <c r="C140" s="2053" t="s">
        <v>825</v>
      </c>
      <c r="D140" s="2057" t="s">
        <v>149</v>
      </c>
      <c r="E140" s="2044">
        <v>1</v>
      </c>
      <c r="F140" s="2054">
        <v>0</v>
      </c>
      <c r="G140" s="2055">
        <f t="shared" si="3"/>
        <v>0</v>
      </c>
      <c r="I140" s="723"/>
    </row>
    <row r="141" spans="2:9" x14ac:dyDescent="0.2">
      <c r="B141" s="2051"/>
      <c r="C141" s="2053" t="s">
        <v>214</v>
      </c>
      <c r="D141" s="2057" t="s">
        <v>149</v>
      </c>
      <c r="E141" s="2044">
        <v>1</v>
      </c>
      <c r="F141" s="2054">
        <v>0</v>
      </c>
      <c r="G141" s="2055">
        <f t="shared" si="3"/>
        <v>0</v>
      </c>
      <c r="I141" s="723"/>
    </row>
    <row r="142" spans="2:9" x14ac:dyDescent="0.2">
      <c r="B142" s="2051"/>
      <c r="C142" s="2053" t="s">
        <v>215</v>
      </c>
      <c r="D142" s="2057" t="s">
        <v>149</v>
      </c>
      <c r="E142" s="2044">
        <v>1</v>
      </c>
      <c r="F142" s="2054">
        <v>0</v>
      </c>
      <c r="G142" s="2055">
        <f t="shared" si="3"/>
        <v>0</v>
      </c>
      <c r="I142" s="723"/>
    </row>
    <row r="143" spans="2:9" x14ac:dyDescent="0.2">
      <c r="B143" s="2051"/>
      <c r="C143" s="2048" t="s">
        <v>216</v>
      </c>
      <c r="D143" s="2057" t="s">
        <v>149</v>
      </c>
      <c r="E143" s="2044">
        <v>1</v>
      </c>
      <c r="F143" s="2054">
        <v>0</v>
      </c>
      <c r="G143" s="2055">
        <f t="shared" si="3"/>
        <v>0</v>
      </c>
      <c r="I143" s="723"/>
    </row>
    <row r="144" spans="2:9" x14ac:dyDescent="0.2">
      <c r="B144" s="2051"/>
      <c r="C144" s="2048" t="s">
        <v>329</v>
      </c>
      <c r="D144" s="2057" t="s">
        <v>149</v>
      </c>
      <c r="E144" s="2044">
        <v>1</v>
      </c>
      <c r="F144" s="2054">
        <v>0</v>
      </c>
      <c r="G144" s="2055">
        <f t="shared" si="3"/>
        <v>0</v>
      </c>
      <c r="I144" s="723"/>
    </row>
    <row r="145" spans="2:12" x14ac:dyDescent="0.2">
      <c r="B145" s="2051"/>
      <c r="C145" s="2048" t="s">
        <v>354</v>
      </c>
      <c r="D145" s="2057" t="s">
        <v>149</v>
      </c>
      <c r="E145" s="2044">
        <v>2</v>
      </c>
      <c r="F145" s="2054">
        <v>0</v>
      </c>
      <c r="G145" s="2055">
        <f t="shared" si="3"/>
        <v>0</v>
      </c>
      <c r="I145" s="723"/>
    </row>
    <row r="146" spans="2:12" x14ac:dyDescent="0.2">
      <c r="B146" s="2051"/>
      <c r="C146" s="2048" t="s">
        <v>219</v>
      </c>
      <c r="D146" s="2057" t="s">
        <v>149</v>
      </c>
      <c r="E146" s="2044">
        <v>1</v>
      </c>
      <c r="F146" s="2054">
        <v>0</v>
      </c>
      <c r="G146" s="2055">
        <f t="shared" si="3"/>
        <v>0</v>
      </c>
      <c r="I146" s="723"/>
    </row>
    <row r="147" spans="2:12" x14ac:dyDescent="0.2">
      <c r="B147" s="2051"/>
      <c r="C147" s="2048" t="s">
        <v>227</v>
      </c>
      <c r="D147" s="2057" t="s">
        <v>149</v>
      </c>
      <c r="E147" s="2044">
        <v>3</v>
      </c>
      <c r="F147" s="2054">
        <v>0</v>
      </c>
      <c r="G147" s="2055">
        <f t="shared" si="3"/>
        <v>0</v>
      </c>
      <c r="I147" s="723"/>
    </row>
    <row r="148" spans="2:12" ht="25.5" x14ac:dyDescent="0.2">
      <c r="B148" s="2051"/>
      <c r="C148" s="2050" t="s">
        <v>1196</v>
      </c>
      <c r="D148" s="2057" t="s">
        <v>149</v>
      </c>
      <c r="E148" s="2044">
        <v>1</v>
      </c>
      <c r="F148" s="2054">
        <v>0</v>
      </c>
      <c r="G148" s="2055">
        <f t="shared" si="3"/>
        <v>0</v>
      </c>
      <c r="I148" s="723"/>
    </row>
    <row r="149" spans="2:12" ht="13.5" customHeight="1" x14ac:dyDescent="0.2">
      <c r="B149" s="950"/>
      <c r="C149" s="848"/>
      <c r="D149" s="2126"/>
      <c r="E149" s="2242"/>
      <c r="F149" s="834"/>
      <c r="G149" s="2522"/>
      <c r="H149" s="953"/>
      <c r="I149" s="723"/>
    </row>
    <row r="150" spans="2:12" ht="14.25" customHeight="1" x14ac:dyDescent="0.2">
      <c r="B150" s="2051" t="s">
        <v>1256</v>
      </c>
      <c r="C150" s="2059" t="s">
        <v>1257</v>
      </c>
      <c r="D150" s="2110"/>
      <c r="E150" s="2578"/>
      <c r="F150" s="2451"/>
      <c r="G150" s="2451"/>
      <c r="H150" s="953"/>
      <c r="I150" s="723"/>
    </row>
    <row r="151" spans="2:12" ht="14.25" customHeight="1" x14ac:dyDescent="0.2">
      <c r="B151" s="2051"/>
      <c r="C151" s="2056" t="s">
        <v>1258</v>
      </c>
      <c r="D151" s="2057" t="s">
        <v>149</v>
      </c>
      <c r="E151" s="2044">
        <v>1</v>
      </c>
      <c r="F151" s="2054">
        <v>0</v>
      </c>
      <c r="G151" s="2055">
        <f t="shared" ref="G151:G157" si="4">E151*F151</f>
        <v>0</v>
      </c>
      <c r="H151" s="953"/>
      <c r="I151" s="723"/>
    </row>
    <row r="152" spans="2:12" ht="54" customHeight="1" x14ac:dyDescent="0.2">
      <c r="B152" s="2051"/>
      <c r="C152" s="2053" t="s">
        <v>192</v>
      </c>
      <c r="D152" s="2057" t="s">
        <v>149</v>
      </c>
      <c r="E152" s="2044">
        <v>1</v>
      </c>
      <c r="F152" s="2054">
        <v>0</v>
      </c>
      <c r="G152" s="2055">
        <f t="shared" si="4"/>
        <v>0</v>
      </c>
      <c r="H152" s="953"/>
      <c r="I152" s="723"/>
    </row>
    <row r="153" spans="2:12" ht="14.25" customHeight="1" x14ac:dyDescent="0.2">
      <c r="B153" s="2051"/>
      <c r="C153" s="2053" t="s">
        <v>193</v>
      </c>
      <c r="D153" s="2057" t="s">
        <v>149</v>
      </c>
      <c r="E153" s="2044">
        <v>1</v>
      </c>
      <c r="F153" s="2054">
        <v>0</v>
      </c>
      <c r="G153" s="2055">
        <f t="shared" si="4"/>
        <v>0</v>
      </c>
      <c r="H153" s="953"/>
      <c r="I153" s="723"/>
    </row>
    <row r="154" spans="2:12" ht="14.25" customHeight="1" x14ac:dyDescent="0.2">
      <c r="B154" s="2051"/>
      <c r="C154" s="2053" t="s">
        <v>194</v>
      </c>
      <c r="D154" s="2057" t="s">
        <v>149</v>
      </c>
      <c r="E154" s="2044">
        <v>1</v>
      </c>
      <c r="F154" s="2054">
        <v>0</v>
      </c>
      <c r="G154" s="2055">
        <f t="shared" si="4"/>
        <v>0</v>
      </c>
      <c r="H154" s="953"/>
      <c r="I154" s="723"/>
    </row>
    <row r="155" spans="2:12" ht="23.25" customHeight="1" x14ac:dyDescent="0.2">
      <c r="B155" s="2051"/>
      <c r="C155" s="2048" t="s">
        <v>354</v>
      </c>
      <c r="D155" s="2057" t="s">
        <v>149</v>
      </c>
      <c r="E155" s="2044">
        <v>2</v>
      </c>
      <c r="F155" s="2054">
        <v>0</v>
      </c>
      <c r="G155" s="2055">
        <f t="shared" si="4"/>
        <v>0</v>
      </c>
      <c r="H155" s="953"/>
      <c r="I155" s="723"/>
    </row>
    <row r="156" spans="2:12" ht="30" customHeight="1" x14ac:dyDescent="0.2">
      <c r="B156" s="2051"/>
      <c r="C156" s="2048" t="s">
        <v>197</v>
      </c>
      <c r="D156" s="2057" t="s">
        <v>149</v>
      </c>
      <c r="E156" s="2044">
        <v>1</v>
      </c>
      <c r="F156" s="2054">
        <v>0</v>
      </c>
      <c r="G156" s="2055">
        <f t="shared" si="4"/>
        <v>0</v>
      </c>
      <c r="H156" s="953"/>
      <c r="I156" s="723"/>
    </row>
    <row r="157" spans="2:12" ht="27.75" customHeight="1" x14ac:dyDescent="0.2">
      <c r="B157" s="2051"/>
      <c r="C157" s="2050" t="s">
        <v>1196</v>
      </c>
      <c r="D157" s="2057" t="s">
        <v>149</v>
      </c>
      <c r="E157" s="2044">
        <v>1</v>
      </c>
      <c r="F157" s="2054">
        <v>0</v>
      </c>
      <c r="G157" s="2055">
        <f t="shared" si="4"/>
        <v>0</v>
      </c>
      <c r="H157" s="953"/>
      <c r="I157" s="723"/>
    </row>
    <row r="158" spans="2:12" ht="18.75" customHeight="1" x14ac:dyDescent="0.2">
      <c r="B158" s="950"/>
      <c r="C158" s="963"/>
      <c r="D158" s="2533"/>
      <c r="E158" s="2579"/>
      <c r="F158" s="2452"/>
      <c r="G158" s="2452"/>
      <c r="H158" s="953"/>
      <c r="I158" s="964"/>
      <c r="J158" s="723"/>
      <c r="K158" s="723"/>
      <c r="L158" s="723"/>
    </row>
    <row r="159" spans="2:12" ht="19.5" customHeight="1" x14ac:dyDescent="0.2">
      <c r="B159" s="2051" t="s">
        <v>1259</v>
      </c>
      <c r="C159" s="2060" t="s">
        <v>1260</v>
      </c>
      <c r="D159" s="2110"/>
      <c r="E159" s="2578"/>
      <c r="F159" s="2451"/>
      <c r="G159" s="2451"/>
      <c r="H159" s="953"/>
      <c r="I159" s="964"/>
      <c r="J159" s="723"/>
      <c r="K159" s="723"/>
      <c r="L159" s="723"/>
    </row>
    <row r="160" spans="2:12" ht="15" customHeight="1" x14ac:dyDescent="0.2">
      <c r="B160" s="2051"/>
      <c r="C160" s="2056" t="s">
        <v>1255</v>
      </c>
      <c r="D160" s="2057" t="s">
        <v>149</v>
      </c>
      <c r="E160" s="2044">
        <v>1</v>
      </c>
      <c r="F160" s="2054">
        <v>0</v>
      </c>
      <c r="G160" s="2055">
        <f t="shared" ref="G160:G169" si="5">E160*F160</f>
        <v>0</v>
      </c>
      <c r="H160" s="953"/>
      <c r="I160" s="964"/>
      <c r="J160" s="723"/>
      <c r="K160" s="723"/>
      <c r="L160" s="723"/>
    </row>
    <row r="161" spans="2:15" ht="45" customHeight="1" x14ac:dyDescent="0.2">
      <c r="B161" s="2051"/>
      <c r="C161" s="2053" t="s">
        <v>223</v>
      </c>
      <c r="D161" s="2057" t="s">
        <v>149</v>
      </c>
      <c r="E161" s="2044">
        <v>1</v>
      </c>
      <c r="F161" s="2054">
        <v>0</v>
      </c>
      <c r="G161" s="2055">
        <f t="shared" si="5"/>
        <v>0</v>
      </c>
      <c r="H161" s="953"/>
      <c r="I161" s="964"/>
      <c r="J161" s="723"/>
      <c r="K161" s="723"/>
      <c r="L161" s="723"/>
    </row>
    <row r="162" spans="2:15" ht="27.75" customHeight="1" x14ac:dyDescent="0.2">
      <c r="B162" s="2051"/>
      <c r="C162" s="2053" t="s">
        <v>213</v>
      </c>
      <c r="D162" s="2057" t="s">
        <v>149</v>
      </c>
      <c r="E162" s="2044">
        <v>1</v>
      </c>
      <c r="F162" s="2054">
        <v>0</v>
      </c>
      <c r="G162" s="2055">
        <f t="shared" si="5"/>
        <v>0</v>
      </c>
      <c r="H162" s="953"/>
      <c r="I162" s="964"/>
      <c r="J162" s="723"/>
      <c r="K162" s="723"/>
      <c r="L162" s="723"/>
    </row>
    <row r="163" spans="2:15" ht="18.75" customHeight="1" x14ac:dyDescent="0.2">
      <c r="B163" s="2051"/>
      <c r="C163" s="2053" t="s">
        <v>224</v>
      </c>
      <c r="D163" s="2057" t="s">
        <v>149</v>
      </c>
      <c r="E163" s="2044">
        <v>1</v>
      </c>
      <c r="F163" s="2054">
        <v>0</v>
      </c>
      <c r="G163" s="2055">
        <f t="shared" si="5"/>
        <v>0</v>
      </c>
      <c r="H163" s="953"/>
      <c r="I163" s="964"/>
      <c r="J163" s="723"/>
      <c r="K163" s="723"/>
      <c r="L163" s="723"/>
    </row>
    <row r="164" spans="2:15" ht="18.75" customHeight="1" x14ac:dyDescent="0.2">
      <c r="B164" s="2051"/>
      <c r="C164" s="2053" t="s">
        <v>225</v>
      </c>
      <c r="D164" s="2057" t="s">
        <v>149</v>
      </c>
      <c r="E164" s="2044">
        <v>1</v>
      </c>
      <c r="F164" s="2054">
        <v>0</v>
      </c>
      <c r="G164" s="2055">
        <f t="shared" si="5"/>
        <v>0</v>
      </c>
      <c r="H164" s="953"/>
      <c r="I164" s="964"/>
      <c r="J164" s="723"/>
      <c r="K164" s="723"/>
      <c r="L164" s="723"/>
    </row>
    <row r="165" spans="2:15" ht="28.5" customHeight="1" x14ac:dyDescent="0.2">
      <c r="B165" s="2051"/>
      <c r="C165" s="2048" t="s">
        <v>226</v>
      </c>
      <c r="D165" s="2057" t="s">
        <v>149</v>
      </c>
      <c r="E165" s="2044">
        <v>1</v>
      </c>
      <c r="F165" s="2054">
        <v>0</v>
      </c>
      <c r="G165" s="2055">
        <f t="shared" si="5"/>
        <v>0</v>
      </c>
      <c r="H165" s="953"/>
      <c r="I165" s="964"/>
      <c r="J165" s="723"/>
      <c r="K165" s="723"/>
      <c r="L165" s="723"/>
      <c r="M165" s="723"/>
    </row>
    <row r="166" spans="2:15" ht="21" customHeight="1" x14ac:dyDescent="0.2">
      <c r="B166" s="2051"/>
      <c r="C166" s="2048" t="s">
        <v>217</v>
      </c>
      <c r="D166" s="2057" t="s">
        <v>149</v>
      </c>
      <c r="E166" s="2044">
        <v>1</v>
      </c>
      <c r="F166" s="2054">
        <v>0</v>
      </c>
      <c r="G166" s="2055">
        <f t="shared" si="5"/>
        <v>0</v>
      </c>
      <c r="H166" s="953"/>
      <c r="I166" s="964"/>
      <c r="J166" s="723"/>
      <c r="K166" s="723"/>
      <c r="L166" s="723"/>
      <c r="M166" s="723"/>
    </row>
    <row r="167" spans="2:15" ht="20.45" customHeight="1" x14ac:dyDescent="0.2">
      <c r="B167" s="2051"/>
      <c r="C167" s="2048" t="s">
        <v>354</v>
      </c>
      <c r="D167" s="2057" t="s">
        <v>149</v>
      </c>
      <c r="E167" s="2044">
        <v>2</v>
      </c>
      <c r="F167" s="2054">
        <v>0</v>
      </c>
      <c r="G167" s="2055">
        <f t="shared" si="5"/>
        <v>0</v>
      </c>
      <c r="H167" s="953"/>
      <c r="I167" s="964"/>
      <c r="J167" s="723"/>
      <c r="K167" s="723"/>
      <c r="L167" s="723"/>
      <c r="M167" s="723"/>
    </row>
    <row r="168" spans="2:15" ht="30.75" customHeight="1" x14ac:dyDescent="0.2">
      <c r="B168" s="2051"/>
      <c r="C168" s="2048" t="s">
        <v>227</v>
      </c>
      <c r="D168" s="2057" t="s">
        <v>149</v>
      </c>
      <c r="E168" s="2044">
        <v>1</v>
      </c>
      <c r="F168" s="2054">
        <v>0</v>
      </c>
      <c r="G168" s="2055">
        <f t="shared" si="5"/>
        <v>0</v>
      </c>
      <c r="H168" s="953"/>
      <c r="I168" s="964"/>
      <c r="J168" s="723"/>
      <c r="K168" s="723"/>
      <c r="L168" s="723"/>
      <c r="M168" s="723"/>
    </row>
    <row r="169" spans="2:15" ht="32.450000000000003" customHeight="1" x14ac:dyDescent="0.2">
      <c r="B169" s="2051"/>
      <c r="C169" s="2050" t="s">
        <v>1196</v>
      </c>
      <c r="D169" s="2057" t="s">
        <v>149</v>
      </c>
      <c r="E169" s="2044">
        <v>1</v>
      </c>
      <c r="F169" s="2054">
        <v>0</v>
      </c>
      <c r="G169" s="2055">
        <f t="shared" si="5"/>
        <v>0</v>
      </c>
      <c r="H169" s="953"/>
      <c r="I169" s="964"/>
      <c r="J169" s="723"/>
      <c r="K169" s="723"/>
      <c r="L169" s="723"/>
      <c r="M169" s="723"/>
    </row>
    <row r="170" spans="2:15" x14ac:dyDescent="0.2">
      <c r="B170" s="950"/>
      <c r="C170" s="955"/>
      <c r="D170" s="2515"/>
      <c r="E170" s="2532"/>
      <c r="F170" s="2453"/>
      <c r="G170" s="2453"/>
      <c r="H170" s="953"/>
      <c r="I170" s="964"/>
      <c r="J170" s="723"/>
      <c r="K170" s="723"/>
      <c r="L170" s="723"/>
      <c r="M170" s="723"/>
      <c r="N170" s="723"/>
      <c r="O170" s="723"/>
    </row>
    <row r="171" spans="2:15" s="723" customFormat="1" ht="18" customHeight="1" x14ac:dyDescent="0.2">
      <c r="B171" s="2061" t="s">
        <v>1261</v>
      </c>
      <c r="C171" s="2062" t="s">
        <v>1262</v>
      </c>
      <c r="D171" s="2427"/>
      <c r="E171" s="2558"/>
      <c r="F171" s="2454"/>
      <c r="G171" s="2454"/>
      <c r="H171" s="953"/>
      <c r="J171" s="748"/>
    </row>
    <row r="172" spans="2:15" s="136" customFormat="1" x14ac:dyDescent="0.2">
      <c r="B172" s="2873"/>
      <c r="C172" s="262" t="s">
        <v>1258</v>
      </c>
      <c r="D172" s="202" t="s">
        <v>149</v>
      </c>
      <c r="E172" s="248">
        <v>1</v>
      </c>
      <c r="F172" s="2874">
        <v>0</v>
      </c>
      <c r="G172" s="2875">
        <f t="shared" ref="G172:G193" si="6">E172*F172</f>
        <v>0</v>
      </c>
      <c r="H172" s="2426"/>
    </row>
    <row r="173" spans="2:15" s="136" customFormat="1" ht="38.25" customHeight="1" x14ac:dyDescent="0.2">
      <c r="B173" s="2873"/>
      <c r="C173" s="250" t="s">
        <v>192</v>
      </c>
      <c r="D173" s="202" t="s">
        <v>149</v>
      </c>
      <c r="E173" s="248">
        <v>1</v>
      </c>
      <c r="F173" s="2874">
        <v>0</v>
      </c>
      <c r="G173" s="2875">
        <f t="shared" si="6"/>
        <v>0</v>
      </c>
      <c r="H173" s="2426"/>
    </row>
    <row r="174" spans="2:15" s="136" customFormat="1" x14ac:dyDescent="0.2">
      <c r="B174" s="2873"/>
      <c r="C174" s="250" t="s">
        <v>193</v>
      </c>
      <c r="D174" s="202" t="s">
        <v>149</v>
      </c>
      <c r="E174" s="248">
        <v>1</v>
      </c>
      <c r="F174" s="2874">
        <v>0</v>
      </c>
      <c r="G174" s="2875">
        <f t="shared" si="6"/>
        <v>0</v>
      </c>
      <c r="H174" s="2426"/>
    </row>
    <row r="175" spans="2:15" s="136" customFormat="1" x14ac:dyDescent="0.2">
      <c r="B175" s="2873"/>
      <c r="C175" s="250" t="s">
        <v>194</v>
      </c>
      <c r="D175" s="202" t="s">
        <v>149</v>
      </c>
      <c r="E175" s="248">
        <v>1</v>
      </c>
      <c r="F175" s="2874">
        <v>0</v>
      </c>
      <c r="G175" s="2875">
        <f t="shared" si="6"/>
        <v>0</v>
      </c>
      <c r="H175" s="2426"/>
    </row>
    <row r="176" spans="2:15" s="136" customFormat="1" x14ac:dyDescent="0.2">
      <c r="B176" s="2873"/>
      <c r="C176" s="2428" t="s">
        <v>354</v>
      </c>
      <c r="D176" s="202" t="s">
        <v>149</v>
      </c>
      <c r="E176" s="248">
        <v>2</v>
      </c>
      <c r="F176" s="2874">
        <v>0</v>
      </c>
      <c r="G176" s="2875">
        <f t="shared" si="6"/>
        <v>0</v>
      </c>
      <c r="H176" s="2426"/>
    </row>
    <row r="177" spans="2:8" s="136" customFormat="1" x14ac:dyDescent="0.2">
      <c r="B177" s="2873"/>
      <c r="C177" s="2428" t="s">
        <v>197</v>
      </c>
      <c r="D177" s="202" t="s">
        <v>149</v>
      </c>
      <c r="E177" s="248">
        <v>1</v>
      </c>
      <c r="F177" s="2874">
        <v>0</v>
      </c>
      <c r="G177" s="2875">
        <f t="shared" si="6"/>
        <v>0</v>
      </c>
      <c r="H177" s="2426"/>
    </row>
    <row r="178" spans="2:8" s="136" customFormat="1" ht="24" x14ac:dyDescent="0.2">
      <c r="B178" s="2873"/>
      <c r="C178" s="2876" t="s">
        <v>198</v>
      </c>
      <c r="D178" s="202" t="s">
        <v>149</v>
      </c>
      <c r="E178" s="248">
        <v>1</v>
      </c>
      <c r="F178" s="2874">
        <v>0</v>
      </c>
      <c r="G178" s="2875">
        <f t="shared" si="6"/>
        <v>0</v>
      </c>
      <c r="H178" s="2426"/>
    </row>
    <row r="179" spans="2:8" s="136" customFormat="1" x14ac:dyDescent="0.2">
      <c r="B179" s="2873"/>
      <c r="C179" s="262" t="s">
        <v>1255</v>
      </c>
      <c r="D179" s="202" t="s">
        <v>149</v>
      </c>
      <c r="E179" s="248">
        <v>1</v>
      </c>
      <c r="F179" s="2874">
        <v>0</v>
      </c>
      <c r="G179" s="2875">
        <f t="shared" si="6"/>
        <v>0</v>
      </c>
      <c r="H179" s="2426"/>
    </row>
    <row r="180" spans="2:8" s="136" customFormat="1" ht="24" x14ac:dyDescent="0.2">
      <c r="B180" s="2873"/>
      <c r="C180" s="262" t="s">
        <v>342</v>
      </c>
      <c r="D180" s="202" t="s">
        <v>149</v>
      </c>
      <c r="E180" s="248">
        <v>2</v>
      </c>
      <c r="F180" s="2874">
        <v>0</v>
      </c>
      <c r="G180" s="2875">
        <f t="shared" si="6"/>
        <v>0</v>
      </c>
      <c r="H180" s="2426"/>
    </row>
    <row r="181" spans="2:8" s="136" customFormat="1" ht="12.75" customHeight="1" x14ac:dyDescent="0.2">
      <c r="B181" s="2873"/>
      <c r="C181" s="250" t="s">
        <v>843</v>
      </c>
      <c r="D181" s="202" t="s">
        <v>149</v>
      </c>
      <c r="E181" s="248">
        <v>1</v>
      </c>
      <c r="F181" s="2874">
        <v>0</v>
      </c>
      <c r="G181" s="2875">
        <f t="shared" si="6"/>
        <v>0</v>
      </c>
      <c r="H181" s="2426"/>
    </row>
    <row r="182" spans="2:8" s="136" customFormat="1" x14ac:dyDescent="0.2">
      <c r="B182" s="2873"/>
      <c r="C182" s="250" t="s">
        <v>210</v>
      </c>
      <c r="D182" s="202" t="s">
        <v>149</v>
      </c>
      <c r="E182" s="248">
        <v>1</v>
      </c>
      <c r="F182" s="2874">
        <v>0</v>
      </c>
      <c r="G182" s="2875">
        <f t="shared" si="6"/>
        <v>0</v>
      </c>
      <c r="H182" s="2426"/>
    </row>
    <row r="183" spans="2:8" s="136" customFormat="1" x14ac:dyDescent="0.2">
      <c r="B183" s="2873"/>
      <c r="C183" s="250" t="s">
        <v>211</v>
      </c>
      <c r="D183" s="202" t="s">
        <v>149</v>
      </c>
      <c r="E183" s="248">
        <v>1</v>
      </c>
      <c r="F183" s="2874">
        <v>0</v>
      </c>
      <c r="G183" s="2875">
        <f t="shared" si="6"/>
        <v>0</v>
      </c>
      <c r="H183" s="2426"/>
    </row>
    <row r="184" spans="2:8" s="136" customFormat="1" x14ac:dyDescent="0.2">
      <c r="B184" s="2873"/>
      <c r="C184" s="250" t="s">
        <v>212</v>
      </c>
      <c r="D184" s="202" t="s">
        <v>149</v>
      </c>
      <c r="E184" s="248">
        <v>1</v>
      </c>
      <c r="F184" s="2874">
        <v>0</v>
      </c>
      <c r="G184" s="2875">
        <f t="shared" si="6"/>
        <v>0</v>
      </c>
      <c r="H184" s="2426"/>
    </row>
    <row r="185" spans="2:8" s="136" customFormat="1" x14ac:dyDescent="0.2">
      <c r="B185" s="2873"/>
      <c r="C185" s="250" t="s">
        <v>825</v>
      </c>
      <c r="D185" s="202" t="s">
        <v>149</v>
      </c>
      <c r="E185" s="248">
        <v>1</v>
      </c>
      <c r="F185" s="2874">
        <v>0</v>
      </c>
      <c r="G185" s="2875">
        <f t="shared" si="6"/>
        <v>0</v>
      </c>
      <c r="H185" s="2426"/>
    </row>
    <row r="186" spans="2:8" s="136" customFormat="1" x14ac:dyDescent="0.2">
      <c r="B186" s="2873"/>
      <c r="C186" s="250" t="s">
        <v>214</v>
      </c>
      <c r="D186" s="202" t="s">
        <v>149</v>
      </c>
      <c r="E186" s="248">
        <v>1</v>
      </c>
      <c r="F186" s="2874">
        <v>0</v>
      </c>
      <c r="G186" s="2875">
        <f t="shared" si="6"/>
        <v>0</v>
      </c>
      <c r="H186" s="2426"/>
    </row>
    <row r="187" spans="2:8" s="136" customFormat="1" x14ac:dyDescent="0.2">
      <c r="B187" s="2873"/>
      <c r="C187" s="250" t="s">
        <v>215</v>
      </c>
      <c r="D187" s="202" t="s">
        <v>149</v>
      </c>
      <c r="E187" s="248">
        <v>1</v>
      </c>
      <c r="F187" s="2874">
        <v>0</v>
      </c>
      <c r="G187" s="2875">
        <f t="shared" si="6"/>
        <v>0</v>
      </c>
      <c r="H187" s="2426"/>
    </row>
    <row r="188" spans="2:8" s="136" customFormat="1" x14ac:dyDescent="0.2">
      <c r="B188" s="2873"/>
      <c r="C188" s="2428" t="s">
        <v>216</v>
      </c>
      <c r="D188" s="202" t="s">
        <v>149</v>
      </c>
      <c r="E188" s="248">
        <v>1</v>
      </c>
      <c r="F188" s="2874">
        <v>0</v>
      </c>
      <c r="G188" s="2875">
        <f t="shared" si="6"/>
        <v>0</v>
      </c>
      <c r="H188" s="2426"/>
    </row>
    <row r="189" spans="2:8" s="136" customFormat="1" x14ac:dyDescent="0.2">
      <c r="B189" s="2873"/>
      <c r="C189" s="2428" t="s">
        <v>329</v>
      </c>
      <c r="D189" s="202" t="s">
        <v>149</v>
      </c>
      <c r="E189" s="248">
        <v>1</v>
      </c>
      <c r="F189" s="2874">
        <v>0</v>
      </c>
      <c r="G189" s="2875">
        <f t="shared" si="6"/>
        <v>0</v>
      </c>
      <c r="H189" s="2426"/>
    </row>
    <row r="190" spans="2:8" s="136" customFormat="1" x14ac:dyDescent="0.2">
      <c r="B190" s="2873"/>
      <c r="C190" s="2428" t="s">
        <v>354</v>
      </c>
      <c r="D190" s="202" t="s">
        <v>149</v>
      </c>
      <c r="E190" s="248">
        <v>2</v>
      </c>
      <c r="F190" s="2874">
        <v>0</v>
      </c>
      <c r="G190" s="2875">
        <f t="shared" si="6"/>
        <v>0</v>
      </c>
      <c r="H190" s="2426"/>
    </row>
    <row r="191" spans="2:8" s="136" customFormat="1" x14ac:dyDescent="0.2">
      <c r="B191" s="2873"/>
      <c r="C191" s="2428" t="s">
        <v>219</v>
      </c>
      <c r="D191" s="202" t="s">
        <v>149</v>
      </c>
      <c r="E191" s="248">
        <v>1</v>
      </c>
      <c r="F191" s="2874">
        <v>0</v>
      </c>
      <c r="G191" s="2875">
        <f t="shared" si="6"/>
        <v>0</v>
      </c>
      <c r="H191" s="2426"/>
    </row>
    <row r="192" spans="2:8" s="136" customFormat="1" x14ac:dyDescent="0.2">
      <c r="B192" s="2873"/>
      <c r="C192" s="2428" t="s">
        <v>227</v>
      </c>
      <c r="D192" s="202" t="s">
        <v>149</v>
      </c>
      <c r="E192" s="248">
        <v>3</v>
      </c>
      <c r="F192" s="2874">
        <v>0</v>
      </c>
      <c r="G192" s="2875">
        <f t="shared" si="6"/>
        <v>0</v>
      </c>
      <c r="H192" s="2426"/>
    </row>
    <row r="193" spans="2:11" s="136" customFormat="1" ht="24" x14ac:dyDescent="0.2">
      <c r="B193" s="2873"/>
      <c r="C193" s="2876" t="s">
        <v>198</v>
      </c>
      <c r="D193" s="202" t="s">
        <v>149</v>
      </c>
      <c r="E193" s="248">
        <v>1</v>
      </c>
      <c r="F193" s="2874">
        <v>0</v>
      </c>
      <c r="G193" s="2875">
        <f t="shared" si="6"/>
        <v>0</v>
      </c>
      <c r="H193" s="2426"/>
    </row>
    <row r="194" spans="2:11" s="121" customFormat="1" ht="18" customHeight="1" x14ac:dyDescent="0.2">
      <c r="B194" s="2877"/>
      <c r="C194" s="2876" t="s">
        <v>1263</v>
      </c>
      <c r="D194" s="218" t="s">
        <v>149</v>
      </c>
      <c r="E194" s="203">
        <v>2</v>
      </c>
      <c r="F194" s="2878">
        <v>0</v>
      </c>
      <c r="G194" s="2875">
        <f t="shared" ref="G194:G195" si="7">E194*F194</f>
        <v>0</v>
      </c>
      <c r="H194" s="2426"/>
    </row>
    <row r="195" spans="2:11" s="121" customFormat="1" ht="14.25" customHeight="1" x14ac:dyDescent="0.2">
      <c r="B195" s="2877"/>
      <c r="C195" s="2876" t="s">
        <v>341</v>
      </c>
      <c r="D195" s="218" t="s">
        <v>149</v>
      </c>
      <c r="E195" s="203">
        <v>4</v>
      </c>
      <c r="F195" s="2878">
        <v>0</v>
      </c>
      <c r="G195" s="2875">
        <f t="shared" si="7"/>
        <v>0</v>
      </c>
      <c r="H195" s="2426"/>
    </row>
    <row r="196" spans="2:11" s="723" customFormat="1" ht="14.25" customHeight="1" x14ac:dyDescent="0.2">
      <c r="B196" s="950"/>
      <c r="C196" s="955"/>
      <c r="D196" s="2515"/>
      <c r="E196" s="2532"/>
      <c r="F196" s="2453"/>
      <c r="G196" s="2453"/>
      <c r="H196" s="953"/>
      <c r="I196" s="965"/>
      <c r="J196" s="748"/>
    </row>
    <row r="197" spans="2:11" s="723" customFormat="1" ht="27.75" customHeight="1" x14ac:dyDescent="0.2">
      <c r="B197" s="2051" t="s">
        <v>1264</v>
      </c>
      <c r="C197" s="2059" t="s">
        <v>1265</v>
      </c>
      <c r="D197" s="2673"/>
      <c r="E197" s="2577"/>
      <c r="F197" s="2455"/>
      <c r="G197" s="2455"/>
      <c r="H197" s="953"/>
      <c r="I197" s="965"/>
      <c r="J197" s="748"/>
    </row>
    <row r="198" spans="2:11" s="723" customFormat="1" ht="35.25" customHeight="1" x14ac:dyDescent="0.2">
      <c r="B198" s="2051"/>
      <c r="C198" s="2071" t="s">
        <v>1266</v>
      </c>
      <c r="D198" s="2057" t="s">
        <v>149</v>
      </c>
      <c r="E198" s="2044">
        <v>1</v>
      </c>
      <c r="F198" s="2054">
        <v>0</v>
      </c>
      <c r="G198" s="2055">
        <f t="shared" ref="G198:G205" si="8">E198*F198</f>
        <v>0</v>
      </c>
      <c r="H198" s="953"/>
      <c r="I198" s="965"/>
      <c r="J198" s="748"/>
    </row>
    <row r="199" spans="2:11" s="723" customFormat="1" ht="21.75" customHeight="1" x14ac:dyDescent="0.2">
      <c r="B199" s="2051"/>
      <c r="C199" s="2048" t="s">
        <v>354</v>
      </c>
      <c r="D199" s="2057" t="s">
        <v>149</v>
      </c>
      <c r="E199" s="2044">
        <v>2</v>
      </c>
      <c r="F199" s="2054">
        <v>0</v>
      </c>
      <c r="G199" s="2055">
        <f t="shared" si="8"/>
        <v>0</v>
      </c>
      <c r="H199" s="953"/>
      <c r="I199" s="965"/>
      <c r="J199" s="748"/>
    </row>
    <row r="200" spans="2:11" s="723" customFormat="1" ht="30" customHeight="1" x14ac:dyDescent="0.2">
      <c r="B200" s="2051"/>
      <c r="C200" s="2048" t="s">
        <v>239</v>
      </c>
      <c r="D200" s="2057" t="s">
        <v>149</v>
      </c>
      <c r="E200" s="2044">
        <v>1</v>
      </c>
      <c r="F200" s="2054">
        <v>0</v>
      </c>
      <c r="G200" s="2055">
        <f t="shared" si="8"/>
        <v>0</v>
      </c>
      <c r="H200" s="953"/>
      <c r="I200" s="965"/>
      <c r="J200" s="748"/>
    </row>
    <row r="201" spans="2:11" s="723" customFormat="1" ht="39" customHeight="1" x14ac:dyDescent="0.2">
      <c r="B201" s="2051"/>
      <c r="C201" s="2048" t="s">
        <v>1267</v>
      </c>
      <c r="D201" s="2057" t="s">
        <v>149</v>
      </c>
      <c r="E201" s="2044">
        <v>1</v>
      </c>
      <c r="F201" s="2054">
        <v>0</v>
      </c>
      <c r="G201" s="2055">
        <f t="shared" si="8"/>
        <v>0</v>
      </c>
      <c r="H201" s="953"/>
      <c r="I201" s="965"/>
      <c r="J201" s="748"/>
    </row>
    <row r="202" spans="2:11" s="723" customFormat="1" ht="24" customHeight="1" x14ac:dyDescent="0.2">
      <c r="B202" s="2051"/>
      <c r="C202" s="2048" t="s">
        <v>1268</v>
      </c>
      <c r="D202" s="2057" t="s">
        <v>149</v>
      </c>
      <c r="E202" s="2044">
        <v>1</v>
      </c>
      <c r="F202" s="2054">
        <v>0</v>
      </c>
      <c r="G202" s="2055">
        <f t="shared" si="8"/>
        <v>0</v>
      </c>
      <c r="H202" s="953"/>
      <c r="I202" s="965"/>
      <c r="J202" s="748"/>
    </row>
    <row r="203" spans="2:11" s="723" customFormat="1" ht="36.75" customHeight="1" x14ac:dyDescent="0.2">
      <c r="B203" s="2051"/>
      <c r="C203" s="2048" t="s">
        <v>1269</v>
      </c>
      <c r="D203" s="2057" t="s">
        <v>149</v>
      </c>
      <c r="E203" s="2044">
        <v>1</v>
      </c>
      <c r="F203" s="2054">
        <v>0</v>
      </c>
      <c r="G203" s="2055">
        <f t="shared" si="8"/>
        <v>0</v>
      </c>
      <c r="H203" s="953"/>
      <c r="I203" s="965"/>
      <c r="J203" s="748"/>
    </row>
    <row r="204" spans="2:11" s="723" customFormat="1" ht="28.5" customHeight="1" x14ac:dyDescent="0.2">
      <c r="B204" s="2051"/>
      <c r="C204" s="2048" t="s">
        <v>227</v>
      </c>
      <c r="D204" s="2057" t="s">
        <v>149</v>
      </c>
      <c r="E204" s="2044">
        <v>1</v>
      </c>
      <c r="F204" s="2054">
        <v>0</v>
      </c>
      <c r="G204" s="2055">
        <f t="shared" si="8"/>
        <v>0</v>
      </c>
      <c r="H204" s="953"/>
      <c r="I204" s="965"/>
      <c r="J204" s="748"/>
    </row>
    <row r="205" spans="2:11" s="723" customFormat="1" ht="34.5" customHeight="1" x14ac:dyDescent="0.2">
      <c r="B205" s="2051"/>
      <c r="C205" s="2048" t="s">
        <v>1196</v>
      </c>
      <c r="D205" s="2057" t="s">
        <v>149</v>
      </c>
      <c r="E205" s="2044">
        <v>1</v>
      </c>
      <c r="F205" s="2054">
        <v>0</v>
      </c>
      <c r="G205" s="2055">
        <f t="shared" si="8"/>
        <v>0</v>
      </c>
      <c r="H205" s="953"/>
      <c r="I205" s="965"/>
      <c r="J205" s="748"/>
    </row>
    <row r="206" spans="2:11" s="723" customFormat="1" x14ac:dyDescent="0.2">
      <c r="B206" s="950"/>
      <c r="C206" s="963"/>
      <c r="D206" s="2533"/>
      <c r="E206" s="2579"/>
      <c r="F206" s="2452"/>
      <c r="G206" s="2452"/>
      <c r="H206" s="953"/>
      <c r="I206" s="964"/>
      <c r="J206" s="748"/>
    </row>
    <row r="207" spans="2:11" s="723" customFormat="1" x14ac:dyDescent="0.2">
      <c r="B207" s="2072" t="s">
        <v>1270</v>
      </c>
      <c r="C207" s="2073" t="s">
        <v>1271</v>
      </c>
      <c r="D207" s="2674"/>
      <c r="E207" s="2675"/>
      <c r="F207" s="2456"/>
      <c r="G207" s="2456"/>
      <c r="H207" s="953"/>
      <c r="I207" s="964"/>
      <c r="J207" s="748"/>
      <c r="K207" s="748"/>
    </row>
    <row r="208" spans="2:11" s="723" customFormat="1" x14ac:dyDescent="0.2">
      <c r="B208" s="2072"/>
      <c r="C208" s="2074" t="s">
        <v>1272</v>
      </c>
      <c r="D208" s="2075" t="s">
        <v>149</v>
      </c>
      <c r="E208" s="2076">
        <v>5</v>
      </c>
      <c r="F208" s="2077">
        <v>0</v>
      </c>
      <c r="G208" s="2078">
        <f>E208*F208</f>
        <v>0</v>
      </c>
      <c r="H208" s="953"/>
      <c r="I208" s="965"/>
      <c r="J208" s="748"/>
      <c r="K208" s="748"/>
    </row>
    <row r="209" spans="2:11" s="723" customFormat="1" x14ac:dyDescent="0.2">
      <c r="B209" s="2072"/>
      <c r="C209" s="2074" t="s">
        <v>1273</v>
      </c>
      <c r="D209" s="2075" t="s">
        <v>149</v>
      </c>
      <c r="E209" s="2076">
        <v>5</v>
      </c>
      <c r="F209" s="2077">
        <v>0</v>
      </c>
      <c r="G209" s="2078">
        <f t="shared" ref="G209:G212" si="9">E209*F209</f>
        <v>0</v>
      </c>
      <c r="H209" s="953"/>
      <c r="I209" s="964"/>
      <c r="K209" s="748"/>
    </row>
    <row r="210" spans="2:11" s="723" customFormat="1" x14ac:dyDescent="0.2">
      <c r="B210" s="2072"/>
      <c r="C210" s="2074" t="s">
        <v>1263</v>
      </c>
      <c r="D210" s="2075" t="s">
        <v>149</v>
      </c>
      <c r="E210" s="2076">
        <v>5</v>
      </c>
      <c r="F210" s="2077">
        <v>0</v>
      </c>
      <c r="G210" s="2078">
        <f t="shared" si="9"/>
        <v>0</v>
      </c>
      <c r="H210" s="953"/>
      <c r="I210" s="964"/>
      <c r="K210" s="748"/>
    </row>
    <row r="211" spans="2:11" s="723" customFormat="1" x14ac:dyDescent="0.2">
      <c r="B211" s="2072"/>
      <c r="C211" s="2074" t="s">
        <v>341</v>
      </c>
      <c r="D211" s="2075" t="s">
        <v>149</v>
      </c>
      <c r="E211" s="2076">
        <v>5</v>
      </c>
      <c r="F211" s="2077">
        <v>0</v>
      </c>
      <c r="G211" s="2078">
        <f t="shared" si="9"/>
        <v>0</v>
      </c>
      <c r="H211" s="953"/>
      <c r="I211" s="964"/>
      <c r="K211" s="748"/>
    </row>
    <row r="212" spans="2:11" s="723" customFormat="1" x14ac:dyDescent="0.2">
      <c r="B212" s="2072"/>
      <c r="C212" s="2079" t="s">
        <v>1274</v>
      </c>
      <c r="D212" s="2075" t="s">
        <v>149</v>
      </c>
      <c r="E212" s="2076">
        <v>40</v>
      </c>
      <c r="F212" s="2077">
        <v>0</v>
      </c>
      <c r="G212" s="2078">
        <f t="shared" si="9"/>
        <v>0</v>
      </c>
      <c r="H212" s="953"/>
      <c r="I212" s="964"/>
      <c r="K212" s="748"/>
    </row>
    <row r="213" spans="2:11" s="723" customFormat="1" x14ac:dyDescent="0.2">
      <c r="B213" s="950"/>
      <c r="C213" s="955"/>
      <c r="D213" s="2515"/>
      <c r="E213" s="2532"/>
      <c r="F213" s="2453"/>
      <c r="G213" s="2453"/>
      <c r="H213" s="953"/>
      <c r="I213" s="965"/>
      <c r="J213" s="748"/>
      <c r="K213" s="748"/>
    </row>
    <row r="214" spans="2:11" s="723" customFormat="1" x14ac:dyDescent="0.2">
      <c r="B214" s="2080" t="s">
        <v>1275</v>
      </c>
      <c r="C214" s="2081" t="s">
        <v>244</v>
      </c>
      <c r="D214" s="2676"/>
      <c r="E214" s="2677"/>
      <c r="F214" s="2457"/>
      <c r="G214" s="2457"/>
      <c r="H214" s="953"/>
      <c r="I214" s="965"/>
      <c r="J214" s="748"/>
      <c r="K214" s="748"/>
    </row>
    <row r="215" spans="2:11" s="723" customFormat="1" x14ac:dyDescent="0.2">
      <c r="B215" s="2080"/>
      <c r="C215" s="2081" t="s">
        <v>828</v>
      </c>
      <c r="D215" s="2082"/>
      <c r="E215" s="2083"/>
      <c r="F215" s="2084"/>
      <c r="G215" s="2085"/>
      <c r="H215" s="953"/>
      <c r="I215" s="965"/>
      <c r="J215" s="748"/>
      <c r="K215" s="748"/>
    </row>
    <row r="216" spans="2:11" s="723" customFormat="1" ht="38.25" x14ac:dyDescent="0.2">
      <c r="B216" s="2086"/>
      <c r="C216" s="2087" t="s">
        <v>1276</v>
      </c>
      <c r="D216" s="2082" t="s">
        <v>149</v>
      </c>
      <c r="E216" s="2083">
        <v>3</v>
      </c>
      <c r="F216" s="2088">
        <v>0</v>
      </c>
      <c r="G216" s="2089">
        <f>E216*F216</f>
        <v>0</v>
      </c>
      <c r="H216" s="953"/>
      <c r="I216" s="965"/>
      <c r="J216" s="748"/>
      <c r="K216" s="748"/>
    </row>
    <row r="217" spans="2:11" s="723" customFormat="1" ht="25.5" x14ac:dyDescent="0.2">
      <c r="B217" s="2080"/>
      <c r="C217" s="2090" t="s">
        <v>247</v>
      </c>
      <c r="D217" s="2082" t="s">
        <v>149</v>
      </c>
      <c r="E217" s="2083">
        <v>3</v>
      </c>
      <c r="F217" s="2088">
        <v>0</v>
      </c>
      <c r="G217" s="2089">
        <f>E217*F217</f>
        <v>0</v>
      </c>
      <c r="H217" s="953"/>
      <c r="I217" s="965"/>
      <c r="J217" s="748"/>
      <c r="K217" s="748"/>
    </row>
    <row r="218" spans="2:11" s="723" customFormat="1" ht="25.5" x14ac:dyDescent="0.2">
      <c r="B218" s="2080"/>
      <c r="C218" s="2091" t="s">
        <v>1196</v>
      </c>
      <c r="D218" s="2082" t="s">
        <v>149</v>
      </c>
      <c r="E218" s="2083">
        <v>3</v>
      </c>
      <c r="F218" s="2088">
        <v>0</v>
      </c>
      <c r="G218" s="2089">
        <f>E218*F218</f>
        <v>0</v>
      </c>
      <c r="H218" s="953"/>
      <c r="I218" s="965"/>
      <c r="J218" s="748"/>
      <c r="K218" s="748"/>
    </row>
    <row r="219" spans="2:11" s="723" customFormat="1" x14ac:dyDescent="0.2">
      <c r="B219" s="950"/>
      <c r="C219" s="955"/>
      <c r="D219" s="2515"/>
      <c r="E219" s="2532"/>
      <c r="F219" s="2453"/>
      <c r="G219" s="2453"/>
      <c r="H219" s="953"/>
      <c r="I219" s="965"/>
      <c r="J219" s="748"/>
      <c r="K219" s="748"/>
    </row>
    <row r="220" spans="2:11" s="723" customFormat="1" x14ac:dyDescent="0.2">
      <c r="B220" s="2092" t="s">
        <v>199</v>
      </c>
      <c r="C220" s="2093" t="s">
        <v>300</v>
      </c>
      <c r="D220" s="2094"/>
      <c r="E220" s="2095"/>
      <c r="F220" s="2096"/>
      <c r="G220" s="2097"/>
      <c r="H220" s="953"/>
      <c r="I220" s="965"/>
      <c r="J220" s="748"/>
      <c r="K220" s="748"/>
    </row>
    <row r="221" spans="2:11" s="723" customFormat="1" ht="76.5" x14ac:dyDescent="0.2">
      <c r="B221" s="2098"/>
      <c r="C221" s="2053" t="s">
        <v>301</v>
      </c>
      <c r="D221" s="2057" t="s">
        <v>149</v>
      </c>
      <c r="E221" s="2044">
        <v>3</v>
      </c>
      <c r="F221" s="2054">
        <v>0</v>
      </c>
      <c r="G221" s="2099">
        <f>E221*F221</f>
        <v>0</v>
      </c>
      <c r="H221" s="953"/>
      <c r="I221" s="965"/>
      <c r="J221" s="748"/>
      <c r="K221" s="748"/>
    </row>
    <row r="222" spans="2:11" s="723" customFormat="1" x14ac:dyDescent="0.2">
      <c r="B222" s="978"/>
      <c r="C222" s="979"/>
      <c r="D222" s="2678"/>
      <c r="E222" s="2543"/>
      <c r="F222" s="2458"/>
      <c r="G222" s="2544"/>
      <c r="H222" s="744"/>
      <c r="J222" s="748"/>
    </row>
    <row r="223" spans="2:11" s="723" customFormat="1" x14ac:dyDescent="0.2">
      <c r="B223" s="984" t="s">
        <v>17</v>
      </c>
      <c r="C223" s="985" t="s">
        <v>302</v>
      </c>
      <c r="D223" s="986"/>
      <c r="E223" s="987"/>
      <c r="F223" s="988"/>
      <c r="G223" s="876">
        <f>SUM(G117:G221)</f>
        <v>0</v>
      </c>
      <c r="H223" s="744"/>
      <c r="J223" s="748"/>
    </row>
    <row r="224" spans="2:11" s="723" customFormat="1" x14ac:dyDescent="0.2">
      <c r="B224" s="908"/>
      <c r="C224" s="989"/>
      <c r="D224" s="2656"/>
      <c r="E224" s="2560"/>
      <c r="F224" s="1218"/>
      <c r="G224" s="1179"/>
      <c r="H224" s="744"/>
      <c r="J224" s="748"/>
    </row>
    <row r="225" spans="2:10" s="723" customFormat="1" x14ac:dyDescent="0.2">
      <c r="B225" s="739"/>
      <c r="C225" s="740"/>
      <c r="D225" s="2654"/>
      <c r="E225" s="2560"/>
      <c r="F225" s="1218"/>
      <c r="G225" s="1179"/>
      <c r="H225" s="991"/>
      <c r="J225" s="748"/>
    </row>
    <row r="226" spans="2:10" s="723" customFormat="1" x14ac:dyDescent="0.2">
      <c r="B226" s="739"/>
      <c r="C226" s="740"/>
      <c r="D226" s="2654"/>
      <c r="E226" s="2560"/>
      <c r="F226" s="1218"/>
      <c r="G226" s="1179"/>
      <c r="H226" s="991"/>
      <c r="J226" s="748"/>
    </row>
    <row r="227" spans="2:10" s="723" customFormat="1" x14ac:dyDescent="0.2">
      <c r="B227" s="739"/>
      <c r="C227" s="740"/>
      <c r="D227" s="2654"/>
      <c r="E227" s="2560"/>
      <c r="F227" s="1218"/>
      <c r="G227" s="1179"/>
      <c r="H227" s="744"/>
      <c r="J227" s="748"/>
    </row>
    <row r="228" spans="2:10" s="723" customFormat="1" x14ac:dyDescent="0.2">
      <c r="B228" s="739"/>
      <c r="C228" s="740"/>
      <c r="D228" s="2654"/>
      <c r="E228" s="2560"/>
      <c r="F228" s="1218"/>
      <c r="G228" s="1179"/>
      <c r="H228" s="744"/>
      <c r="J228" s="748"/>
    </row>
    <row r="229" spans="2:10" s="723" customFormat="1" x14ac:dyDescent="0.2">
      <c r="B229" s="739"/>
      <c r="C229" s="740"/>
      <c r="D229" s="2654"/>
      <c r="E229" s="2560"/>
      <c r="F229" s="1218"/>
      <c r="G229" s="1179"/>
      <c r="H229" s="744"/>
      <c r="J229" s="748"/>
    </row>
    <row r="230" spans="2:10" s="723" customFormat="1" ht="15" customHeight="1" x14ac:dyDescent="0.2">
      <c r="B230" s="739"/>
      <c r="C230" s="740"/>
      <c r="D230" s="2654"/>
      <c r="E230" s="2560"/>
      <c r="F230" s="1218"/>
      <c r="G230" s="1179"/>
      <c r="H230" s="744"/>
      <c r="J230" s="748"/>
    </row>
    <row r="231" spans="2:10" s="723" customFormat="1" x14ac:dyDescent="0.2">
      <c r="B231" s="739"/>
      <c r="C231" s="740"/>
      <c r="D231" s="2654"/>
      <c r="E231" s="2560"/>
      <c r="F231" s="1218"/>
      <c r="G231" s="1179"/>
      <c r="H231" s="744"/>
      <c r="J231" s="748"/>
    </row>
    <row r="232" spans="2:10" s="723" customFormat="1" ht="16.5" customHeight="1" x14ac:dyDescent="0.2">
      <c r="B232" s="739"/>
      <c r="C232" s="740"/>
      <c r="D232" s="2654"/>
      <c r="E232" s="2560"/>
      <c r="F232" s="1218"/>
      <c r="G232" s="1179"/>
      <c r="H232" s="744"/>
    </row>
    <row r="233" spans="2:10" s="723" customFormat="1" x14ac:dyDescent="0.2">
      <c r="B233" s="739"/>
      <c r="C233" s="740"/>
      <c r="D233" s="2654"/>
      <c r="E233" s="2560"/>
      <c r="F233" s="1218"/>
      <c r="G233" s="1179"/>
      <c r="H233" s="744"/>
    </row>
    <row r="234" spans="2:10" s="723" customFormat="1" x14ac:dyDescent="0.2">
      <c r="B234" s="739"/>
      <c r="C234" s="740"/>
      <c r="D234" s="2654"/>
      <c r="E234" s="2560"/>
      <c r="F234" s="1218"/>
      <c r="G234" s="1179"/>
      <c r="H234" s="744"/>
    </row>
    <row r="235" spans="2:10" s="723" customFormat="1" x14ac:dyDescent="0.2">
      <c r="B235" s="739"/>
      <c r="C235" s="740"/>
      <c r="D235" s="2654"/>
      <c r="E235" s="2560"/>
      <c r="F235" s="1218"/>
      <c r="G235" s="1179"/>
      <c r="H235" s="744"/>
    </row>
    <row r="236" spans="2:10" s="723" customFormat="1" x14ac:dyDescent="0.2">
      <c r="B236" s="739"/>
      <c r="C236" s="740"/>
      <c r="D236" s="2654"/>
      <c r="E236" s="2560"/>
      <c r="F236" s="1218"/>
      <c r="G236" s="1179"/>
      <c r="H236" s="744"/>
      <c r="J236" s="748"/>
    </row>
    <row r="237" spans="2:10" s="723" customFormat="1" x14ac:dyDescent="0.2">
      <c r="B237" s="739"/>
      <c r="C237" s="740"/>
      <c r="D237" s="2654"/>
      <c r="E237" s="2560"/>
      <c r="F237" s="1218"/>
      <c r="G237" s="1179"/>
      <c r="H237" s="744"/>
      <c r="J237" s="748"/>
    </row>
    <row r="238" spans="2:10" s="723" customFormat="1" x14ac:dyDescent="0.2">
      <c r="B238" s="739"/>
      <c r="C238" s="740"/>
      <c r="D238" s="2654"/>
      <c r="E238" s="2560"/>
      <c r="F238" s="1218"/>
      <c r="G238" s="1179"/>
      <c r="H238" s="744"/>
      <c r="J238" s="748"/>
    </row>
    <row r="239" spans="2:10" s="723" customFormat="1" x14ac:dyDescent="0.2">
      <c r="B239" s="739"/>
      <c r="C239" s="740"/>
      <c r="D239" s="2654"/>
      <c r="E239" s="2560"/>
      <c r="F239" s="1218"/>
      <c r="G239" s="1179"/>
      <c r="H239" s="744"/>
      <c r="J239" s="748"/>
    </row>
    <row r="240" spans="2:10" s="723" customFormat="1" x14ac:dyDescent="0.2">
      <c r="B240" s="739"/>
      <c r="C240" s="740"/>
      <c r="D240" s="2654"/>
      <c r="E240" s="2560"/>
      <c r="F240" s="1218"/>
      <c r="G240" s="1179"/>
      <c r="H240" s="744"/>
      <c r="J240" s="748"/>
    </row>
    <row r="241" spans="2:10" s="723" customFormat="1" x14ac:dyDescent="0.2">
      <c r="B241" s="739"/>
      <c r="C241" s="740"/>
      <c r="D241" s="2654"/>
      <c r="E241" s="2560"/>
      <c r="F241" s="1218"/>
      <c r="G241" s="1179"/>
      <c r="H241" s="744"/>
      <c r="J241" s="748"/>
    </row>
    <row r="242" spans="2:10" s="723" customFormat="1" x14ac:dyDescent="0.2">
      <c r="B242" s="739"/>
      <c r="C242" s="740"/>
      <c r="D242" s="2654"/>
      <c r="E242" s="2560"/>
      <c r="F242" s="1218"/>
      <c r="G242" s="1179"/>
      <c r="H242" s="744"/>
    </row>
    <row r="243" spans="2:10" s="723" customFormat="1" x14ac:dyDescent="0.2">
      <c r="B243" s="739"/>
      <c r="C243" s="740"/>
      <c r="D243" s="2654"/>
      <c r="E243" s="2560"/>
      <c r="F243" s="1218"/>
      <c r="G243" s="1179"/>
      <c r="H243" s="744"/>
    </row>
    <row r="244" spans="2:10" s="723" customFormat="1" x14ac:dyDescent="0.2">
      <c r="B244" s="739"/>
      <c r="C244" s="740"/>
      <c r="D244" s="2654"/>
      <c r="E244" s="2560"/>
      <c r="F244" s="1218"/>
      <c r="G244" s="1179"/>
      <c r="H244" s="744"/>
    </row>
    <row r="245" spans="2:10" s="723" customFormat="1" x14ac:dyDescent="0.2">
      <c r="B245" s="739"/>
      <c r="C245" s="740"/>
      <c r="D245" s="2654"/>
      <c r="E245" s="2560"/>
      <c r="F245" s="1218"/>
      <c r="G245" s="1179"/>
      <c r="H245" s="744"/>
    </row>
    <row r="246" spans="2:10" s="723" customFormat="1" x14ac:dyDescent="0.2">
      <c r="B246" s="739"/>
      <c r="C246" s="740"/>
      <c r="D246" s="2654"/>
      <c r="E246" s="2560"/>
      <c r="F246" s="1218"/>
      <c r="G246" s="1179"/>
      <c r="H246" s="744"/>
      <c r="J246" s="748"/>
    </row>
    <row r="247" spans="2:10" s="723" customFormat="1" x14ac:dyDescent="0.2">
      <c r="B247" s="739"/>
      <c r="C247" s="740"/>
      <c r="D247" s="2654"/>
      <c r="E247" s="2560"/>
      <c r="F247" s="1218"/>
      <c r="G247" s="1179"/>
      <c r="H247" s="744"/>
      <c r="J247" s="748"/>
    </row>
    <row r="248" spans="2:10" s="723" customFormat="1" x14ac:dyDescent="0.2">
      <c r="B248" s="739"/>
      <c r="C248" s="740"/>
      <c r="D248" s="2654"/>
      <c r="E248" s="2560"/>
      <c r="F248" s="1218"/>
      <c r="G248" s="1179"/>
      <c r="H248" s="744"/>
    </row>
    <row r="249" spans="2:10" s="723" customFormat="1" x14ac:dyDescent="0.2">
      <c r="B249" s="739"/>
      <c r="C249" s="740"/>
      <c r="D249" s="2654"/>
      <c r="E249" s="2560"/>
      <c r="F249" s="1218"/>
      <c r="G249" s="1179"/>
      <c r="H249" s="744"/>
      <c r="I249" s="741"/>
    </row>
    <row r="250" spans="2:10" s="723" customFormat="1" x14ac:dyDescent="0.2">
      <c r="B250" s="739"/>
      <c r="C250" s="740"/>
      <c r="D250" s="2654"/>
      <c r="E250" s="2560"/>
      <c r="F250" s="1218"/>
      <c r="G250" s="1179"/>
      <c r="H250" s="744"/>
      <c r="I250" s="741"/>
    </row>
    <row r="251" spans="2:10" s="723" customFormat="1" x14ac:dyDescent="0.2">
      <c r="B251" s="739"/>
      <c r="C251" s="740"/>
      <c r="D251" s="2654"/>
      <c r="E251" s="2560"/>
      <c r="F251" s="1218"/>
      <c r="G251" s="1179"/>
      <c r="H251" s="744"/>
      <c r="I251" s="741"/>
    </row>
    <row r="252" spans="2:10" s="723" customFormat="1" x14ac:dyDescent="0.2">
      <c r="B252" s="739"/>
      <c r="C252" s="740"/>
      <c r="D252" s="2654"/>
      <c r="E252" s="2560"/>
      <c r="F252" s="1218"/>
      <c r="G252" s="1179"/>
      <c r="H252" s="744"/>
      <c r="I252" s="741"/>
    </row>
    <row r="253" spans="2:10" s="723" customFormat="1" x14ac:dyDescent="0.2">
      <c r="B253" s="739"/>
      <c r="C253" s="740"/>
      <c r="D253" s="2654"/>
      <c r="E253" s="2560"/>
      <c r="F253" s="1218"/>
      <c r="G253" s="1179"/>
      <c r="H253" s="744"/>
      <c r="I253" s="741"/>
    </row>
    <row r="254" spans="2:10" s="723" customFormat="1" x14ac:dyDescent="0.2">
      <c r="B254" s="739"/>
      <c r="C254" s="740"/>
      <c r="D254" s="2654"/>
      <c r="E254" s="2560"/>
      <c r="F254" s="1218"/>
      <c r="G254" s="1179"/>
      <c r="H254" s="744"/>
      <c r="I254" s="741"/>
    </row>
    <row r="255" spans="2:10" s="723" customFormat="1" x14ac:dyDescent="0.2">
      <c r="B255" s="739"/>
      <c r="C255" s="740"/>
      <c r="D255" s="2654"/>
      <c r="E255" s="2560"/>
      <c r="F255" s="1218"/>
      <c r="G255" s="1179"/>
      <c r="H255" s="744"/>
      <c r="I255" s="741"/>
    </row>
    <row r="256" spans="2:10" s="723" customFormat="1" x14ac:dyDescent="0.2">
      <c r="B256" s="739"/>
      <c r="C256" s="740"/>
      <c r="D256" s="2654"/>
      <c r="E256" s="2560"/>
      <c r="F256" s="1218"/>
      <c r="G256" s="1179"/>
      <c r="H256" s="744"/>
      <c r="I256" s="741"/>
    </row>
    <row r="257" spans="2:9" s="723" customFormat="1" x14ac:dyDescent="0.2">
      <c r="B257" s="739"/>
      <c r="C257" s="740"/>
      <c r="D257" s="2654"/>
      <c r="E257" s="2560"/>
      <c r="F257" s="1218"/>
      <c r="G257" s="1179"/>
      <c r="H257" s="744"/>
      <c r="I257" s="741"/>
    </row>
    <row r="258" spans="2:9" s="723" customFormat="1" x14ac:dyDescent="0.2">
      <c r="B258" s="739"/>
      <c r="C258" s="740"/>
      <c r="D258" s="2654"/>
      <c r="E258" s="2560"/>
      <c r="F258" s="1218"/>
      <c r="G258" s="1179"/>
      <c r="H258" s="744"/>
      <c r="I258" s="741"/>
    </row>
    <row r="259" spans="2:9" s="723" customFormat="1" x14ac:dyDescent="0.2">
      <c r="B259" s="739"/>
      <c r="C259" s="740"/>
      <c r="D259" s="2654"/>
      <c r="E259" s="2560"/>
      <c r="F259" s="1218"/>
      <c r="G259" s="1179"/>
      <c r="H259" s="744"/>
      <c r="I259" s="741"/>
    </row>
    <row r="260" spans="2:9" s="723" customFormat="1" x14ac:dyDescent="0.2">
      <c r="B260" s="739"/>
      <c r="C260" s="740"/>
      <c r="D260" s="2654"/>
      <c r="E260" s="2560"/>
      <c r="F260" s="1218"/>
      <c r="G260" s="1179"/>
      <c r="H260" s="744"/>
      <c r="I260" s="741"/>
    </row>
    <row r="261" spans="2:9" s="723" customFormat="1" x14ac:dyDescent="0.2">
      <c r="B261" s="739"/>
      <c r="C261" s="740"/>
      <c r="D261" s="2654"/>
      <c r="E261" s="2560"/>
      <c r="F261" s="1218"/>
      <c r="G261" s="1179"/>
      <c r="H261" s="744"/>
      <c r="I261" s="741"/>
    </row>
    <row r="262" spans="2:9" s="723" customFormat="1" ht="12.75" customHeight="1" x14ac:dyDescent="0.2">
      <c r="B262" s="739"/>
      <c r="C262" s="740"/>
      <c r="D262" s="2654"/>
      <c r="E262" s="2560"/>
      <c r="F262" s="1218"/>
      <c r="G262" s="1179"/>
      <c r="H262" s="744"/>
      <c r="I262" s="992"/>
    </row>
    <row r="263" spans="2:9" s="723" customFormat="1" x14ac:dyDescent="0.2">
      <c r="B263" s="739"/>
      <c r="C263" s="740"/>
      <c r="D263" s="2654"/>
      <c r="E263" s="2560"/>
      <c r="F263" s="1218"/>
      <c r="G263" s="1179"/>
      <c r="H263" s="744"/>
      <c r="I263" s="992"/>
    </row>
    <row r="264" spans="2:9" s="723" customFormat="1" x14ac:dyDescent="0.2">
      <c r="B264" s="739"/>
      <c r="C264" s="740"/>
      <c r="D264" s="2654"/>
      <c r="E264" s="2560"/>
      <c r="F264" s="1218"/>
      <c r="G264" s="1179"/>
      <c r="H264" s="744"/>
      <c r="I264" s="741"/>
    </row>
    <row r="265" spans="2:9" s="723" customFormat="1" x14ac:dyDescent="0.2">
      <c r="B265" s="739"/>
      <c r="C265" s="740"/>
      <c r="D265" s="2654"/>
      <c r="E265" s="2560"/>
      <c r="F265" s="1218"/>
      <c r="G265" s="1179"/>
      <c r="H265" s="744"/>
      <c r="I265" s="741"/>
    </row>
    <row r="266" spans="2:9" s="723" customFormat="1" x14ac:dyDescent="0.2">
      <c r="B266" s="739"/>
      <c r="C266" s="740"/>
      <c r="D266" s="2654"/>
      <c r="E266" s="2560"/>
      <c r="F266" s="1218"/>
      <c r="G266" s="1179"/>
      <c r="H266" s="744"/>
      <c r="I266" s="741"/>
    </row>
    <row r="267" spans="2:9" s="723" customFormat="1" x14ac:dyDescent="0.2">
      <c r="B267" s="739"/>
      <c r="C267" s="740"/>
      <c r="D267" s="2654"/>
      <c r="E267" s="2560"/>
      <c r="F267" s="1218"/>
      <c r="G267" s="1179"/>
      <c r="H267" s="744"/>
      <c r="I267" s="741"/>
    </row>
    <row r="268" spans="2:9" s="723" customFormat="1" x14ac:dyDescent="0.2">
      <c r="B268" s="739"/>
      <c r="C268" s="740"/>
      <c r="D268" s="2654"/>
      <c r="E268" s="2560"/>
      <c r="F268" s="1218"/>
      <c r="G268" s="1179"/>
      <c r="H268" s="744"/>
      <c r="I268" s="741"/>
    </row>
    <row r="269" spans="2:9" s="723" customFormat="1" x14ac:dyDescent="0.2">
      <c r="B269" s="739"/>
      <c r="C269" s="740"/>
      <c r="D269" s="2654"/>
      <c r="E269" s="2560"/>
      <c r="F269" s="1218"/>
      <c r="G269" s="1179"/>
      <c r="H269" s="744"/>
      <c r="I269" s="741"/>
    </row>
    <row r="270" spans="2:9" s="723" customFormat="1" x14ac:dyDescent="0.2">
      <c r="B270" s="739"/>
      <c r="C270" s="740"/>
      <c r="D270" s="2654"/>
      <c r="E270" s="2560"/>
      <c r="F270" s="1218"/>
      <c r="G270" s="1179"/>
      <c r="H270" s="744"/>
      <c r="I270" s="741"/>
    </row>
    <row r="271" spans="2:9" s="723" customFormat="1" x14ac:dyDescent="0.2">
      <c r="B271" s="739"/>
      <c r="C271" s="740"/>
      <c r="D271" s="2654"/>
      <c r="E271" s="2560"/>
      <c r="F271" s="1218"/>
      <c r="G271" s="1179"/>
      <c r="H271" s="744"/>
      <c r="I271" s="741"/>
    </row>
    <row r="272" spans="2:9" s="723" customFormat="1" ht="12.75" customHeight="1" x14ac:dyDescent="0.2">
      <c r="B272" s="739"/>
      <c r="C272" s="740"/>
      <c r="D272" s="2654"/>
      <c r="E272" s="2560"/>
      <c r="F272" s="1218"/>
      <c r="G272" s="1179"/>
      <c r="H272" s="744"/>
      <c r="I272" s="741"/>
    </row>
    <row r="273" spans="2:10" s="723" customFormat="1" x14ac:dyDescent="0.2">
      <c r="B273" s="739"/>
      <c r="C273" s="740"/>
      <c r="D273" s="2654"/>
      <c r="E273" s="2560"/>
      <c r="F273" s="1218"/>
      <c r="G273" s="1179"/>
      <c r="H273" s="744"/>
      <c r="I273" s="741"/>
    </row>
    <row r="274" spans="2:10" s="723" customFormat="1" x14ac:dyDescent="0.2">
      <c r="B274" s="739"/>
      <c r="C274" s="740"/>
      <c r="D274" s="2654"/>
      <c r="E274" s="2560"/>
      <c r="F274" s="1218"/>
      <c r="G274" s="1179"/>
      <c r="H274" s="744"/>
      <c r="I274" s="741"/>
    </row>
    <row r="275" spans="2:10" s="723" customFormat="1" x14ac:dyDescent="0.2">
      <c r="B275" s="739"/>
      <c r="C275" s="740"/>
      <c r="D275" s="2654"/>
      <c r="E275" s="2560"/>
      <c r="F275" s="1218"/>
      <c r="G275" s="1179"/>
      <c r="H275" s="744"/>
      <c r="I275" s="741"/>
    </row>
    <row r="276" spans="2:10" s="723" customFormat="1" x14ac:dyDescent="0.2">
      <c r="B276" s="739"/>
      <c r="C276" s="740"/>
      <c r="D276" s="2654"/>
      <c r="E276" s="2560"/>
      <c r="F276" s="1218"/>
      <c r="G276" s="1179"/>
      <c r="H276" s="744"/>
      <c r="I276" s="741"/>
    </row>
    <row r="277" spans="2:10" s="723" customFormat="1" x14ac:dyDescent="0.2">
      <c r="B277" s="739"/>
      <c r="C277" s="740"/>
      <c r="D277" s="2654"/>
      <c r="E277" s="2560"/>
      <c r="F277" s="1218"/>
      <c r="G277" s="1179"/>
      <c r="H277" s="744"/>
      <c r="I277" s="741"/>
      <c r="J277" s="741"/>
    </row>
    <row r="278" spans="2:10" s="723" customFormat="1" x14ac:dyDescent="0.2">
      <c r="B278" s="739"/>
      <c r="C278" s="740"/>
      <c r="D278" s="2654"/>
      <c r="E278" s="2560"/>
      <c r="F278" s="1218"/>
      <c r="G278" s="1179"/>
      <c r="H278" s="744"/>
      <c r="I278" s="741"/>
      <c r="J278" s="741"/>
    </row>
    <row r="279" spans="2:10" s="723" customFormat="1" x14ac:dyDescent="0.2">
      <c r="B279" s="739"/>
      <c r="C279" s="740"/>
      <c r="D279" s="2654"/>
      <c r="E279" s="2560"/>
      <c r="F279" s="1218"/>
      <c r="G279" s="1179"/>
      <c r="H279" s="744"/>
      <c r="I279" s="741"/>
      <c r="J279" s="741"/>
    </row>
    <row r="280" spans="2:10" s="723" customFormat="1" x14ac:dyDescent="0.2">
      <c r="B280" s="739"/>
      <c r="C280" s="740"/>
      <c r="D280" s="2654"/>
      <c r="E280" s="2560"/>
      <c r="F280" s="1218"/>
      <c r="G280" s="1179"/>
      <c r="H280" s="744"/>
      <c r="I280" s="741"/>
      <c r="J280" s="741"/>
    </row>
    <row r="281" spans="2:10" s="723" customFormat="1" x14ac:dyDescent="0.2">
      <c r="B281" s="739"/>
      <c r="C281" s="740"/>
      <c r="D281" s="2654"/>
      <c r="E281" s="2560"/>
      <c r="F281" s="1218"/>
      <c r="G281" s="1179"/>
      <c r="H281" s="744"/>
      <c r="I281" s="741"/>
      <c r="J281" s="741"/>
    </row>
    <row r="282" spans="2:10" s="723" customFormat="1" x14ac:dyDescent="0.2">
      <c r="B282" s="739"/>
      <c r="C282" s="740"/>
      <c r="D282" s="2654"/>
      <c r="E282" s="2560"/>
      <c r="F282" s="1218"/>
      <c r="G282" s="1179"/>
      <c r="H282" s="744"/>
      <c r="I282" s="741"/>
      <c r="J282" s="741"/>
    </row>
    <row r="283" spans="2:10" s="723" customFormat="1" x14ac:dyDescent="0.2">
      <c r="B283" s="739"/>
      <c r="C283" s="740"/>
      <c r="D283" s="2654"/>
      <c r="E283" s="2560"/>
      <c r="F283" s="1218"/>
      <c r="G283" s="1179"/>
      <c r="H283" s="744"/>
      <c r="I283" s="741"/>
      <c r="J283" s="741"/>
    </row>
    <row r="284" spans="2:10" s="723" customFormat="1" x14ac:dyDescent="0.2">
      <c r="B284" s="739"/>
      <c r="C284" s="740"/>
      <c r="D284" s="2654"/>
      <c r="E284" s="2560"/>
      <c r="F284" s="1218"/>
      <c r="G284" s="1179"/>
      <c r="H284" s="744"/>
      <c r="I284" s="741"/>
      <c r="J284" s="741"/>
    </row>
    <row r="285" spans="2:10" s="723" customFormat="1" x14ac:dyDescent="0.2">
      <c r="B285" s="739"/>
      <c r="C285" s="740"/>
      <c r="D285" s="2654"/>
      <c r="E285" s="2560"/>
      <c r="F285" s="1218"/>
      <c r="G285" s="1179"/>
      <c r="H285" s="744"/>
      <c r="I285" s="741"/>
      <c r="J285" s="741"/>
    </row>
    <row r="286" spans="2:10" s="723" customFormat="1" x14ac:dyDescent="0.2">
      <c r="B286" s="739"/>
      <c r="C286" s="740"/>
      <c r="D286" s="2654"/>
      <c r="E286" s="2560"/>
      <c r="F286" s="1218"/>
      <c r="G286" s="1179"/>
      <c r="H286" s="744"/>
      <c r="I286" s="741"/>
      <c r="J286" s="741"/>
    </row>
    <row r="287" spans="2:10" s="723" customFormat="1" x14ac:dyDescent="0.2">
      <c r="B287" s="739"/>
      <c r="C287" s="740"/>
      <c r="D287" s="2654"/>
      <c r="E287" s="2560"/>
      <c r="F287" s="1218"/>
      <c r="G287" s="1179"/>
      <c r="H287" s="744"/>
      <c r="I287" s="741"/>
      <c r="J287" s="741"/>
    </row>
    <row r="288" spans="2:10" s="723" customFormat="1" x14ac:dyDescent="0.2">
      <c r="B288" s="739"/>
      <c r="C288" s="740"/>
      <c r="D288" s="2654"/>
      <c r="E288" s="2560"/>
      <c r="F288" s="1218"/>
      <c r="G288" s="1179"/>
      <c r="H288" s="744"/>
      <c r="I288" s="741"/>
      <c r="J288" s="741"/>
    </row>
    <row r="289" spans="2:15" s="723" customFormat="1" x14ac:dyDescent="0.2">
      <c r="B289" s="739"/>
      <c r="C289" s="740"/>
      <c r="D289" s="2654"/>
      <c r="E289" s="2560"/>
      <c r="F289" s="1218"/>
      <c r="G289" s="1179"/>
      <c r="H289" s="744"/>
      <c r="I289" s="741"/>
      <c r="J289" s="741"/>
    </row>
    <row r="290" spans="2:15" s="723" customFormat="1" x14ac:dyDescent="0.2">
      <c r="B290" s="739"/>
      <c r="C290" s="740"/>
      <c r="D290" s="2654"/>
      <c r="E290" s="2560"/>
      <c r="F290" s="1218"/>
      <c r="G290" s="1179"/>
      <c r="H290" s="744"/>
      <c r="I290" s="741"/>
      <c r="J290" s="992"/>
    </row>
    <row r="291" spans="2:15" s="723" customFormat="1" x14ac:dyDescent="0.2">
      <c r="B291" s="739"/>
      <c r="C291" s="740"/>
      <c r="D291" s="2654"/>
      <c r="E291" s="2560"/>
      <c r="F291" s="1218"/>
      <c r="G291" s="1179"/>
      <c r="H291" s="744"/>
      <c r="I291" s="741"/>
      <c r="J291" s="992"/>
    </row>
    <row r="292" spans="2:15" s="723" customFormat="1" x14ac:dyDescent="0.2">
      <c r="B292" s="739"/>
      <c r="C292" s="740"/>
      <c r="D292" s="2654"/>
      <c r="E292" s="2560"/>
      <c r="F292" s="1218"/>
      <c r="G292" s="1179"/>
      <c r="H292" s="744"/>
      <c r="I292" s="741"/>
      <c r="J292" s="741"/>
    </row>
    <row r="293" spans="2:15" s="723" customFormat="1" x14ac:dyDescent="0.2">
      <c r="B293" s="739"/>
      <c r="C293" s="740"/>
      <c r="D293" s="2654"/>
      <c r="E293" s="2560"/>
      <c r="F293" s="1218"/>
      <c r="G293" s="1179"/>
      <c r="H293" s="744"/>
      <c r="I293" s="741"/>
      <c r="J293" s="741"/>
    </row>
    <row r="294" spans="2:15" s="723" customFormat="1" x14ac:dyDescent="0.2">
      <c r="B294" s="739"/>
      <c r="C294" s="740"/>
      <c r="D294" s="2654"/>
      <c r="E294" s="2560"/>
      <c r="F294" s="1218"/>
      <c r="G294" s="1179"/>
      <c r="H294" s="744"/>
      <c r="I294" s="741"/>
      <c r="J294" s="741"/>
    </row>
    <row r="295" spans="2:15" s="723" customFormat="1" x14ac:dyDescent="0.2">
      <c r="B295" s="739"/>
      <c r="C295" s="740"/>
      <c r="D295" s="2654"/>
      <c r="E295" s="2560"/>
      <c r="F295" s="1218"/>
      <c r="G295" s="1179"/>
      <c r="H295" s="744"/>
      <c r="I295" s="741"/>
      <c r="J295" s="741"/>
    </row>
    <row r="296" spans="2:15" s="723" customFormat="1" x14ac:dyDescent="0.2">
      <c r="B296" s="739"/>
      <c r="C296" s="740"/>
      <c r="D296" s="2654"/>
      <c r="E296" s="2560"/>
      <c r="F296" s="1218"/>
      <c r="G296" s="1179"/>
      <c r="H296" s="744"/>
      <c r="I296" s="741"/>
      <c r="J296" s="741"/>
    </row>
    <row r="297" spans="2:15" s="723" customFormat="1" x14ac:dyDescent="0.2">
      <c r="B297" s="739"/>
      <c r="C297" s="740"/>
      <c r="D297" s="2654"/>
      <c r="E297" s="2560"/>
      <c r="F297" s="1218"/>
      <c r="G297" s="1179"/>
      <c r="H297" s="744"/>
      <c r="I297" s="741"/>
      <c r="J297" s="741"/>
      <c r="K297" s="741"/>
      <c r="L297" s="741"/>
    </row>
    <row r="298" spans="2:15" s="723" customFormat="1" x14ac:dyDescent="0.2">
      <c r="B298" s="739"/>
      <c r="C298" s="740"/>
      <c r="D298" s="2654"/>
      <c r="E298" s="2560"/>
      <c r="F298" s="1218"/>
      <c r="G298" s="1179"/>
      <c r="H298" s="744"/>
      <c r="I298" s="741"/>
      <c r="J298" s="741"/>
      <c r="K298" s="741"/>
      <c r="L298" s="741"/>
    </row>
    <row r="299" spans="2:15" s="723" customFormat="1" x14ac:dyDescent="0.2">
      <c r="B299" s="739"/>
      <c r="C299" s="740"/>
      <c r="D299" s="2654"/>
      <c r="E299" s="2560"/>
      <c r="F299" s="1218"/>
      <c r="G299" s="1179"/>
      <c r="H299" s="744"/>
      <c r="I299" s="741"/>
      <c r="J299" s="741"/>
      <c r="K299" s="741"/>
      <c r="L299" s="741"/>
    </row>
    <row r="300" spans="2:15" s="723" customFormat="1" x14ac:dyDescent="0.2">
      <c r="B300" s="739"/>
      <c r="C300" s="740"/>
      <c r="D300" s="2654"/>
      <c r="E300" s="2560"/>
      <c r="F300" s="1218"/>
      <c r="G300" s="1179"/>
      <c r="H300" s="744"/>
      <c r="I300" s="741"/>
      <c r="J300" s="741"/>
      <c r="K300" s="741"/>
      <c r="L300" s="741"/>
    </row>
    <row r="301" spans="2:15" s="723" customFormat="1" x14ac:dyDescent="0.2">
      <c r="B301" s="739"/>
      <c r="C301" s="740"/>
      <c r="D301" s="2654"/>
      <c r="E301" s="2560"/>
      <c r="F301" s="1218"/>
      <c r="G301" s="1179"/>
      <c r="H301" s="744"/>
      <c r="I301" s="741"/>
      <c r="J301" s="741"/>
      <c r="K301" s="741"/>
      <c r="L301" s="741"/>
      <c r="M301" s="741"/>
    </row>
    <row r="302" spans="2:15" s="723" customFormat="1" x14ac:dyDescent="0.2">
      <c r="B302" s="739"/>
      <c r="C302" s="740"/>
      <c r="D302" s="2654"/>
      <c r="E302" s="2560"/>
      <c r="F302" s="1218"/>
      <c r="G302" s="1179"/>
      <c r="H302" s="744"/>
      <c r="I302" s="741"/>
      <c r="J302" s="741"/>
      <c r="K302" s="741"/>
      <c r="L302" s="741"/>
      <c r="M302" s="741"/>
    </row>
    <row r="303" spans="2:15" s="723" customFormat="1" x14ac:dyDescent="0.2">
      <c r="B303" s="739"/>
      <c r="C303" s="740"/>
      <c r="D303" s="2654"/>
      <c r="E303" s="2560"/>
      <c r="F303" s="1218"/>
      <c r="G303" s="1179"/>
      <c r="H303" s="744"/>
      <c r="I303" s="741"/>
      <c r="J303" s="741"/>
      <c r="K303" s="741"/>
      <c r="L303" s="741"/>
      <c r="M303" s="741"/>
      <c r="N303" s="741"/>
      <c r="O303" s="741"/>
    </row>
    <row r="310" spans="2:15" x14ac:dyDescent="0.2">
      <c r="K310" s="992"/>
      <c r="L310" s="992"/>
    </row>
    <row r="311" spans="2:15" x14ac:dyDescent="0.2">
      <c r="K311" s="992"/>
      <c r="L311" s="992"/>
    </row>
    <row r="314" spans="2:15" x14ac:dyDescent="0.2">
      <c r="M314" s="992"/>
    </row>
    <row r="315" spans="2:15" x14ac:dyDescent="0.2">
      <c r="M315" s="992"/>
    </row>
    <row r="316" spans="2:15" x14ac:dyDescent="0.2">
      <c r="N316" s="992"/>
      <c r="O316" s="992"/>
    </row>
    <row r="317" spans="2:15" s="992" customFormat="1" x14ac:dyDescent="0.2">
      <c r="B317" s="739"/>
      <c r="C317" s="740"/>
      <c r="D317" s="2654"/>
      <c r="E317" s="2560"/>
      <c r="F317" s="1218"/>
      <c r="G317" s="1179"/>
      <c r="H317" s="744"/>
      <c r="I317" s="741"/>
      <c r="J317" s="741"/>
      <c r="K317" s="741"/>
      <c r="L317" s="741"/>
      <c r="M317" s="741"/>
    </row>
    <row r="318" spans="2:15" s="992" customFormat="1" x14ac:dyDescent="0.2">
      <c r="B318" s="739"/>
      <c r="C318" s="740"/>
      <c r="D318" s="2654"/>
      <c r="E318" s="2560"/>
      <c r="F318" s="1218"/>
      <c r="G318" s="1179"/>
      <c r="H318" s="744"/>
      <c r="I318" s="741"/>
      <c r="J318" s="741"/>
      <c r="K318" s="741"/>
      <c r="L318" s="741"/>
      <c r="M318" s="741"/>
      <c r="N318" s="741"/>
      <c r="O318" s="741"/>
    </row>
    <row r="323" ht="43.5" customHeight="1" x14ac:dyDescent="0.2"/>
  </sheetData>
  <mergeCells count="5">
    <mergeCell ref="C6:F6"/>
    <mergeCell ref="B57:G57"/>
    <mergeCell ref="B112:G112"/>
    <mergeCell ref="B113:G113"/>
    <mergeCell ref="B114:G114"/>
  </mergeCells>
  <pageMargins left="0.7" right="0.7" top="0.75" bottom="0.75" header="0.3" footer="0.3"/>
  <pageSetup paperSize="9" orientation="portrait" r:id="rId1"/>
  <headerFooter alignWithMargins="0"/>
  <rowBreaks count="4" manualBreakCount="4">
    <brk id="19" max="16383" man="1"/>
    <brk id="55" max="16383" man="1"/>
    <brk id="112" max="16383" man="1"/>
    <brk id="157"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80AC-9EB9-4573-9E93-69F6F13FDF14}">
  <sheetPr codeName="Sheet63">
    <tabColor rgb="FF0070C0"/>
  </sheetPr>
  <dimension ref="B1:S354"/>
  <sheetViews>
    <sheetView topLeftCell="A88" zoomScaleNormal="100" zoomScaleSheetLayoutView="85" workbookViewId="0">
      <selection activeCell="C91" sqref="C91"/>
    </sheetView>
  </sheetViews>
  <sheetFormatPr defaultColWidth="10.42578125" defaultRowHeight="12.75" x14ac:dyDescent="0.2"/>
  <cols>
    <col min="1" max="1" width="5.7109375" style="741" customWidth="1"/>
    <col min="2" max="2" width="7.42578125" style="739" customWidth="1"/>
    <col min="3" max="3" width="30.5703125" style="740" customWidth="1"/>
    <col min="4" max="4" width="9.85546875" style="2654" customWidth="1"/>
    <col min="5" max="5" width="12.85546875" style="2610" customWidth="1"/>
    <col min="6" max="6" width="13.28515625" style="2611" customWidth="1"/>
    <col min="7" max="7" width="16.5703125" style="2612"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2561"/>
    </row>
    <row r="2" spans="2:8" s="121" customFormat="1" ht="24.75" customHeight="1" x14ac:dyDescent="0.2">
      <c r="B2" s="137"/>
      <c r="C2" s="354" t="s">
        <v>59</v>
      </c>
      <c r="D2" s="155"/>
      <c r="E2" s="156"/>
      <c r="F2" s="157"/>
      <c r="G2" s="355" t="s">
        <v>60</v>
      </c>
      <c r="H2" s="122"/>
    </row>
    <row r="3" spans="2:8" x14ac:dyDescent="0.2">
      <c r="B3" s="120"/>
      <c r="C3" s="188"/>
      <c r="D3" s="189"/>
      <c r="E3" s="464"/>
      <c r="F3" s="465"/>
      <c r="G3" s="463"/>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31" t="s">
        <v>1277</v>
      </c>
      <c r="D6" s="3232"/>
      <c r="E6" s="3232"/>
      <c r="F6" s="3232"/>
      <c r="G6" s="760"/>
    </row>
    <row r="7" spans="2:8" ht="15" customHeight="1" x14ac:dyDescent="0.2">
      <c r="B7" s="761"/>
      <c r="C7" s="767"/>
      <c r="D7" s="768"/>
      <c r="E7" s="769"/>
      <c r="F7" s="770"/>
      <c r="G7" s="771"/>
    </row>
    <row r="8" spans="2:8" x14ac:dyDescent="0.2">
      <c r="B8" s="2853" t="s">
        <v>1</v>
      </c>
      <c r="C8" s="2854"/>
      <c r="D8" s="2855"/>
      <c r="E8" s="2855"/>
      <c r="F8" s="2855"/>
      <c r="G8" s="2856"/>
    </row>
    <row r="9" spans="2:8" x14ac:dyDescent="0.2">
      <c r="B9" s="2857" t="s">
        <v>2</v>
      </c>
      <c r="C9" s="2858"/>
      <c r="D9" s="2859"/>
      <c r="E9" s="2860"/>
      <c r="F9" s="2860"/>
      <c r="G9" s="2859"/>
    </row>
    <row r="10" spans="2:8" x14ac:dyDescent="0.2">
      <c r="B10" s="2853" t="s">
        <v>3</v>
      </c>
      <c r="C10" s="2854"/>
      <c r="D10" s="2855"/>
      <c r="E10" s="2855"/>
      <c r="F10" s="2855"/>
      <c r="G10" s="2856"/>
    </row>
    <row r="11" spans="2:8" x14ac:dyDescent="0.2">
      <c r="B11" s="2857" t="s">
        <v>4</v>
      </c>
      <c r="C11" s="2858"/>
      <c r="D11" s="2860"/>
      <c r="E11" s="2860"/>
      <c r="F11" s="2860"/>
      <c r="G11" s="2859"/>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998">
        <f>G49</f>
        <v>0</v>
      </c>
    </row>
    <row r="16" spans="2:8" ht="25.5" x14ac:dyDescent="0.2">
      <c r="B16" s="792" t="s">
        <v>12</v>
      </c>
      <c r="C16" s="793" t="s">
        <v>86</v>
      </c>
      <c r="D16" s="794"/>
      <c r="E16" s="795"/>
      <c r="F16" s="796"/>
      <c r="G16" s="998">
        <f>G109</f>
        <v>0</v>
      </c>
    </row>
    <row r="17" spans="2:18" x14ac:dyDescent="0.2">
      <c r="B17" s="792" t="s">
        <v>17</v>
      </c>
      <c r="C17" s="793" t="s">
        <v>87</v>
      </c>
      <c r="D17" s="794"/>
      <c r="E17" s="795"/>
      <c r="F17" s="796"/>
      <c r="G17" s="998">
        <f>G254</f>
        <v>0</v>
      </c>
    </row>
    <row r="18" spans="2:18" x14ac:dyDescent="0.2">
      <c r="B18" s="2830"/>
      <c r="C18" s="2831" t="s">
        <v>88</v>
      </c>
      <c r="D18" s="2832"/>
      <c r="E18" s="2833"/>
      <c r="F18" s="2834"/>
      <c r="G18" s="2835">
        <f>SUM(G15:G17)</f>
        <v>0</v>
      </c>
    </row>
    <row r="19" spans="2:18" x14ac:dyDescent="0.2">
      <c r="B19" s="798"/>
      <c r="C19" s="799"/>
      <c r="D19" s="2655"/>
      <c r="E19" s="2613"/>
      <c r="F19" s="2609"/>
      <c r="G19" s="2614"/>
    </row>
    <row r="20" spans="2:18" x14ac:dyDescent="0.2">
      <c r="G20" s="2615"/>
    </row>
    <row r="21" spans="2:18" ht="24" x14ac:dyDescent="0.2">
      <c r="B21" s="2836" t="s">
        <v>83</v>
      </c>
      <c r="C21" s="2837" t="s">
        <v>89</v>
      </c>
      <c r="D21" s="2744" t="s">
        <v>90</v>
      </c>
      <c r="E21" s="2845" t="s">
        <v>91</v>
      </c>
      <c r="F21" s="2846" t="s">
        <v>92</v>
      </c>
      <c r="G21" s="2847" t="s">
        <v>93</v>
      </c>
    </row>
    <row r="22" spans="2:18" x14ac:dyDescent="0.2">
      <c r="B22" s="129"/>
      <c r="C22" s="197"/>
      <c r="D22" s="198"/>
      <c r="E22" s="353"/>
      <c r="F22" s="358"/>
      <c r="G22" s="350"/>
    </row>
    <row r="23" spans="2:18" ht="20.25" x14ac:dyDescent="0.2">
      <c r="B23" s="686" t="s">
        <v>10</v>
      </c>
      <c r="C23" s="687" t="s">
        <v>85</v>
      </c>
      <c r="D23" s="688"/>
      <c r="E23" s="689"/>
      <c r="F23" s="690"/>
      <c r="G23" s="691"/>
    </row>
    <row r="24" spans="2:18" ht="20.25" x14ac:dyDescent="0.2">
      <c r="B24" s="1002"/>
      <c r="C24" s="1003"/>
      <c r="D24" s="1004"/>
      <c r="E24" s="1005"/>
      <c r="F24" s="1006"/>
      <c r="G24" s="1007"/>
    </row>
    <row r="25" spans="2:18" s="130" customFormat="1" ht="38.25" x14ac:dyDescent="0.2">
      <c r="B25" s="829">
        <v>1.1000000000000001</v>
      </c>
      <c r="C25" s="1008" t="s">
        <v>94</v>
      </c>
      <c r="D25" s="152" t="s">
        <v>95</v>
      </c>
      <c r="E25" s="1009">
        <v>3190</v>
      </c>
      <c r="F25" s="1010">
        <v>0</v>
      </c>
      <c r="G25" s="1011">
        <f>E25*F25</f>
        <v>0</v>
      </c>
    </row>
    <row r="26" spans="2:18" s="130" customFormat="1" x14ac:dyDescent="0.2">
      <c r="B26" s="829"/>
      <c r="C26" s="1008"/>
      <c r="D26" s="152"/>
      <c r="E26" s="1009"/>
      <c r="F26" s="1010"/>
      <c r="G26" s="1011"/>
    </row>
    <row r="27" spans="2:18" ht="206.25" customHeight="1" x14ac:dyDescent="0.2">
      <c r="B27" s="835">
        <v>1.1000000000000001</v>
      </c>
      <c r="C27" s="1012" t="s">
        <v>99</v>
      </c>
      <c r="D27" s="2121" t="s">
        <v>123</v>
      </c>
      <c r="E27" s="2122">
        <v>1</v>
      </c>
      <c r="F27" s="1010">
        <v>0</v>
      </c>
      <c r="G27" s="2105">
        <f>F27*E27</f>
        <v>0</v>
      </c>
    </row>
    <row r="28" spans="2:18" x14ac:dyDescent="0.2">
      <c r="B28" s="840"/>
      <c r="C28" s="841"/>
      <c r="D28" s="653"/>
      <c r="E28" s="2119"/>
      <c r="F28" s="1011"/>
      <c r="G28" s="2105"/>
    </row>
    <row r="29" spans="2:18" ht="38.25" x14ac:dyDescent="0.2">
      <c r="B29" s="845">
        <v>1.2</v>
      </c>
      <c r="C29" s="841" t="s">
        <v>1135</v>
      </c>
      <c r="D29" s="2124" t="s">
        <v>95</v>
      </c>
      <c r="E29" s="1009">
        <v>3190</v>
      </c>
      <c r="F29" s="1010">
        <v>0</v>
      </c>
      <c r="G29" s="2105">
        <f>F29*E29</f>
        <v>0</v>
      </c>
    </row>
    <row r="30" spans="2:18" x14ac:dyDescent="0.2">
      <c r="B30" s="845"/>
      <c r="C30" s="848"/>
      <c r="D30" s="2124"/>
      <c r="E30" s="2119"/>
      <c r="F30" s="1011"/>
      <c r="G30" s="2105"/>
    </row>
    <row r="31" spans="2:18" ht="25.5" x14ac:dyDescent="0.2">
      <c r="B31" s="845">
        <v>1.3</v>
      </c>
      <c r="C31" s="841" t="s">
        <v>96</v>
      </c>
      <c r="D31" s="2124" t="s">
        <v>123</v>
      </c>
      <c r="E31" s="2119">
        <v>125</v>
      </c>
      <c r="F31" s="1010">
        <v>0</v>
      </c>
      <c r="G31" s="2105">
        <f>F31*E31</f>
        <v>0</v>
      </c>
      <c r="M31" s="849"/>
      <c r="N31" s="850"/>
      <c r="O31" s="851"/>
      <c r="P31" s="1016"/>
      <c r="Q31" s="1017"/>
      <c r="R31" s="1018"/>
    </row>
    <row r="32" spans="2:18" x14ac:dyDescent="0.2">
      <c r="B32" s="855"/>
      <c r="C32" s="841"/>
      <c r="D32" s="653"/>
      <c r="E32" s="2119"/>
      <c r="F32" s="1011"/>
      <c r="G32" s="2105"/>
    </row>
    <row r="33" spans="2:18" ht="80.25" customHeight="1" x14ac:dyDescent="0.2">
      <c r="B33" s="856" t="s">
        <v>641</v>
      </c>
      <c r="C33" s="841" t="s">
        <v>97</v>
      </c>
      <c r="D33" s="2124" t="s">
        <v>123</v>
      </c>
      <c r="E33" s="2119">
        <v>1</v>
      </c>
      <c r="F33" s="1010">
        <v>0</v>
      </c>
      <c r="G33" s="2105">
        <f>F33*E33</f>
        <v>0</v>
      </c>
    </row>
    <row r="34" spans="2:18" x14ac:dyDescent="0.2">
      <c r="B34" s="845"/>
      <c r="C34" s="848"/>
      <c r="D34" s="2126"/>
      <c r="E34" s="2119"/>
      <c r="F34" s="1011"/>
      <c r="G34" s="2105"/>
      <c r="M34" s="858"/>
      <c r="N34" s="1019"/>
      <c r="O34" s="860"/>
      <c r="P34" s="993"/>
      <c r="Q34" s="1017"/>
      <c r="R34" s="1018"/>
    </row>
    <row r="35" spans="2:18" ht="25.5" x14ac:dyDescent="0.2">
      <c r="B35" s="856" t="s">
        <v>664</v>
      </c>
      <c r="C35" s="841" t="s">
        <v>1136</v>
      </c>
      <c r="D35" s="653" t="s">
        <v>123</v>
      </c>
      <c r="E35" s="2119">
        <v>1</v>
      </c>
      <c r="F35" s="1010">
        <v>0</v>
      </c>
      <c r="G35" s="2105">
        <f>F35*E35</f>
        <v>0</v>
      </c>
    </row>
    <row r="36" spans="2:18" x14ac:dyDescent="0.2">
      <c r="B36" s="856"/>
      <c r="C36" s="841"/>
      <c r="D36" s="653"/>
      <c r="E36" s="2119"/>
      <c r="F36" s="1011"/>
      <c r="G36" s="2105"/>
    </row>
    <row r="37" spans="2:18" ht="51" x14ac:dyDescent="0.2">
      <c r="B37" s="861" t="s">
        <v>678</v>
      </c>
      <c r="C37" s="1020" t="s">
        <v>1137</v>
      </c>
      <c r="D37" s="865" t="s">
        <v>123</v>
      </c>
      <c r="E37" s="2122">
        <v>1</v>
      </c>
      <c r="F37" s="1010">
        <v>0</v>
      </c>
      <c r="G37" s="2105">
        <f>E37*F37</f>
        <v>0</v>
      </c>
    </row>
    <row r="38" spans="2:18" x14ac:dyDescent="0.2">
      <c r="B38" s="840"/>
      <c r="C38" s="841"/>
      <c r="D38" s="653"/>
      <c r="E38" s="2119"/>
      <c r="F38" s="1011"/>
      <c r="G38" s="2105"/>
    </row>
    <row r="39" spans="2:18" ht="40.5" customHeight="1" x14ac:dyDescent="0.2">
      <c r="B39" s="856" t="s">
        <v>688</v>
      </c>
      <c r="C39" s="841" t="s">
        <v>100</v>
      </c>
      <c r="D39" s="653" t="s">
        <v>123</v>
      </c>
      <c r="E39" s="2119">
        <v>1</v>
      </c>
      <c r="F39" s="1010">
        <v>0</v>
      </c>
      <c r="G39" s="2105">
        <f>F39*E39</f>
        <v>0</v>
      </c>
    </row>
    <row r="40" spans="2:18" ht="12" customHeight="1" x14ac:dyDescent="0.2">
      <c r="B40" s="856"/>
      <c r="C40" s="841"/>
      <c r="D40" s="653"/>
      <c r="E40" s="2119"/>
      <c r="F40" s="1011"/>
      <c r="G40" s="2105"/>
    </row>
    <row r="41" spans="2:18" ht="48" customHeight="1" x14ac:dyDescent="0.2">
      <c r="B41" s="861" t="s">
        <v>688</v>
      </c>
      <c r="C41" s="3165" t="s">
        <v>2590</v>
      </c>
      <c r="D41" s="865" t="s">
        <v>95</v>
      </c>
      <c r="E41" s="1009">
        <v>3190</v>
      </c>
      <c r="F41" s="1010">
        <v>0</v>
      </c>
      <c r="G41" s="2105">
        <f t="shared" ref="G41:G45" si="0">F41*E41</f>
        <v>0</v>
      </c>
    </row>
    <row r="42" spans="2:18" ht="11.25" customHeight="1" x14ac:dyDescent="0.2">
      <c r="B42" s="861"/>
      <c r="C42" s="864"/>
      <c r="D42" s="865"/>
      <c r="E42" s="1009"/>
      <c r="F42" s="1011"/>
      <c r="G42" s="2105"/>
    </row>
    <row r="43" spans="2:18" ht="40.5" customHeight="1" x14ac:dyDescent="0.2">
      <c r="B43" s="861" t="s">
        <v>1199</v>
      </c>
      <c r="C43" s="3165" t="s">
        <v>2591</v>
      </c>
      <c r="D43" s="865" t="s">
        <v>98</v>
      </c>
      <c r="E43" s="1009">
        <v>1</v>
      </c>
      <c r="F43" s="1010">
        <v>0</v>
      </c>
      <c r="G43" s="2105">
        <f t="shared" si="0"/>
        <v>0</v>
      </c>
    </row>
    <row r="44" spans="2:18" ht="9" customHeight="1" x14ac:dyDescent="0.2">
      <c r="B44" s="861"/>
      <c r="C44" s="864"/>
      <c r="D44" s="865"/>
      <c r="E44" s="1009"/>
      <c r="F44" s="1011"/>
      <c r="G44" s="2105"/>
    </row>
    <row r="45" spans="2:18" ht="30.75" customHeight="1" x14ac:dyDescent="0.2">
      <c r="B45" s="861" t="s">
        <v>1201</v>
      </c>
      <c r="C45" s="864" t="s">
        <v>105</v>
      </c>
      <c r="D45" s="865" t="s">
        <v>98</v>
      </c>
      <c r="E45" s="1009">
        <v>1</v>
      </c>
      <c r="F45" s="1010">
        <v>0</v>
      </c>
      <c r="G45" s="2105">
        <f t="shared" si="0"/>
        <v>0</v>
      </c>
    </row>
    <row r="46" spans="2:18" ht="13.5" customHeight="1" x14ac:dyDescent="0.2">
      <c r="B46" s="861"/>
      <c r="C46" s="864"/>
      <c r="D46" s="865"/>
      <c r="E46" s="1009"/>
      <c r="F46" s="1011"/>
      <c r="G46" s="2105"/>
    </row>
    <row r="47" spans="2:18" ht="72.75" customHeight="1" x14ac:dyDescent="0.2">
      <c r="B47" s="861" t="s">
        <v>1202</v>
      </c>
      <c r="C47" s="864" t="s">
        <v>102</v>
      </c>
      <c r="D47" s="210" t="s">
        <v>98</v>
      </c>
      <c r="E47" s="353">
        <v>1</v>
      </c>
      <c r="F47" s="1010">
        <v>0</v>
      </c>
      <c r="G47" s="1022">
        <f>E47*F47</f>
        <v>0</v>
      </c>
    </row>
    <row r="48" spans="2:18" ht="14.25" customHeight="1" x14ac:dyDescent="0.2">
      <c r="B48" s="861"/>
      <c r="C48" s="864"/>
      <c r="D48" s="210"/>
      <c r="E48" s="353"/>
      <c r="F48" s="1021"/>
      <c r="G48" s="1022"/>
    </row>
    <row r="49" spans="2:16" x14ac:dyDescent="0.2">
      <c r="B49" s="1025" t="s">
        <v>10</v>
      </c>
      <c r="C49" s="1026" t="s">
        <v>108</v>
      </c>
      <c r="D49" s="1026"/>
      <c r="E49" s="1027"/>
      <c r="F49" s="1028"/>
      <c r="G49" s="1029">
        <f>SUM(G25:G48)</f>
        <v>0</v>
      </c>
    </row>
    <row r="52" spans="2:16" ht="24" x14ac:dyDescent="0.2">
      <c r="B52" s="680" t="s">
        <v>83</v>
      </c>
      <c r="C52" s="681" t="s">
        <v>89</v>
      </c>
      <c r="D52" s="682" t="s">
        <v>90</v>
      </c>
      <c r="E52" s="683" t="s">
        <v>91</v>
      </c>
      <c r="F52" s="684" t="s">
        <v>92</v>
      </c>
      <c r="G52" s="685" t="s">
        <v>93</v>
      </c>
    </row>
    <row r="53" spans="2:16" x14ac:dyDescent="0.2">
      <c r="B53" s="129"/>
      <c r="C53" s="217"/>
      <c r="D53" s="207"/>
      <c r="E53" s="353"/>
      <c r="F53" s="358"/>
      <c r="G53" s="350"/>
    </row>
    <row r="54" spans="2:16" ht="20.25" x14ac:dyDescent="0.3">
      <c r="B54" s="686" t="s">
        <v>12</v>
      </c>
      <c r="C54" s="693" t="s">
        <v>109</v>
      </c>
      <c r="D54" s="694"/>
      <c r="E54" s="689"/>
      <c r="F54" s="690"/>
      <c r="G54" s="691"/>
    </row>
    <row r="55" spans="2:16" ht="84.75" customHeight="1" x14ac:dyDescent="0.2">
      <c r="B55" s="3226" t="s">
        <v>110</v>
      </c>
      <c r="C55" s="3227"/>
      <c r="D55" s="3227"/>
      <c r="E55" s="3227"/>
      <c r="F55" s="3227"/>
      <c r="G55" s="3228"/>
    </row>
    <row r="56" spans="2:16" ht="12.75" customHeight="1" x14ac:dyDescent="0.2">
      <c r="B56" s="802"/>
      <c r="C56" s="799"/>
    </row>
    <row r="57" spans="2:16" ht="38.25" x14ac:dyDescent="0.2">
      <c r="B57" s="840" t="s">
        <v>1205</v>
      </c>
      <c r="C57" s="841" t="s">
        <v>1206</v>
      </c>
      <c r="D57" s="653" t="s">
        <v>1207</v>
      </c>
      <c r="E57" s="2119">
        <v>70</v>
      </c>
      <c r="F57" s="1010">
        <v>0</v>
      </c>
      <c r="G57" s="2105">
        <f>F57*E57</f>
        <v>0</v>
      </c>
      <c r="J57" s="881"/>
      <c r="L57" s="744"/>
      <c r="N57" s="881"/>
      <c r="O57" s="881"/>
      <c r="P57" s="881"/>
    </row>
    <row r="58" spans="2:16" ht="13.5" customHeight="1" x14ac:dyDescent="0.2">
      <c r="B58" s="840"/>
      <c r="C58" s="841"/>
      <c r="D58" s="653"/>
      <c r="E58" s="2119"/>
      <c r="F58" s="1011"/>
      <c r="G58" s="2105"/>
      <c r="J58" s="881"/>
    </row>
    <row r="59" spans="2:16" ht="64.5" customHeight="1" x14ac:dyDescent="0.2">
      <c r="B59" s="840">
        <v>2.2000000000000002</v>
      </c>
      <c r="C59" s="841" t="s">
        <v>1208</v>
      </c>
      <c r="D59" s="2124" t="s">
        <v>1207</v>
      </c>
      <c r="E59" s="2119">
        <f>(3315)*0.8*1.3*0.1</f>
        <v>344.76</v>
      </c>
      <c r="F59" s="1010">
        <v>0</v>
      </c>
      <c r="G59" s="2105">
        <f>F59*E59</f>
        <v>0</v>
      </c>
    </row>
    <row r="60" spans="2:16" ht="12.75" customHeight="1" x14ac:dyDescent="0.2">
      <c r="B60" s="845"/>
      <c r="C60" s="882"/>
      <c r="D60" s="2124"/>
      <c r="E60" s="2119"/>
      <c r="F60" s="1011"/>
      <c r="G60" s="2105"/>
    </row>
    <row r="61" spans="2:16" ht="63.75" x14ac:dyDescent="0.2">
      <c r="B61" s="840">
        <v>2.2999999999999998</v>
      </c>
      <c r="C61" s="841" t="s">
        <v>1209</v>
      </c>
      <c r="D61" s="653" t="s">
        <v>112</v>
      </c>
      <c r="E61" s="2119">
        <f>(3315)*0.8*1.3*0.9+40</f>
        <v>3142.84</v>
      </c>
      <c r="F61" s="1010">
        <v>0</v>
      </c>
      <c r="G61" s="2105">
        <f>F61*E61</f>
        <v>0</v>
      </c>
      <c r="I61" s="744"/>
    </row>
    <row r="62" spans="2:16" x14ac:dyDescent="0.2">
      <c r="B62" s="840"/>
      <c r="C62" s="841"/>
      <c r="D62" s="653"/>
      <c r="E62" s="2119"/>
      <c r="F62" s="1011"/>
      <c r="G62" s="2105"/>
      <c r="I62" s="744"/>
    </row>
    <row r="63" spans="2:16" ht="38.25" x14ac:dyDescent="0.2">
      <c r="B63" s="883" t="s">
        <v>1210</v>
      </c>
      <c r="C63" s="884" t="s">
        <v>1211</v>
      </c>
      <c r="D63" s="2230" t="s">
        <v>117</v>
      </c>
      <c r="E63" s="2669">
        <f>(3315)*1.2*2*0.35</f>
        <v>2784.6</v>
      </c>
      <c r="F63" s="1010">
        <v>0</v>
      </c>
      <c r="G63" s="2105">
        <f>F63*E63</f>
        <v>0</v>
      </c>
    </row>
    <row r="64" spans="2:16" x14ac:dyDescent="0.2">
      <c r="B64" s="840"/>
      <c r="C64" s="841"/>
      <c r="D64" s="653"/>
      <c r="E64" s="2119"/>
      <c r="F64" s="1011"/>
      <c r="G64" s="2105"/>
    </row>
    <row r="65" spans="2:18" ht="38.25" x14ac:dyDescent="0.2">
      <c r="B65" s="840">
        <v>2.5</v>
      </c>
      <c r="C65" s="841" t="s">
        <v>1212</v>
      </c>
      <c r="D65" s="653" t="s">
        <v>1213</v>
      </c>
      <c r="E65" s="2119">
        <f>(3315)*0.8</f>
        <v>2652</v>
      </c>
      <c r="F65" s="1010">
        <v>0</v>
      </c>
      <c r="G65" s="2105">
        <f>F65*E65</f>
        <v>0</v>
      </c>
    </row>
    <row r="66" spans="2:18" x14ac:dyDescent="0.2">
      <c r="B66" s="840"/>
      <c r="C66" s="841"/>
      <c r="D66" s="653"/>
      <c r="E66" s="2119"/>
      <c r="F66" s="1011"/>
      <c r="G66" s="2105"/>
    </row>
    <row r="67" spans="2:18" ht="45" customHeight="1" x14ac:dyDescent="0.2">
      <c r="B67" s="840">
        <v>2.6</v>
      </c>
      <c r="C67" s="841" t="s">
        <v>1216</v>
      </c>
      <c r="D67" s="653" t="s">
        <v>1207</v>
      </c>
      <c r="E67" s="2119">
        <f>E59+E61-E69-E71</f>
        <v>1631.2000000000005</v>
      </c>
      <c r="F67" s="1010">
        <v>0</v>
      </c>
      <c r="G67" s="2105">
        <f>F67*E67</f>
        <v>0</v>
      </c>
      <c r="I67" s="744"/>
    </row>
    <row r="68" spans="2:18" ht="13.5" customHeight="1" x14ac:dyDescent="0.2">
      <c r="B68" s="840"/>
      <c r="C68" s="841"/>
      <c r="D68" s="653"/>
      <c r="E68" s="2119"/>
      <c r="F68" s="1011"/>
      <c r="G68" s="2105"/>
      <c r="I68" s="744"/>
    </row>
    <row r="69" spans="2:18" ht="41.25" customHeight="1" x14ac:dyDescent="0.2">
      <c r="B69" s="840">
        <v>2.7</v>
      </c>
      <c r="C69" s="841" t="s">
        <v>1217</v>
      </c>
      <c r="D69" s="653" t="s">
        <v>1207</v>
      </c>
      <c r="E69" s="2119">
        <f>(3315)*0.8*0.3</f>
        <v>795.6</v>
      </c>
      <c r="F69" s="1010">
        <v>0</v>
      </c>
      <c r="G69" s="2105">
        <f>F69*E69</f>
        <v>0</v>
      </c>
      <c r="P69" s="744"/>
    </row>
    <row r="70" spans="2:18" ht="13.5" customHeight="1" x14ac:dyDescent="0.2">
      <c r="B70" s="840"/>
      <c r="C70" s="841"/>
      <c r="D70" s="653"/>
      <c r="E70" s="2119"/>
      <c r="F70" s="1011"/>
      <c r="G70" s="2105"/>
      <c r="P70" s="744"/>
    </row>
    <row r="71" spans="2:18" ht="68.25" customHeight="1" x14ac:dyDescent="0.2">
      <c r="B71" s="835">
        <v>2.8</v>
      </c>
      <c r="C71" s="890" t="s">
        <v>1278</v>
      </c>
      <c r="D71" s="2100" t="s">
        <v>1219</v>
      </c>
      <c r="E71" s="2119">
        <f>3315*0.4*0.8</f>
        <v>1060.8</v>
      </c>
      <c r="F71" s="1010">
        <v>0</v>
      </c>
      <c r="G71" s="2105">
        <f>E71*F71</f>
        <v>0</v>
      </c>
      <c r="P71" s="744"/>
    </row>
    <row r="72" spans="2:18" ht="15" customHeight="1" x14ac:dyDescent="0.2">
      <c r="B72" s="840"/>
      <c r="C72" s="841"/>
      <c r="D72" s="653"/>
      <c r="E72" s="2119"/>
      <c r="F72" s="1011"/>
      <c r="G72" s="2105"/>
    </row>
    <row r="73" spans="2:18" ht="25.5" x14ac:dyDescent="0.2">
      <c r="B73" s="840">
        <v>2.9</v>
      </c>
      <c r="C73" s="841" t="s">
        <v>1221</v>
      </c>
      <c r="D73" s="653" t="s">
        <v>112</v>
      </c>
      <c r="E73" s="2119">
        <f>E57+E59+E61-E67</f>
        <v>1926.3999999999999</v>
      </c>
      <c r="F73" s="1010">
        <v>0</v>
      </c>
      <c r="G73" s="2105">
        <f>F73*E73</f>
        <v>0</v>
      </c>
      <c r="I73" s="888"/>
    </row>
    <row r="74" spans="2:18" x14ac:dyDescent="0.2">
      <c r="B74" s="840"/>
      <c r="C74" s="841"/>
      <c r="D74" s="653"/>
      <c r="E74" s="2119"/>
      <c r="F74" s="1011"/>
      <c r="G74" s="2105"/>
    </row>
    <row r="75" spans="2:18" ht="25.5" x14ac:dyDescent="0.2">
      <c r="B75" s="892" t="s">
        <v>1220</v>
      </c>
      <c r="C75" s="841" t="s">
        <v>1223</v>
      </c>
      <c r="D75" s="653" t="s">
        <v>112</v>
      </c>
      <c r="E75" s="2119">
        <v>2241.6</v>
      </c>
      <c r="F75" s="1010">
        <v>0</v>
      </c>
      <c r="G75" s="2105">
        <f>F75*E75</f>
        <v>0</v>
      </c>
    </row>
    <row r="76" spans="2:18" x14ac:dyDescent="0.2">
      <c r="B76" s="840"/>
      <c r="C76" s="841"/>
      <c r="D76" s="653"/>
      <c r="E76" s="2119"/>
      <c r="F76" s="1011"/>
      <c r="G76" s="2105"/>
    </row>
    <row r="77" spans="2:18" ht="29.25" customHeight="1" x14ac:dyDescent="0.2">
      <c r="B77" s="892" t="s">
        <v>1222</v>
      </c>
      <c r="C77" s="841" t="s">
        <v>1225</v>
      </c>
      <c r="D77" s="653" t="s">
        <v>1226</v>
      </c>
      <c r="E77" s="2119">
        <v>200</v>
      </c>
      <c r="F77" s="1010">
        <v>0</v>
      </c>
      <c r="G77" s="2105">
        <f>F77*E77</f>
        <v>0</v>
      </c>
    </row>
    <row r="78" spans="2:18" x14ac:dyDescent="0.2">
      <c r="B78" s="892"/>
      <c r="C78" s="841"/>
      <c r="D78" s="653"/>
      <c r="E78" s="2119"/>
      <c r="F78" s="1011"/>
      <c r="G78" s="2105"/>
    </row>
    <row r="79" spans="2:18" ht="28.5" customHeight="1" x14ac:dyDescent="0.2">
      <c r="B79" s="892" t="s">
        <v>1224</v>
      </c>
      <c r="C79" s="841" t="s">
        <v>1228</v>
      </c>
      <c r="D79" s="2124" t="s">
        <v>1213</v>
      </c>
      <c r="E79" s="2119">
        <v>200</v>
      </c>
      <c r="F79" s="1010">
        <v>0</v>
      </c>
      <c r="G79" s="2105">
        <f>F79*E79</f>
        <v>0</v>
      </c>
      <c r="L79" s="893"/>
      <c r="M79" s="894"/>
      <c r="N79" s="895"/>
      <c r="O79" s="896"/>
      <c r="P79" s="897"/>
      <c r="Q79" s="897"/>
      <c r="R79" s="897"/>
    </row>
    <row r="80" spans="2:18" x14ac:dyDescent="0.2">
      <c r="B80" s="840"/>
      <c r="C80" s="840"/>
      <c r="D80" s="2126"/>
      <c r="E80" s="2119"/>
      <c r="F80" s="1011"/>
      <c r="G80" s="2105"/>
      <c r="L80" s="893"/>
      <c r="M80" s="894"/>
      <c r="N80" s="895"/>
      <c r="O80" s="896"/>
      <c r="P80" s="897"/>
      <c r="Q80" s="897"/>
      <c r="R80" s="897"/>
    </row>
    <row r="81" spans="2:19" ht="90.75" customHeight="1" x14ac:dyDescent="0.2">
      <c r="B81" s="892" t="s">
        <v>1227</v>
      </c>
      <c r="C81" s="208" t="s">
        <v>1230</v>
      </c>
      <c r="D81" s="653" t="s">
        <v>1213</v>
      </c>
      <c r="E81" s="2119">
        <v>200</v>
      </c>
      <c r="F81" s="1010">
        <v>0</v>
      </c>
      <c r="G81" s="2105">
        <f>E81*F81</f>
        <v>0</v>
      </c>
      <c r="L81" s="899"/>
      <c r="M81" s="900"/>
      <c r="N81" s="901"/>
      <c r="O81" s="902"/>
      <c r="P81" s="1030"/>
      <c r="Q81" s="1030"/>
      <c r="R81" s="1030"/>
    </row>
    <row r="82" spans="2:19" ht="12" customHeight="1" x14ac:dyDescent="0.2">
      <c r="B82" s="845"/>
      <c r="C82" s="882"/>
      <c r="D82" s="2124"/>
      <c r="E82" s="2119"/>
      <c r="F82" s="1011"/>
      <c r="G82" s="2105"/>
      <c r="L82" s="899"/>
      <c r="M82" s="900"/>
      <c r="N82" s="901"/>
      <c r="O82" s="902"/>
      <c r="P82" s="1030"/>
      <c r="Q82" s="1030"/>
      <c r="R82" s="1030"/>
    </row>
    <row r="83" spans="2:19" ht="64.5" customHeight="1" x14ac:dyDescent="0.2">
      <c r="B83" s="892" t="s">
        <v>1229</v>
      </c>
      <c r="C83" s="208" t="s">
        <v>1232</v>
      </c>
      <c r="D83" s="653" t="s">
        <v>1213</v>
      </c>
      <c r="E83" s="2119">
        <v>200</v>
      </c>
      <c r="F83" s="1010">
        <v>0</v>
      </c>
      <c r="G83" s="2105">
        <f>E83*F83</f>
        <v>0</v>
      </c>
      <c r="L83" s="899"/>
      <c r="M83" s="900"/>
      <c r="N83" s="901"/>
      <c r="O83" s="902"/>
      <c r="P83" s="1030"/>
      <c r="Q83" s="1030"/>
      <c r="R83" s="1030"/>
    </row>
    <row r="84" spans="2:19" x14ac:dyDescent="0.2">
      <c r="B84" s="892"/>
      <c r="C84" s="208"/>
      <c r="D84" s="653"/>
      <c r="E84" s="2119"/>
      <c r="F84" s="1011"/>
      <c r="G84" s="2105"/>
    </row>
    <row r="85" spans="2:19" ht="25.5" x14ac:dyDescent="0.2">
      <c r="B85" s="892" t="s">
        <v>1231</v>
      </c>
      <c r="C85" s="841" t="s">
        <v>1234</v>
      </c>
      <c r="D85" s="653" t="s">
        <v>137</v>
      </c>
      <c r="E85" s="2119">
        <f>200*0.2</f>
        <v>40</v>
      </c>
      <c r="F85" s="1010">
        <v>0</v>
      </c>
      <c r="G85" s="2105">
        <f>F85*E85</f>
        <v>0</v>
      </c>
    </row>
    <row r="86" spans="2:19" x14ac:dyDescent="0.2">
      <c r="B86" s="892"/>
      <c r="C86" s="841"/>
      <c r="D86" s="653"/>
      <c r="E86" s="2119"/>
      <c r="F86" s="1011"/>
      <c r="G86" s="2105"/>
    </row>
    <row r="87" spans="2:19" ht="38.25" x14ac:dyDescent="0.2">
      <c r="B87" s="892" t="s">
        <v>1233</v>
      </c>
      <c r="C87" s="841" t="s">
        <v>1236</v>
      </c>
      <c r="D87" s="2124" t="s">
        <v>117</v>
      </c>
      <c r="E87" s="2119">
        <f>3500*0.75</f>
        <v>2625</v>
      </c>
      <c r="F87" s="1010">
        <v>0</v>
      </c>
      <c r="G87" s="2105">
        <f>F87*E87</f>
        <v>0</v>
      </c>
    </row>
    <row r="88" spans="2:19" x14ac:dyDescent="0.2">
      <c r="B88" s="892"/>
      <c r="C88" s="841"/>
      <c r="D88" s="2124"/>
      <c r="E88" s="2119"/>
      <c r="F88" s="1011"/>
      <c r="G88" s="2105"/>
    </row>
    <row r="89" spans="2:19" ht="87.75" customHeight="1" x14ac:dyDescent="0.2">
      <c r="B89" s="861" t="s">
        <v>1235</v>
      </c>
      <c r="C89" s="904" t="s">
        <v>1279</v>
      </c>
      <c r="D89" s="2124" t="s">
        <v>123</v>
      </c>
      <c r="E89" s="2119">
        <v>1</v>
      </c>
      <c r="F89" s="1010">
        <v>0</v>
      </c>
      <c r="G89" s="2105">
        <f>E89*F89</f>
        <v>0</v>
      </c>
      <c r="N89" s="906"/>
      <c r="O89" s="907"/>
      <c r="P89" s="908"/>
      <c r="Q89" s="1031"/>
      <c r="R89" s="996"/>
      <c r="S89" s="1032"/>
    </row>
    <row r="90" spans="2:19" ht="15" customHeight="1" x14ac:dyDescent="0.2">
      <c r="B90" s="861"/>
      <c r="C90" s="904"/>
      <c r="D90" s="2124"/>
      <c r="E90" s="2119"/>
      <c r="F90" s="1011"/>
      <c r="G90" s="2105"/>
      <c r="N90" s="906"/>
      <c r="O90" s="907"/>
      <c r="P90" s="908"/>
      <c r="Q90" s="1031"/>
      <c r="R90" s="996"/>
      <c r="S90" s="1032"/>
    </row>
    <row r="91" spans="2:19" ht="84" customHeight="1" x14ac:dyDescent="0.2">
      <c r="B91" s="892" t="s">
        <v>1237</v>
      </c>
      <c r="C91" s="911" t="s">
        <v>139</v>
      </c>
      <c r="D91" s="912"/>
      <c r="E91" s="1033"/>
      <c r="F91" s="1034"/>
      <c r="G91" s="1035"/>
      <c r="N91" s="906"/>
      <c r="O91" s="907"/>
      <c r="P91" s="908"/>
      <c r="Q91" s="1031"/>
      <c r="R91" s="996"/>
      <c r="S91" s="1032"/>
    </row>
    <row r="92" spans="2:19" ht="31.5" customHeight="1" x14ac:dyDescent="0.2">
      <c r="B92" s="892"/>
      <c r="C92" s="916" t="s">
        <v>1280</v>
      </c>
      <c r="D92" s="912" t="s">
        <v>95</v>
      </c>
      <c r="E92" s="1033">
        <v>6</v>
      </c>
      <c r="F92" s="1010">
        <v>0</v>
      </c>
      <c r="G92" s="1035">
        <f>E92*F92</f>
        <v>0</v>
      </c>
      <c r="N92" s="906"/>
      <c r="O92" s="907"/>
      <c r="P92" s="908"/>
      <c r="Q92" s="1031"/>
      <c r="R92" s="996"/>
      <c r="S92" s="1032"/>
    </row>
    <row r="93" spans="2:19" ht="15" customHeight="1" x14ac:dyDescent="0.2">
      <c r="B93" s="892"/>
      <c r="C93" s="916"/>
      <c r="D93" s="912"/>
      <c r="E93" s="1033"/>
      <c r="F93" s="1034"/>
      <c r="G93" s="1035"/>
      <c r="N93" s="906"/>
      <c r="O93" s="907"/>
      <c r="P93" s="908"/>
      <c r="Q93" s="1031"/>
      <c r="R93" s="996"/>
      <c r="S93" s="1032"/>
    </row>
    <row r="94" spans="2:19" ht="65.25" customHeight="1" x14ac:dyDescent="0.2">
      <c r="B94" s="892" t="s">
        <v>1239</v>
      </c>
      <c r="C94" s="916" t="s">
        <v>309</v>
      </c>
      <c r="D94" s="912"/>
      <c r="E94" s="1033"/>
      <c r="F94" s="1034"/>
      <c r="G94" s="1035"/>
      <c r="N94" s="906"/>
      <c r="O94" s="907"/>
      <c r="P94" s="908"/>
      <c r="Q94" s="1031"/>
      <c r="R94" s="996"/>
      <c r="S94" s="1032"/>
    </row>
    <row r="95" spans="2:19" ht="33" customHeight="1" x14ac:dyDescent="0.2">
      <c r="B95" s="892"/>
      <c r="C95" s="916" t="s">
        <v>1281</v>
      </c>
      <c r="D95" s="912" t="s">
        <v>95</v>
      </c>
      <c r="E95" s="1033">
        <v>28</v>
      </c>
      <c r="F95" s="1010">
        <v>0</v>
      </c>
      <c r="G95" s="1035">
        <f>E95*F95</f>
        <v>0</v>
      </c>
      <c r="N95" s="906"/>
      <c r="O95" s="907"/>
      <c r="P95" s="908"/>
      <c r="Q95" s="1031"/>
      <c r="R95" s="996"/>
      <c r="S95" s="1032"/>
    </row>
    <row r="96" spans="2:19" ht="15" customHeight="1" x14ac:dyDescent="0.2">
      <c r="B96" s="892"/>
      <c r="C96" s="916"/>
      <c r="D96" s="912"/>
      <c r="E96" s="1033"/>
      <c r="F96" s="1034"/>
      <c r="G96" s="1035"/>
      <c r="N96" s="906"/>
      <c r="O96" s="907"/>
      <c r="P96" s="908"/>
      <c r="Q96" s="1031"/>
      <c r="R96" s="996"/>
      <c r="S96" s="1032"/>
    </row>
    <row r="97" spans="2:9" x14ac:dyDescent="0.2">
      <c r="B97" s="892" t="s">
        <v>1241</v>
      </c>
      <c r="C97" s="911" t="s">
        <v>1282</v>
      </c>
      <c r="D97" s="912"/>
      <c r="E97" s="1033"/>
      <c r="F97" s="1034"/>
      <c r="G97" s="1035"/>
    </row>
    <row r="98" spans="2:9" ht="92.25" customHeight="1" x14ac:dyDescent="0.2">
      <c r="B98" s="892"/>
      <c r="C98" s="916" t="s">
        <v>141</v>
      </c>
      <c r="D98" s="912" t="s">
        <v>95</v>
      </c>
      <c r="E98" s="1033">
        <v>16</v>
      </c>
      <c r="F98" s="1010">
        <v>0</v>
      </c>
      <c r="G98" s="1035">
        <f>E98*F98</f>
        <v>0</v>
      </c>
    </row>
    <row r="99" spans="2:9" x14ac:dyDescent="0.2">
      <c r="B99" s="921"/>
      <c r="C99" s="916"/>
      <c r="D99" s="912"/>
      <c r="E99" s="1033"/>
      <c r="F99" s="1034"/>
      <c r="G99" s="1035"/>
    </row>
    <row r="100" spans="2:9" ht="67.5" customHeight="1" x14ac:dyDescent="0.2">
      <c r="B100" s="892" t="s">
        <v>1243</v>
      </c>
      <c r="C100" s="911" t="s">
        <v>309</v>
      </c>
      <c r="D100" s="912"/>
      <c r="E100" s="1033"/>
      <c r="F100" s="1034"/>
      <c r="G100" s="1035"/>
    </row>
    <row r="101" spans="2:9" ht="25.5" x14ac:dyDescent="0.2">
      <c r="B101" s="892"/>
      <c r="C101" s="916" t="s">
        <v>1283</v>
      </c>
      <c r="D101" s="912" t="s">
        <v>95</v>
      </c>
      <c r="E101" s="2119">
        <v>77</v>
      </c>
      <c r="F101" s="1010">
        <v>0</v>
      </c>
      <c r="G101" s="2105">
        <f>E101*F101</f>
        <v>0</v>
      </c>
    </row>
    <row r="102" spans="2:9" x14ac:dyDescent="0.2">
      <c r="B102" s="921"/>
      <c r="C102" s="916"/>
      <c r="D102" s="912"/>
      <c r="E102" s="1033"/>
      <c r="F102" s="1034"/>
      <c r="G102" s="1035"/>
    </row>
    <row r="103" spans="2:9" ht="41.25" customHeight="1" x14ac:dyDescent="0.2">
      <c r="B103" s="892" t="s">
        <v>1284</v>
      </c>
      <c r="C103" s="917" t="s">
        <v>1240</v>
      </c>
      <c r="D103" s="2235" t="s">
        <v>112</v>
      </c>
      <c r="E103" s="2618">
        <v>40</v>
      </c>
      <c r="F103" s="1010">
        <v>0</v>
      </c>
      <c r="G103" s="2105">
        <f>E103*F103</f>
        <v>0</v>
      </c>
    </row>
    <row r="104" spans="2:9" x14ac:dyDescent="0.2">
      <c r="B104" s="892"/>
      <c r="C104" s="917"/>
      <c r="D104" s="2235"/>
      <c r="E104" s="2618"/>
      <c r="F104" s="2670"/>
      <c r="G104" s="2105"/>
    </row>
    <row r="105" spans="2:9" ht="36.75" customHeight="1" x14ac:dyDescent="0.2">
      <c r="B105" s="892" t="s">
        <v>1285</v>
      </c>
      <c r="C105" s="922" t="s">
        <v>1242</v>
      </c>
      <c r="D105" s="2235" t="s">
        <v>149</v>
      </c>
      <c r="E105" s="2618">
        <v>27</v>
      </c>
      <c r="F105" s="1010">
        <v>0</v>
      </c>
      <c r="G105" s="2105">
        <f>E105*F105</f>
        <v>0</v>
      </c>
      <c r="H105" s="923"/>
      <c r="I105" s="130"/>
    </row>
    <row r="106" spans="2:9" ht="13.5" customHeight="1" x14ac:dyDescent="0.2">
      <c r="B106" s="892"/>
      <c r="C106" s="922"/>
      <c r="D106" s="2235"/>
      <c r="E106" s="2618"/>
      <c r="F106" s="2670"/>
      <c r="G106" s="2105"/>
      <c r="H106" s="923"/>
      <c r="I106" s="130"/>
    </row>
    <row r="107" spans="2:9" ht="36.75" customHeight="1" x14ac:dyDescent="0.2">
      <c r="B107" s="892" t="s">
        <v>1286</v>
      </c>
      <c r="C107" s="924" t="s">
        <v>153</v>
      </c>
      <c r="D107" s="925" t="s">
        <v>112</v>
      </c>
      <c r="E107" s="1037">
        <v>17</v>
      </c>
      <c r="F107" s="1010">
        <v>0</v>
      </c>
      <c r="G107" s="2105">
        <f>E107*F107</f>
        <v>0</v>
      </c>
      <c r="H107" s="923"/>
      <c r="I107" s="130"/>
    </row>
    <row r="108" spans="2:9" ht="16.5" customHeight="1" x14ac:dyDescent="0.2">
      <c r="B108" s="892"/>
      <c r="C108" s="927"/>
      <c r="D108" s="2619"/>
      <c r="E108" s="2618"/>
      <c r="F108" s="2619"/>
      <c r="G108" s="2620"/>
    </row>
    <row r="109" spans="2:9" ht="13.5" customHeight="1" x14ac:dyDescent="0.2">
      <c r="B109" s="1025" t="s">
        <v>12</v>
      </c>
      <c r="C109" s="1026" t="s">
        <v>157</v>
      </c>
      <c r="D109" s="1025"/>
      <c r="E109" s="1027"/>
      <c r="F109" s="1028"/>
      <c r="G109" s="1029">
        <f>SUM(G57:G108)</f>
        <v>0</v>
      </c>
    </row>
    <row r="110" spans="2:9" ht="18.75" customHeight="1" x14ac:dyDescent="0.2"/>
    <row r="111" spans="2:9" ht="25.5" customHeight="1" x14ac:dyDescent="0.2">
      <c r="B111" s="680" t="s">
        <v>83</v>
      </c>
      <c r="C111" s="681" t="s">
        <v>89</v>
      </c>
      <c r="D111" s="681" t="s">
        <v>90</v>
      </c>
      <c r="E111" s="683" t="s">
        <v>91</v>
      </c>
      <c r="F111" s="684" t="s">
        <v>92</v>
      </c>
      <c r="G111" s="685" t="s">
        <v>93</v>
      </c>
    </row>
    <row r="112" spans="2:9" ht="18" customHeight="1" x14ac:dyDescent="0.2">
      <c r="B112" s="129"/>
      <c r="C112" s="197"/>
      <c r="D112" s="207"/>
      <c r="E112" s="353"/>
      <c r="F112" s="358"/>
      <c r="G112" s="350"/>
    </row>
    <row r="113" spans="2:9" ht="18" customHeight="1" x14ac:dyDescent="0.2">
      <c r="B113" s="1039" t="s">
        <v>17</v>
      </c>
      <c r="C113" s="1040" t="s">
        <v>158</v>
      </c>
      <c r="D113" s="694"/>
      <c r="E113" s="689"/>
      <c r="F113" s="690"/>
      <c r="G113" s="691"/>
    </row>
    <row r="114" spans="2:9" ht="18" customHeight="1" x14ac:dyDescent="0.2">
      <c r="B114" s="2853" t="s">
        <v>1</v>
      </c>
      <c r="C114" s="2854"/>
      <c r="D114" s="2855"/>
      <c r="E114" s="2855"/>
      <c r="F114" s="2855"/>
      <c r="G114" s="2856"/>
    </row>
    <row r="115" spans="2:9" ht="15.75" customHeight="1" x14ac:dyDescent="0.2">
      <c r="B115" s="2857" t="s">
        <v>2</v>
      </c>
      <c r="C115" s="2858"/>
      <c r="D115" s="2859"/>
      <c r="E115" s="2860"/>
      <c r="F115" s="2860"/>
      <c r="G115" s="2859"/>
    </row>
    <row r="116" spans="2:9" ht="18" customHeight="1" x14ac:dyDescent="0.2">
      <c r="B116" s="2853" t="s">
        <v>3</v>
      </c>
      <c r="C116" s="2854"/>
      <c r="D116" s="2855"/>
      <c r="E116" s="2855"/>
      <c r="F116" s="2855"/>
      <c r="G116" s="2856"/>
    </row>
    <row r="117" spans="2:9" ht="18" customHeight="1" x14ac:dyDescent="0.2">
      <c r="B117" s="2857" t="s">
        <v>4</v>
      </c>
      <c r="C117" s="2858"/>
      <c r="D117" s="2860"/>
      <c r="E117" s="2860"/>
      <c r="F117" s="2860"/>
      <c r="G117" s="2859"/>
    </row>
    <row r="118" spans="2:9" ht="15.75" customHeight="1" x14ac:dyDescent="0.2">
      <c r="B118" s="3226" t="s">
        <v>159</v>
      </c>
      <c r="C118" s="3227"/>
      <c r="D118" s="3227"/>
      <c r="E118" s="3227"/>
      <c r="F118" s="3227"/>
      <c r="G118" s="3228"/>
    </row>
    <row r="119" spans="2:9" x14ac:dyDescent="0.2">
      <c r="B119" s="3226" t="s">
        <v>160</v>
      </c>
      <c r="C119" s="3227"/>
      <c r="D119" s="3227"/>
      <c r="E119" s="3227"/>
      <c r="F119" s="3227"/>
      <c r="G119" s="3228"/>
    </row>
    <row r="120" spans="2:9" ht="12.75" customHeight="1" x14ac:dyDescent="0.2">
      <c r="B120" s="3226" t="s">
        <v>161</v>
      </c>
      <c r="C120" s="3227"/>
      <c r="D120" s="3227"/>
      <c r="E120" s="3227"/>
      <c r="F120" s="3227"/>
      <c r="G120" s="3228"/>
    </row>
    <row r="121" spans="2:9" ht="12.75" customHeight="1" x14ac:dyDescent="0.2">
      <c r="B121" s="845"/>
      <c r="C121" s="848"/>
      <c r="D121" s="2126"/>
      <c r="E121" s="2122"/>
      <c r="F121" s="1011"/>
      <c r="G121" s="2105"/>
    </row>
    <row r="122" spans="2:9" ht="45.75" customHeight="1" x14ac:dyDescent="0.2">
      <c r="B122" s="829">
        <v>1</v>
      </c>
      <c r="C122" s="932" t="s">
        <v>162</v>
      </c>
      <c r="D122" s="2508"/>
      <c r="E122" s="2509"/>
      <c r="F122" s="2510"/>
      <c r="G122" s="2511"/>
    </row>
    <row r="123" spans="2:9" ht="25.5" x14ac:dyDescent="0.2">
      <c r="B123" s="829"/>
      <c r="C123" s="941" t="s">
        <v>1287</v>
      </c>
      <c r="D123" s="937" t="s">
        <v>95</v>
      </c>
      <c r="E123" s="832">
        <v>1604</v>
      </c>
      <c r="F123" s="1010">
        <v>0</v>
      </c>
      <c r="G123" s="1011">
        <f t="shared" ref="G123:G126" si="1">E123*F123</f>
        <v>0</v>
      </c>
    </row>
    <row r="124" spans="2:9" ht="24.75" customHeight="1" x14ac:dyDescent="0.2">
      <c r="B124" s="829"/>
      <c r="C124" s="941" t="s">
        <v>1288</v>
      </c>
      <c r="D124" s="937" t="s">
        <v>95</v>
      </c>
      <c r="E124" s="832">
        <v>179</v>
      </c>
      <c r="F124" s="1010">
        <v>0</v>
      </c>
      <c r="G124" s="1011">
        <f t="shared" si="1"/>
        <v>0</v>
      </c>
    </row>
    <row r="125" spans="2:9" ht="24.75" customHeight="1" x14ac:dyDescent="0.2">
      <c r="B125" s="829"/>
      <c r="C125" s="941" t="s">
        <v>1289</v>
      </c>
      <c r="D125" s="937" t="s">
        <v>95</v>
      </c>
      <c r="E125" s="832">
        <v>1267</v>
      </c>
      <c r="F125" s="1010">
        <v>0</v>
      </c>
      <c r="G125" s="1011">
        <f t="shared" si="1"/>
        <v>0</v>
      </c>
      <c r="I125" s="940"/>
    </row>
    <row r="126" spans="2:9" ht="24.75" customHeight="1" x14ac:dyDescent="0.2">
      <c r="B126" s="829"/>
      <c r="C126" s="941" t="s">
        <v>1290</v>
      </c>
      <c r="D126" s="937" t="s">
        <v>95</v>
      </c>
      <c r="E126" s="832">
        <v>140</v>
      </c>
      <c r="F126" s="1010">
        <v>0</v>
      </c>
      <c r="G126" s="1011">
        <f t="shared" si="1"/>
        <v>0</v>
      </c>
    </row>
    <row r="127" spans="2:9" ht="15.75" customHeight="1" x14ac:dyDescent="0.2">
      <c r="B127" s="1041"/>
      <c r="C127" s="943"/>
      <c r="D127" s="937"/>
      <c r="E127" s="832"/>
      <c r="F127" s="2510"/>
      <c r="G127" s="2511"/>
    </row>
    <row r="128" spans="2:9" ht="67.5" customHeight="1" x14ac:dyDescent="0.2">
      <c r="B128" s="945">
        <v>2</v>
      </c>
      <c r="C128" s="946" t="s">
        <v>172</v>
      </c>
      <c r="D128" s="411" t="s">
        <v>95</v>
      </c>
      <c r="E128" s="947">
        <v>3190</v>
      </c>
      <c r="F128" s="1010">
        <v>0</v>
      </c>
      <c r="G128" s="1011">
        <f>E128*F128</f>
        <v>0</v>
      </c>
    </row>
    <row r="129" spans="2:9" ht="58.5" customHeight="1" x14ac:dyDescent="0.2">
      <c r="B129" s="1042" t="s">
        <v>173</v>
      </c>
      <c r="C129" s="946" t="s">
        <v>174</v>
      </c>
      <c r="D129" s="411" t="s">
        <v>95</v>
      </c>
      <c r="E129" s="947">
        <v>3190</v>
      </c>
      <c r="F129" s="1010">
        <v>0</v>
      </c>
      <c r="G129" s="1011">
        <f>E129*F129</f>
        <v>0</v>
      </c>
    </row>
    <row r="130" spans="2:9" ht="42" customHeight="1" x14ac:dyDescent="0.2">
      <c r="B130" s="1042" t="s">
        <v>175</v>
      </c>
      <c r="C130" s="946" t="s">
        <v>176</v>
      </c>
      <c r="D130" s="411" t="s">
        <v>95</v>
      </c>
      <c r="E130" s="947">
        <v>3190</v>
      </c>
      <c r="F130" s="1010">
        <v>0</v>
      </c>
      <c r="G130" s="1011">
        <f>E130*F130</f>
        <v>0</v>
      </c>
    </row>
    <row r="131" spans="2:9" ht="69" customHeight="1" x14ac:dyDescent="0.2">
      <c r="B131" s="1042" t="s">
        <v>177</v>
      </c>
      <c r="C131" s="946" t="s">
        <v>178</v>
      </c>
      <c r="D131" s="411" t="s">
        <v>95</v>
      </c>
      <c r="E131" s="947">
        <v>3190</v>
      </c>
      <c r="F131" s="1010">
        <v>0</v>
      </c>
      <c r="G131" s="1011">
        <f>E131*F131</f>
        <v>0</v>
      </c>
    </row>
    <row r="132" spans="2:9" x14ac:dyDescent="0.2">
      <c r="B132" s="845"/>
      <c r="C132" s="904"/>
      <c r="D132" s="2124"/>
      <c r="E132" s="2122"/>
      <c r="F132" s="2114"/>
      <c r="G132" s="2105"/>
    </row>
    <row r="133" spans="2:9" x14ac:dyDescent="0.2">
      <c r="B133" s="2051" t="s">
        <v>1249</v>
      </c>
      <c r="C133" s="2058" t="s">
        <v>1291</v>
      </c>
      <c r="D133" s="2110"/>
      <c r="E133" s="2111"/>
      <c r="F133" s="2671"/>
      <c r="G133" s="2671"/>
      <c r="H133" s="1043"/>
    </row>
    <row r="134" spans="2:9" ht="25.5" x14ac:dyDescent="0.2">
      <c r="B134" s="2051"/>
      <c r="C134" s="2042" t="s">
        <v>1097</v>
      </c>
      <c r="D134" s="2043" t="s">
        <v>149</v>
      </c>
      <c r="E134" s="2106">
        <v>1</v>
      </c>
      <c r="F134" s="2045">
        <v>0</v>
      </c>
      <c r="G134" s="2046">
        <f t="shared" ref="G134:G139" si="2">E134*F134</f>
        <v>0</v>
      </c>
      <c r="H134" s="1043"/>
    </row>
    <row r="135" spans="2:9" x14ac:dyDescent="0.2">
      <c r="B135" s="2051"/>
      <c r="C135" s="2048" t="s">
        <v>354</v>
      </c>
      <c r="D135" s="2043" t="s">
        <v>149</v>
      </c>
      <c r="E135" s="2106">
        <v>2</v>
      </c>
      <c r="F135" s="2045">
        <v>0</v>
      </c>
      <c r="G135" s="2046">
        <f t="shared" si="2"/>
        <v>0</v>
      </c>
      <c r="H135" s="1043"/>
    </row>
    <row r="136" spans="2:9" ht="25.5" x14ac:dyDescent="0.2">
      <c r="B136" s="2051"/>
      <c r="C136" s="2048" t="s">
        <v>195</v>
      </c>
      <c r="D136" s="2043" t="s">
        <v>149</v>
      </c>
      <c r="E136" s="2106">
        <v>1</v>
      </c>
      <c r="F136" s="2045">
        <v>0</v>
      </c>
      <c r="G136" s="2046">
        <f t="shared" si="2"/>
        <v>0</v>
      </c>
      <c r="H136" s="1043"/>
    </row>
    <row r="137" spans="2:9" ht="25.5" x14ac:dyDescent="0.2">
      <c r="B137" s="2051"/>
      <c r="C137" s="2048" t="s">
        <v>1292</v>
      </c>
      <c r="D137" s="2043" t="s">
        <v>149</v>
      </c>
      <c r="E137" s="2106">
        <v>1</v>
      </c>
      <c r="F137" s="2045">
        <v>0</v>
      </c>
      <c r="G137" s="2046">
        <f t="shared" si="2"/>
        <v>0</v>
      </c>
      <c r="H137" s="1043"/>
    </row>
    <row r="138" spans="2:9" ht="25.5" x14ac:dyDescent="0.2">
      <c r="B138" s="2051"/>
      <c r="C138" s="2048" t="s">
        <v>227</v>
      </c>
      <c r="D138" s="2043" t="s">
        <v>149</v>
      </c>
      <c r="E138" s="2106">
        <v>1</v>
      </c>
      <c r="F138" s="2045">
        <v>0</v>
      </c>
      <c r="G138" s="2046">
        <f t="shared" si="2"/>
        <v>0</v>
      </c>
      <c r="H138" s="1043"/>
    </row>
    <row r="139" spans="2:9" ht="25.5" x14ac:dyDescent="0.2">
      <c r="B139" s="2051"/>
      <c r="C139" s="2050" t="s">
        <v>1196</v>
      </c>
      <c r="D139" s="2043" t="s">
        <v>149</v>
      </c>
      <c r="E139" s="2106">
        <v>1</v>
      </c>
      <c r="F139" s="2045">
        <v>0</v>
      </c>
      <c r="G139" s="2046">
        <f t="shared" si="2"/>
        <v>0</v>
      </c>
      <c r="H139" s="1043"/>
    </row>
    <row r="140" spans="2:9" x14ac:dyDescent="0.2">
      <c r="B140" s="950"/>
      <c r="C140" s="848"/>
      <c r="D140" s="2126"/>
      <c r="E140" s="2122"/>
      <c r="F140" s="1011"/>
      <c r="G140" s="2105"/>
      <c r="H140" s="1043"/>
      <c r="I140" s="723"/>
    </row>
    <row r="141" spans="2:9" x14ac:dyDescent="0.2">
      <c r="B141" s="2051" t="s">
        <v>1253</v>
      </c>
      <c r="C141" s="2058" t="s">
        <v>1293</v>
      </c>
      <c r="D141" s="2110"/>
      <c r="E141" s="2111"/>
      <c r="F141" s="2671"/>
      <c r="G141" s="2671"/>
      <c r="I141" s="723"/>
    </row>
    <row r="142" spans="2:9" x14ac:dyDescent="0.2">
      <c r="B142" s="2051"/>
      <c r="C142" s="2042" t="s">
        <v>207</v>
      </c>
      <c r="D142" s="2043" t="s">
        <v>149</v>
      </c>
      <c r="E142" s="2106">
        <v>2</v>
      </c>
      <c r="F142" s="2045">
        <v>0</v>
      </c>
      <c r="G142" s="2046">
        <f t="shared" ref="G142:G157" si="3">E142*F142</f>
        <v>0</v>
      </c>
      <c r="I142" s="723"/>
    </row>
    <row r="143" spans="2:9" ht="25.5" x14ac:dyDescent="0.2">
      <c r="B143" s="2051"/>
      <c r="C143" s="2042" t="s">
        <v>208</v>
      </c>
      <c r="D143" s="2043" t="s">
        <v>149</v>
      </c>
      <c r="E143" s="2106">
        <v>4</v>
      </c>
      <c r="F143" s="2045">
        <v>0</v>
      </c>
      <c r="G143" s="2046">
        <f t="shared" si="3"/>
        <v>0</v>
      </c>
      <c r="I143" s="723"/>
    </row>
    <row r="144" spans="2:9" ht="33.75" customHeight="1" x14ac:dyDescent="0.2">
      <c r="B144" s="2051"/>
      <c r="C144" s="2047" t="s">
        <v>843</v>
      </c>
      <c r="D144" s="2043" t="s">
        <v>149</v>
      </c>
      <c r="E144" s="2106">
        <v>2</v>
      </c>
      <c r="F144" s="2045">
        <v>0</v>
      </c>
      <c r="G144" s="2046">
        <f t="shared" si="3"/>
        <v>0</v>
      </c>
      <c r="I144" s="723"/>
    </row>
    <row r="145" spans="2:9" x14ac:dyDescent="0.2">
      <c r="B145" s="2051"/>
      <c r="C145" s="2047" t="s">
        <v>210</v>
      </c>
      <c r="D145" s="2043" t="s">
        <v>149</v>
      </c>
      <c r="E145" s="2106">
        <v>2</v>
      </c>
      <c r="F145" s="2045">
        <v>0</v>
      </c>
      <c r="G145" s="2046">
        <f t="shared" si="3"/>
        <v>0</v>
      </c>
      <c r="I145" s="723"/>
    </row>
    <row r="146" spans="2:9" x14ac:dyDescent="0.2">
      <c r="B146" s="2051"/>
      <c r="C146" s="2047" t="s">
        <v>211</v>
      </c>
      <c r="D146" s="2043" t="s">
        <v>149</v>
      </c>
      <c r="E146" s="2106">
        <v>2</v>
      </c>
      <c r="F146" s="2045">
        <v>0</v>
      </c>
      <c r="G146" s="2046">
        <f t="shared" si="3"/>
        <v>0</v>
      </c>
      <c r="I146" s="723"/>
    </row>
    <row r="147" spans="2:9" x14ac:dyDescent="0.2">
      <c r="B147" s="2051"/>
      <c r="C147" s="2047" t="s">
        <v>212</v>
      </c>
      <c r="D147" s="2043" t="s">
        <v>149</v>
      </c>
      <c r="E147" s="2106">
        <v>2</v>
      </c>
      <c r="F147" s="2045">
        <v>0</v>
      </c>
      <c r="G147" s="2046">
        <f t="shared" si="3"/>
        <v>0</v>
      </c>
      <c r="I147" s="723"/>
    </row>
    <row r="148" spans="2:9" x14ac:dyDescent="0.2">
      <c r="B148" s="2051"/>
      <c r="C148" s="2047" t="s">
        <v>1104</v>
      </c>
      <c r="D148" s="2043" t="s">
        <v>149</v>
      </c>
      <c r="E148" s="2106">
        <v>2</v>
      </c>
      <c r="F148" s="2045">
        <v>0</v>
      </c>
      <c r="G148" s="2046">
        <f t="shared" si="3"/>
        <v>0</v>
      </c>
      <c r="I148" s="723"/>
    </row>
    <row r="149" spans="2:9" x14ac:dyDescent="0.2">
      <c r="B149" s="2051"/>
      <c r="C149" s="2047" t="s">
        <v>214</v>
      </c>
      <c r="D149" s="2043" t="s">
        <v>149</v>
      </c>
      <c r="E149" s="2106">
        <v>2</v>
      </c>
      <c r="F149" s="2045">
        <v>0</v>
      </c>
      <c r="G149" s="2046">
        <f t="shared" si="3"/>
        <v>0</v>
      </c>
      <c r="I149" s="723"/>
    </row>
    <row r="150" spans="2:9" x14ac:dyDescent="0.2">
      <c r="B150" s="2051"/>
      <c r="C150" s="2047" t="s">
        <v>215</v>
      </c>
      <c r="D150" s="2043" t="s">
        <v>149</v>
      </c>
      <c r="E150" s="2106">
        <v>2</v>
      </c>
      <c r="F150" s="2045">
        <v>0</v>
      </c>
      <c r="G150" s="2046">
        <f t="shared" si="3"/>
        <v>0</v>
      </c>
      <c r="I150" s="723"/>
    </row>
    <row r="151" spans="2:9" x14ac:dyDescent="0.2">
      <c r="B151" s="2051"/>
      <c r="C151" s="2048" t="s">
        <v>216</v>
      </c>
      <c r="D151" s="2043" t="s">
        <v>149</v>
      </c>
      <c r="E151" s="2106">
        <v>2</v>
      </c>
      <c r="F151" s="2045">
        <v>0</v>
      </c>
      <c r="G151" s="2046">
        <f t="shared" si="3"/>
        <v>0</v>
      </c>
      <c r="I151" s="723"/>
    </row>
    <row r="152" spans="2:9" x14ac:dyDescent="0.2">
      <c r="B152" s="2051"/>
      <c r="C152" s="2048" t="s">
        <v>329</v>
      </c>
      <c r="D152" s="2043" t="s">
        <v>149</v>
      </c>
      <c r="E152" s="2106">
        <v>2</v>
      </c>
      <c r="F152" s="2045">
        <v>0</v>
      </c>
      <c r="G152" s="2046">
        <f t="shared" si="3"/>
        <v>0</v>
      </c>
      <c r="I152" s="723"/>
    </row>
    <row r="153" spans="2:9" ht="25.5" x14ac:dyDescent="0.2">
      <c r="B153" s="2051"/>
      <c r="C153" s="2048" t="s">
        <v>235</v>
      </c>
      <c r="D153" s="2043" t="s">
        <v>149</v>
      </c>
      <c r="E153" s="2106">
        <v>4</v>
      </c>
      <c r="F153" s="2045">
        <v>0</v>
      </c>
      <c r="G153" s="2046">
        <f t="shared" si="3"/>
        <v>0</v>
      </c>
      <c r="I153" s="723"/>
    </row>
    <row r="154" spans="2:9" ht="25.5" x14ac:dyDescent="0.2">
      <c r="B154" s="2051"/>
      <c r="C154" s="2048" t="s">
        <v>1294</v>
      </c>
      <c r="D154" s="2043" t="s">
        <v>149</v>
      </c>
      <c r="E154" s="2106">
        <v>4</v>
      </c>
      <c r="F154" s="2045">
        <v>0</v>
      </c>
      <c r="G154" s="2046">
        <f t="shared" si="3"/>
        <v>0</v>
      </c>
      <c r="I154" s="723"/>
    </row>
    <row r="155" spans="2:9" ht="25.5" x14ac:dyDescent="0.2">
      <c r="B155" s="2051"/>
      <c r="C155" s="2048" t="s">
        <v>219</v>
      </c>
      <c r="D155" s="2043" t="s">
        <v>149</v>
      </c>
      <c r="E155" s="2106">
        <v>2</v>
      </c>
      <c r="F155" s="2045">
        <v>0</v>
      </c>
      <c r="G155" s="2046">
        <f t="shared" si="3"/>
        <v>0</v>
      </c>
      <c r="I155" s="723"/>
    </row>
    <row r="156" spans="2:9" ht="25.5" x14ac:dyDescent="0.2">
      <c r="B156" s="2051"/>
      <c r="C156" s="2048" t="s">
        <v>227</v>
      </c>
      <c r="D156" s="2043" t="s">
        <v>149</v>
      </c>
      <c r="E156" s="2106">
        <v>6</v>
      </c>
      <c r="F156" s="2045">
        <v>0</v>
      </c>
      <c r="G156" s="2046">
        <f t="shared" si="3"/>
        <v>0</v>
      </c>
      <c r="I156" s="723"/>
    </row>
    <row r="157" spans="2:9" ht="25.5" x14ac:dyDescent="0.2">
      <c r="B157" s="2051"/>
      <c r="C157" s="2050" t="s">
        <v>1196</v>
      </c>
      <c r="D157" s="2043" t="s">
        <v>149</v>
      </c>
      <c r="E157" s="2106">
        <v>2</v>
      </c>
      <c r="F157" s="2045">
        <v>0</v>
      </c>
      <c r="G157" s="2046">
        <f t="shared" si="3"/>
        <v>0</v>
      </c>
      <c r="I157" s="723"/>
    </row>
    <row r="158" spans="2:9" ht="14.25" customHeight="1" x14ac:dyDescent="0.2">
      <c r="B158" s="950"/>
      <c r="C158" s="955"/>
      <c r="D158" s="2515"/>
      <c r="E158" s="2516"/>
      <c r="F158" s="2517"/>
      <c r="G158" s="2517"/>
      <c r="H158" s="1043"/>
      <c r="I158" s="723"/>
    </row>
    <row r="159" spans="2:9" ht="14.25" customHeight="1" x14ac:dyDescent="0.2">
      <c r="B159" s="2051" t="s">
        <v>1256</v>
      </c>
      <c r="C159" s="2058" t="s">
        <v>1295</v>
      </c>
      <c r="D159" s="2673"/>
      <c r="E159" s="2672"/>
      <c r="F159" s="2621"/>
      <c r="G159" s="2621"/>
      <c r="H159" s="1043"/>
      <c r="I159" s="723"/>
    </row>
    <row r="160" spans="2:9" ht="14.25" customHeight="1" x14ac:dyDescent="0.2">
      <c r="B160" s="2051"/>
      <c r="C160" s="2042" t="s">
        <v>207</v>
      </c>
      <c r="D160" s="2043" t="s">
        <v>149</v>
      </c>
      <c r="E160" s="2106">
        <v>4</v>
      </c>
      <c r="F160" s="2045">
        <v>0</v>
      </c>
      <c r="G160" s="2046">
        <f t="shared" ref="G160:G175" si="4">E160*F160</f>
        <v>0</v>
      </c>
      <c r="H160" s="1043"/>
      <c r="I160" s="723"/>
    </row>
    <row r="161" spans="2:9" ht="29.25" customHeight="1" x14ac:dyDescent="0.2">
      <c r="B161" s="2051"/>
      <c r="C161" s="2042" t="s">
        <v>208</v>
      </c>
      <c r="D161" s="2043" t="s">
        <v>149</v>
      </c>
      <c r="E161" s="2106">
        <v>8</v>
      </c>
      <c r="F161" s="2045">
        <v>0</v>
      </c>
      <c r="G161" s="2046">
        <f t="shared" si="4"/>
        <v>0</v>
      </c>
      <c r="H161" s="1043"/>
      <c r="I161" s="723"/>
    </row>
    <row r="162" spans="2:9" ht="28.5" customHeight="1" x14ac:dyDescent="0.2">
      <c r="B162" s="2051"/>
      <c r="C162" s="2047" t="s">
        <v>209</v>
      </c>
      <c r="D162" s="2043" t="s">
        <v>149</v>
      </c>
      <c r="E162" s="2106">
        <v>4</v>
      </c>
      <c r="F162" s="2045">
        <v>0</v>
      </c>
      <c r="G162" s="2046">
        <f t="shared" si="4"/>
        <v>0</v>
      </c>
      <c r="H162" s="1043"/>
      <c r="I162" s="723"/>
    </row>
    <row r="163" spans="2:9" ht="20.25" customHeight="1" x14ac:dyDescent="0.2">
      <c r="B163" s="2051"/>
      <c r="C163" s="2047" t="s">
        <v>210</v>
      </c>
      <c r="D163" s="2043" t="s">
        <v>149</v>
      </c>
      <c r="E163" s="2106">
        <v>4</v>
      </c>
      <c r="F163" s="2045">
        <v>0</v>
      </c>
      <c r="G163" s="2046">
        <f t="shared" si="4"/>
        <v>0</v>
      </c>
      <c r="H163" s="1043"/>
      <c r="I163" s="723"/>
    </row>
    <row r="164" spans="2:9" ht="22.5" customHeight="1" x14ac:dyDescent="0.2">
      <c r="B164" s="2051"/>
      <c r="C164" s="2047" t="s">
        <v>211</v>
      </c>
      <c r="D164" s="2043" t="s">
        <v>149</v>
      </c>
      <c r="E164" s="2106">
        <v>4</v>
      </c>
      <c r="F164" s="2045">
        <v>0</v>
      </c>
      <c r="G164" s="2046">
        <f t="shared" si="4"/>
        <v>0</v>
      </c>
      <c r="H164" s="1043"/>
      <c r="I164" s="723"/>
    </row>
    <row r="165" spans="2:9" ht="23.25" customHeight="1" x14ac:dyDescent="0.2">
      <c r="B165" s="2051"/>
      <c r="C165" s="2047" t="s">
        <v>212</v>
      </c>
      <c r="D165" s="2043" t="s">
        <v>149</v>
      </c>
      <c r="E165" s="2106">
        <v>4</v>
      </c>
      <c r="F165" s="2045">
        <v>0</v>
      </c>
      <c r="G165" s="2046">
        <f t="shared" si="4"/>
        <v>0</v>
      </c>
      <c r="H165" s="1043"/>
      <c r="I165" s="723"/>
    </row>
    <row r="166" spans="2:9" ht="24" customHeight="1" x14ac:dyDescent="0.2">
      <c r="B166" s="2051"/>
      <c r="C166" s="2047" t="s">
        <v>1104</v>
      </c>
      <c r="D166" s="2043" t="s">
        <v>149</v>
      </c>
      <c r="E166" s="2106">
        <v>4</v>
      </c>
      <c r="F166" s="2045">
        <v>0</v>
      </c>
      <c r="G166" s="2046">
        <f t="shared" si="4"/>
        <v>0</v>
      </c>
      <c r="H166" s="1043"/>
      <c r="I166" s="723"/>
    </row>
    <row r="167" spans="2:9" ht="14.25" customHeight="1" x14ac:dyDescent="0.2">
      <c r="B167" s="2051"/>
      <c r="C167" s="2047" t="s">
        <v>214</v>
      </c>
      <c r="D167" s="2043" t="s">
        <v>149</v>
      </c>
      <c r="E167" s="2106">
        <v>4</v>
      </c>
      <c r="F167" s="2045">
        <v>0</v>
      </c>
      <c r="G167" s="2046">
        <f t="shared" si="4"/>
        <v>0</v>
      </c>
      <c r="H167" s="1043"/>
      <c r="I167" s="723"/>
    </row>
    <row r="168" spans="2:9" ht="14.25" customHeight="1" x14ac:dyDescent="0.2">
      <c r="B168" s="2051"/>
      <c r="C168" s="2047" t="s">
        <v>215</v>
      </c>
      <c r="D168" s="2043" t="s">
        <v>149</v>
      </c>
      <c r="E168" s="2106">
        <v>4</v>
      </c>
      <c r="F168" s="2045">
        <v>0</v>
      </c>
      <c r="G168" s="2046">
        <f t="shared" si="4"/>
        <v>0</v>
      </c>
      <c r="H168" s="1043"/>
      <c r="I168" s="723"/>
    </row>
    <row r="169" spans="2:9" ht="14.25" customHeight="1" x14ac:dyDescent="0.2">
      <c r="B169" s="2051"/>
      <c r="C169" s="2048" t="s">
        <v>216</v>
      </c>
      <c r="D169" s="2043" t="s">
        <v>149</v>
      </c>
      <c r="E169" s="2106">
        <v>4</v>
      </c>
      <c r="F169" s="2045">
        <v>0</v>
      </c>
      <c r="G169" s="2046">
        <f t="shared" si="4"/>
        <v>0</v>
      </c>
      <c r="H169" s="1043"/>
      <c r="I169" s="723"/>
    </row>
    <row r="170" spans="2:9" ht="14.25" customHeight="1" x14ac:dyDescent="0.2">
      <c r="B170" s="2051"/>
      <c r="C170" s="2048" t="s">
        <v>217</v>
      </c>
      <c r="D170" s="2043" t="s">
        <v>149</v>
      </c>
      <c r="E170" s="2106">
        <v>4</v>
      </c>
      <c r="F170" s="2045">
        <v>0</v>
      </c>
      <c r="G170" s="2046">
        <f t="shared" si="4"/>
        <v>0</v>
      </c>
      <c r="H170" s="1043"/>
      <c r="I170" s="723"/>
    </row>
    <row r="171" spans="2:9" ht="33" customHeight="1" x14ac:dyDescent="0.2">
      <c r="B171" s="2051"/>
      <c r="C171" s="2048" t="s">
        <v>195</v>
      </c>
      <c r="D171" s="2043" t="s">
        <v>149</v>
      </c>
      <c r="E171" s="2106">
        <v>8</v>
      </c>
      <c r="F171" s="2045">
        <v>0</v>
      </c>
      <c r="G171" s="2046">
        <f t="shared" si="4"/>
        <v>0</v>
      </c>
      <c r="H171" s="1043"/>
      <c r="I171" s="723"/>
    </row>
    <row r="172" spans="2:9" ht="27.75" customHeight="1" x14ac:dyDescent="0.2">
      <c r="B172" s="2051"/>
      <c r="C172" s="2048" t="s">
        <v>1292</v>
      </c>
      <c r="D172" s="2043" t="s">
        <v>149</v>
      </c>
      <c r="E172" s="2106">
        <v>8</v>
      </c>
      <c r="F172" s="2045">
        <v>0</v>
      </c>
      <c r="G172" s="2046">
        <f t="shared" si="4"/>
        <v>0</v>
      </c>
      <c r="H172" s="1043"/>
      <c r="I172" s="723"/>
    </row>
    <row r="173" spans="2:9" ht="27.75" customHeight="1" x14ac:dyDescent="0.2">
      <c r="B173" s="2051"/>
      <c r="C173" s="2048" t="s">
        <v>219</v>
      </c>
      <c r="D173" s="2043" t="s">
        <v>149</v>
      </c>
      <c r="E173" s="2106">
        <v>4</v>
      </c>
      <c r="F173" s="2045">
        <v>0</v>
      </c>
      <c r="G173" s="2046">
        <f t="shared" si="4"/>
        <v>0</v>
      </c>
      <c r="H173" s="1043"/>
      <c r="I173" s="723"/>
    </row>
    <row r="174" spans="2:9" ht="23.25" customHeight="1" x14ac:dyDescent="0.2">
      <c r="B174" s="2051"/>
      <c r="C174" s="2048" t="s">
        <v>227</v>
      </c>
      <c r="D174" s="2043" t="s">
        <v>149</v>
      </c>
      <c r="E174" s="2106">
        <v>12</v>
      </c>
      <c r="F174" s="2045">
        <v>0</v>
      </c>
      <c r="G174" s="2046">
        <f t="shared" si="4"/>
        <v>0</v>
      </c>
      <c r="H174" s="1043"/>
      <c r="I174" s="723"/>
    </row>
    <row r="175" spans="2:9" ht="32.25" customHeight="1" x14ac:dyDescent="0.2">
      <c r="B175" s="2051"/>
      <c r="C175" s="2050" t="s">
        <v>1196</v>
      </c>
      <c r="D175" s="2043" t="s">
        <v>149</v>
      </c>
      <c r="E175" s="2106">
        <v>4</v>
      </c>
      <c r="F175" s="2045">
        <v>0</v>
      </c>
      <c r="G175" s="2046">
        <f t="shared" si="4"/>
        <v>0</v>
      </c>
      <c r="H175" s="1043"/>
      <c r="I175" s="723"/>
    </row>
    <row r="176" spans="2:9" ht="14.25" customHeight="1" x14ac:dyDescent="0.2">
      <c r="B176" s="950"/>
      <c r="C176" s="955"/>
      <c r="D176" s="2515"/>
      <c r="E176" s="2516"/>
      <c r="F176" s="2517"/>
      <c r="G176" s="2517"/>
      <c r="H176" s="1043"/>
      <c r="I176" s="723"/>
    </row>
    <row r="177" spans="2:12" ht="18" customHeight="1" x14ac:dyDescent="0.2">
      <c r="B177" s="2109" t="s">
        <v>1259</v>
      </c>
      <c r="C177" s="2060" t="s">
        <v>1296</v>
      </c>
      <c r="D177" s="2110"/>
      <c r="E177" s="2111"/>
      <c r="F177" s="2671"/>
      <c r="G177" s="2671"/>
      <c r="H177" s="1043"/>
      <c r="J177" s="723"/>
    </row>
    <row r="178" spans="2:12" ht="14.25" customHeight="1" x14ac:dyDescent="0.2">
      <c r="B178" s="2109"/>
      <c r="C178" s="2112" t="s">
        <v>191</v>
      </c>
      <c r="D178" s="2107" t="s">
        <v>149</v>
      </c>
      <c r="E178" s="2108">
        <v>3</v>
      </c>
      <c r="F178" s="2045">
        <v>0</v>
      </c>
      <c r="G178" s="2046">
        <f t="shared" ref="G178:G185" si="5">E178*F178</f>
        <v>0</v>
      </c>
      <c r="H178" s="1043"/>
      <c r="J178" s="723"/>
    </row>
    <row r="179" spans="2:12" ht="55.5" customHeight="1" x14ac:dyDescent="0.2">
      <c r="B179" s="2109"/>
      <c r="C179" s="2112" t="s">
        <v>192</v>
      </c>
      <c r="D179" s="2107" t="s">
        <v>149</v>
      </c>
      <c r="E179" s="2108">
        <v>3</v>
      </c>
      <c r="F179" s="2045">
        <v>0</v>
      </c>
      <c r="G179" s="2046">
        <f t="shared" si="5"/>
        <v>0</v>
      </c>
      <c r="H179" s="1043"/>
      <c r="J179" s="723"/>
    </row>
    <row r="180" spans="2:12" ht="18" customHeight="1" x14ac:dyDescent="0.2">
      <c r="B180" s="2109"/>
      <c r="C180" s="2112" t="s">
        <v>193</v>
      </c>
      <c r="D180" s="2107" t="s">
        <v>149</v>
      </c>
      <c r="E180" s="2108">
        <v>3</v>
      </c>
      <c r="F180" s="2045">
        <v>0</v>
      </c>
      <c r="G180" s="2046">
        <f t="shared" si="5"/>
        <v>0</v>
      </c>
      <c r="H180" s="1043"/>
      <c r="J180" s="723"/>
    </row>
    <row r="181" spans="2:12" ht="18" customHeight="1" x14ac:dyDescent="0.2">
      <c r="B181" s="2109"/>
      <c r="C181" s="2112" t="s">
        <v>194</v>
      </c>
      <c r="D181" s="2107" t="s">
        <v>149</v>
      </c>
      <c r="E181" s="2108">
        <v>3</v>
      </c>
      <c r="F181" s="2045">
        <v>0</v>
      </c>
      <c r="G181" s="2046">
        <f t="shared" si="5"/>
        <v>0</v>
      </c>
      <c r="H181" s="1043"/>
      <c r="J181" s="723"/>
    </row>
    <row r="182" spans="2:12" ht="28.5" customHeight="1" x14ac:dyDescent="0.2">
      <c r="B182" s="2109"/>
      <c r="C182" s="2112" t="s">
        <v>195</v>
      </c>
      <c r="D182" s="2107" t="s">
        <v>149</v>
      </c>
      <c r="E182" s="2108">
        <v>6</v>
      </c>
      <c r="F182" s="2045">
        <v>0</v>
      </c>
      <c r="G182" s="2046">
        <f t="shared" si="5"/>
        <v>0</v>
      </c>
      <c r="H182" s="1043"/>
      <c r="J182" s="723"/>
    </row>
    <row r="183" spans="2:12" ht="30" customHeight="1" x14ac:dyDescent="0.2">
      <c r="B183" s="2109"/>
      <c r="C183" s="2112" t="s">
        <v>1297</v>
      </c>
      <c r="D183" s="2107" t="s">
        <v>149</v>
      </c>
      <c r="E183" s="2108">
        <v>6</v>
      </c>
      <c r="F183" s="2045">
        <v>0</v>
      </c>
      <c r="G183" s="2046">
        <f t="shared" si="5"/>
        <v>0</v>
      </c>
      <c r="H183" s="1043"/>
      <c r="J183" s="723"/>
    </row>
    <row r="184" spans="2:12" ht="31.5" customHeight="1" x14ac:dyDescent="0.2">
      <c r="B184" s="2109"/>
      <c r="C184" s="2112" t="s">
        <v>197</v>
      </c>
      <c r="D184" s="2107" t="s">
        <v>149</v>
      </c>
      <c r="E184" s="2108">
        <v>3</v>
      </c>
      <c r="F184" s="2045">
        <v>0</v>
      </c>
      <c r="G184" s="2046">
        <f t="shared" si="5"/>
        <v>0</v>
      </c>
      <c r="H184" s="1043"/>
      <c r="J184" s="723"/>
    </row>
    <row r="185" spans="2:12" ht="36.75" customHeight="1" x14ac:dyDescent="0.2">
      <c r="B185" s="2109"/>
      <c r="C185" s="2112" t="s">
        <v>198</v>
      </c>
      <c r="D185" s="2107" t="s">
        <v>149</v>
      </c>
      <c r="E185" s="2108">
        <v>3</v>
      </c>
      <c r="F185" s="2045">
        <v>0</v>
      </c>
      <c r="G185" s="2046">
        <f t="shared" si="5"/>
        <v>0</v>
      </c>
      <c r="H185" s="1043"/>
      <c r="J185" s="723"/>
    </row>
    <row r="186" spans="2:12" ht="18" customHeight="1" x14ac:dyDescent="0.2">
      <c r="B186" s="950"/>
      <c r="C186" s="955"/>
      <c r="D186" s="2515"/>
      <c r="E186" s="2516"/>
      <c r="F186" s="2517"/>
      <c r="G186" s="2517"/>
      <c r="H186" s="1048"/>
      <c r="J186" s="723"/>
    </row>
    <row r="187" spans="2:12" ht="29.25" customHeight="1" x14ac:dyDescent="0.2">
      <c r="B187" s="2051" t="s">
        <v>1261</v>
      </c>
      <c r="C187" s="2060" t="s">
        <v>1298</v>
      </c>
      <c r="D187" s="2110"/>
      <c r="E187" s="2111"/>
      <c r="F187" s="2671"/>
      <c r="G187" s="2671"/>
      <c r="H187" s="1048"/>
      <c r="I187" s="964"/>
      <c r="J187" s="723"/>
      <c r="K187" s="723"/>
      <c r="L187" s="723"/>
    </row>
    <row r="188" spans="2:12" ht="15" customHeight="1" x14ac:dyDescent="0.2">
      <c r="B188" s="2051"/>
      <c r="C188" s="2113" t="s">
        <v>207</v>
      </c>
      <c r="D188" s="2043" t="s">
        <v>149</v>
      </c>
      <c r="E188" s="2106">
        <v>1</v>
      </c>
      <c r="F188" s="2045">
        <v>0</v>
      </c>
      <c r="G188" s="2046">
        <f t="shared" ref="G188:G198" si="6">E188*F188</f>
        <v>0</v>
      </c>
      <c r="H188" s="1048"/>
      <c r="I188" s="964"/>
      <c r="J188" s="723"/>
      <c r="K188" s="723"/>
      <c r="L188" s="723"/>
    </row>
    <row r="189" spans="2:12" ht="45" customHeight="1" x14ac:dyDescent="0.2">
      <c r="B189" s="2051"/>
      <c r="C189" s="2113" t="s">
        <v>223</v>
      </c>
      <c r="D189" s="2043" t="s">
        <v>149</v>
      </c>
      <c r="E189" s="2106">
        <v>1</v>
      </c>
      <c r="F189" s="2045">
        <v>0</v>
      </c>
      <c r="G189" s="2046">
        <f t="shared" si="6"/>
        <v>0</v>
      </c>
      <c r="H189" s="1048"/>
      <c r="I189" s="964"/>
      <c r="J189" s="723"/>
      <c r="K189" s="723"/>
      <c r="L189" s="723"/>
    </row>
    <row r="190" spans="2:12" ht="27.75" customHeight="1" x14ac:dyDescent="0.2">
      <c r="B190" s="2051"/>
      <c r="C190" s="2113" t="s">
        <v>213</v>
      </c>
      <c r="D190" s="2043" t="s">
        <v>149</v>
      </c>
      <c r="E190" s="2106">
        <v>1</v>
      </c>
      <c r="F190" s="2045">
        <v>0</v>
      </c>
      <c r="G190" s="2046">
        <f t="shared" si="6"/>
        <v>0</v>
      </c>
      <c r="H190" s="1048"/>
      <c r="I190" s="964"/>
      <c r="J190" s="723"/>
      <c r="K190" s="723"/>
      <c r="L190" s="723"/>
    </row>
    <row r="191" spans="2:12" ht="18.75" customHeight="1" x14ac:dyDescent="0.2">
      <c r="B191" s="2051"/>
      <c r="C191" s="2113" t="s">
        <v>224</v>
      </c>
      <c r="D191" s="2043" t="s">
        <v>149</v>
      </c>
      <c r="E191" s="2106">
        <v>1</v>
      </c>
      <c r="F191" s="2045">
        <v>0</v>
      </c>
      <c r="G191" s="2046">
        <f t="shared" si="6"/>
        <v>0</v>
      </c>
      <c r="H191" s="1048"/>
      <c r="I191" s="964"/>
      <c r="J191" s="723"/>
      <c r="K191" s="723"/>
      <c r="L191" s="723"/>
    </row>
    <row r="192" spans="2:12" ht="18.75" customHeight="1" x14ac:dyDescent="0.2">
      <c r="B192" s="2051"/>
      <c r="C192" s="2113" t="s">
        <v>225</v>
      </c>
      <c r="D192" s="2043" t="s">
        <v>149</v>
      </c>
      <c r="E192" s="2106">
        <v>1</v>
      </c>
      <c r="F192" s="2045">
        <v>0</v>
      </c>
      <c r="G192" s="2046">
        <f t="shared" si="6"/>
        <v>0</v>
      </c>
      <c r="H192" s="1048"/>
      <c r="I192" s="964"/>
      <c r="J192" s="723"/>
      <c r="K192" s="723"/>
      <c r="L192" s="723"/>
    </row>
    <row r="193" spans="2:15" ht="28.5" customHeight="1" x14ac:dyDescent="0.2">
      <c r="B193" s="2051"/>
      <c r="C193" s="2048" t="s">
        <v>226</v>
      </c>
      <c r="D193" s="2043" t="s">
        <v>149</v>
      </c>
      <c r="E193" s="2106">
        <v>1</v>
      </c>
      <c r="F193" s="2045">
        <v>0</v>
      </c>
      <c r="G193" s="2046">
        <f t="shared" si="6"/>
        <v>0</v>
      </c>
      <c r="H193" s="1048"/>
      <c r="I193" s="964"/>
      <c r="J193" s="723"/>
      <c r="K193" s="723"/>
      <c r="L193" s="723"/>
      <c r="M193" s="723"/>
    </row>
    <row r="194" spans="2:15" ht="21" customHeight="1" x14ac:dyDescent="0.2">
      <c r="B194" s="2051"/>
      <c r="C194" s="2048" t="s">
        <v>217</v>
      </c>
      <c r="D194" s="2043" t="s">
        <v>149</v>
      </c>
      <c r="E194" s="2106">
        <v>1</v>
      </c>
      <c r="F194" s="2045">
        <v>0</v>
      </c>
      <c r="G194" s="2046">
        <f t="shared" si="6"/>
        <v>0</v>
      </c>
      <c r="H194" s="1048"/>
      <c r="I194" s="964"/>
      <c r="J194" s="723"/>
      <c r="K194" s="723"/>
      <c r="L194" s="723"/>
      <c r="M194" s="723"/>
    </row>
    <row r="195" spans="2:15" ht="29.25" customHeight="1" x14ac:dyDescent="0.2">
      <c r="B195" s="2051"/>
      <c r="C195" s="2048" t="s">
        <v>195</v>
      </c>
      <c r="D195" s="2043" t="s">
        <v>149</v>
      </c>
      <c r="E195" s="2106">
        <v>2</v>
      </c>
      <c r="F195" s="2045">
        <v>0</v>
      </c>
      <c r="G195" s="2046">
        <f t="shared" si="6"/>
        <v>0</v>
      </c>
      <c r="H195" s="1048"/>
      <c r="I195" s="964"/>
      <c r="J195" s="723"/>
      <c r="K195" s="723"/>
      <c r="L195" s="723"/>
      <c r="M195" s="723"/>
    </row>
    <row r="196" spans="2:15" ht="30.75" customHeight="1" x14ac:dyDescent="0.2">
      <c r="B196" s="2051"/>
      <c r="C196" s="2048" t="s">
        <v>1292</v>
      </c>
      <c r="D196" s="2043" t="s">
        <v>149</v>
      </c>
      <c r="E196" s="2106">
        <v>2</v>
      </c>
      <c r="F196" s="2045">
        <v>0</v>
      </c>
      <c r="G196" s="2046">
        <f t="shared" si="6"/>
        <v>0</v>
      </c>
      <c r="H196" s="1048"/>
      <c r="I196" s="964"/>
      <c r="J196" s="723"/>
      <c r="K196" s="723"/>
      <c r="L196" s="723"/>
      <c r="M196" s="723"/>
    </row>
    <row r="197" spans="2:15" ht="32.450000000000003" customHeight="1" x14ac:dyDescent="0.2">
      <c r="B197" s="2051"/>
      <c r="C197" s="2048" t="s">
        <v>227</v>
      </c>
      <c r="D197" s="2043" t="s">
        <v>149</v>
      </c>
      <c r="E197" s="2106">
        <v>1</v>
      </c>
      <c r="F197" s="2045">
        <v>0</v>
      </c>
      <c r="G197" s="2046">
        <f t="shared" si="6"/>
        <v>0</v>
      </c>
      <c r="H197" s="1048"/>
      <c r="I197" s="964"/>
      <c r="J197" s="723"/>
      <c r="K197" s="723"/>
      <c r="L197" s="723"/>
      <c r="M197" s="723"/>
    </row>
    <row r="198" spans="2:15" ht="32.450000000000003" customHeight="1" x14ac:dyDescent="0.2">
      <c r="B198" s="2051"/>
      <c r="C198" s="2048" t="s">
        <v>1196</v>
      </c>
      <c r="D198" s="2043" t="s">
        <v>149</v>
      </c>
      <c r="E198" s="2106">
        <v>1</v>
      </c>
      <c r="F198" s="2045">
        <v>0</v>
      </c>
      <c r="G198" s="2046">
        <f t="shared" si="6"/>
        <v>0</v>
      </c>
      <c r="H198" s="1048"/>
      <c r="I198" s="964"/>
      <c r="J198" s="723"/>
      <c r="K198" s="723"/>
      <c r="L198" s="723"/>
      <c r="M198" s="723"/>
    </row>
    <row r="199" spans="2:15" x14ac:dyDescent="0.2">
      <c r="B199" s="950"/>
      <c r="C199" s="955"/>
      <c r="D199" s="2515"/>
      <c r="E199" s="2516"/>
      <c r="F199" s="2517"/>
      <c r="G199" s="2517"/>
      <c r="H199" s="1048"/>
      <c r="I199" s="964"/>
      <c r="J199" s="723"/>
      <c r="K199" s="723"/>
      <c r="L199" s="723"/>
      <c r="M199" s="723"/>
      <c r="N199" s="723"/>
      <c r="O199" s="723"/>
    </row>
    <row r="200" spans="2:15" x14ac:dyDescent="0.2">
      <c r="B200" s="2051" t="s">
        <v>1264</v>
      </c>
      <c r="C200" s="2059" t="s">
        <v>1299</v>
      </c>
      <c r="D200" s="2110"/>
      <c r="E200" s="2111"/>
      <c r="F200" s="2671"/>
      <c r="G200" s="2671"/>
      <c r="H200" s="1048"/>
      <c r="I200" s="964"/>
      <c r="J200" s="723"/>
      <c r="K200" s="723"/>
      <c r="L200" s="723"/>
      <c r="M200" s="723"/>
      <c r="N200" s="723"/>
      <c r="O200" s="723"/>
    </row>
    <row r="201" spans="2:15" ht="25.5" x14ac:dyDescent="0.2">
      <c r="B201" s="2051"/>
      <c r="C201" s="2042" t="s">
        <v>238</v>
      </c>
      <c r="D201" s="2043" t="s">
        <v>149</v>
      </c>
      <c r="E201" s="2106">
        <v>1</v>
      </c>
      <c r="F201" s="2045">
        <v>0</v>
      </c>
      <c r="G201" s="2046">
        <f t="shared" ref="G201:G210" si="7">E201*F201</f>
        <v>0</v>
      </c>
      <c r="H201" s="1048"/>
      <c r="I201" s="964"/>
      <c r="J201" s="723"/>
      <c r="K201" s="723"/>
      <c r="L201" s="723"/>
      <c r="M201" s="723"/>
      <c r="N201" s="723"/>
      <c r="O201" s="723"/>
    </row>
    <row r="202" spans="2:15" ht="25.5" x14ac:dyDescent="0.2">
      <c r="B202" s="2051"/>
      <c r="C202" s="2048" t="s">
        <v>195</v>
      </c>
      <c r="D202" s="2043" t="s">
        <v>149</v>
      </c>
      <c r="E202" s="2106">
        <v>2</v>
      </c>
      <c r="F202" s="2045">
        <v>0</v>
      </c>
      <c r="G202" s="2046">
        <f t="shared" si="7"/>
        <v>0</v>
      </c>
      <c r="H202" s="1048"/>
      <c r="I202" s="964"/>
      <c r="J202" s="723"/>
      <c r="K202" s="723"/>
      <c r="L202" s="723"/>
      <c r="M202" s="723"/>
      <c r="N202" s="723"/>
      <c r="O202" s="723"/>
    </row>
    <row r="203" spans="2:15" ht="25.5" x14ac:dyDescent="0.2">
      <c r="B203" s="2051"/>
      <c r="C203" s="2048" t="s">
        <v>239</v>
      </c>
      <c r="D203" s="2043" t="s">
        <v>149</v>
      </c>
      <c r="E203" s="2106">
        <v>1</v>
      </c>
      <c r="F203" s="2045">
        <v>0</v>
      </c>
      <c r="G203" s="2046">
        <f t="shared" si="7"/>
        <v>0</v>
      </c>
      <c r="H203" s="1048"/>
      <c r="I203" s="964"/>
      <c r="J203" s="723"/>
      <c r="K203" s="723"/>
      <c r="L203" s="723"/>
      <c r="M203" s="723"/>
      <c r="N203" s="723"/>
      <c r="O203" s="723"/>
    </row>
    <row r="204" spans="2:15" ht="25.5" x14ac:dyDescent="0.2">
      <c r="B204" s="2051"/>
      <c r="C204" s="2048" t="s">
        <v>1292</v>
      </c>
      <c r="D204" s="2043" t="s">
        <v>149</v>
      </c>
      <c r="E204" s="2106">
        <v>1</v>
      </c>
      <c r="F204" s="2045">
        <v>0</v>
      </c>
      <c r="G204" s="2046">
        <f t="shared" si="7"/>
        <v>0</v>
      </c>
      <c r="H204" s="1048"/>
      <c r="I204" s="964"/>
      <c r="J204" s="723"/>
      <c r="K204" s="723"/>
      <c r="L204" s="723"/>
      <c r="M204" s="723"/>
      <c r="N204" s="723"/>
      <c r="O204" s="723"/>
    </row>
    <row r="205" spans="2:15" ht="25.5" x14ac:dyDescent="0.2">
      <c r="B205" s="2051"/>
      <c r="C205" s="2048" t="s">
        <v>1294</v>
      </c>
      <c r="D205" s="2043" t="s">
        <v>149</v>
      </c>
      <c r="E205" s="2106">
        <v>1</v>
      </c>
      <c r="F205" s="2045">
        <v>0</v>
      </c>
      <c r="G205" s="2046">
        <f t="shared" si="7"/>
        <v>0</v>
      </c>
      <c r="H205" s="1048"/>
      <c r="I205" s="964"/>
      <c r="J205" s="723"/>
      <c r="K205" s="723"/>
      <c r="L205" s="723"/>
      <c r="M205" s="723"/>
      <c r="N205" s="723"/>
      <c r="O205" s="723"/>
    </row>
    <row r="206" spans="2:15" ht="25.5" x14ac:dyDescent="0.2">
      <c r="B206" s="2051"/>
      <c r="C206" s="2048" t="s">
        <v>1267</v>
      </c>
      <c r="D206" s="2043" t="s">
        <v>149</v>
      </c>
      <c r="E206" s="2106">
        <v>1</v>
      </c>
      <c r="F206" s="2045">
        <v>0</v>
      </c>
      <c r="G206" s="2046">
        <f t="shared" si="7"/>
        <v>0</v>
      </c>
      <c r="H206" s="1048"/>
      <c r="I206" s="964"/>
      <c r="J206" s="723"/>
      <c r="K206" s="723"/>
      <c r="L206" s="723"/>
      <c r="M206" s="723"/>
      <c r="N206" s="723"/>
      <c r="O206" s="723"/>
    </row>
    <row r="207" spans="2:15" x14ac:dyDescent="0.2">
      <c r="B207" s="2051"/>
      <c r="C207" s="2048" t="s">
        <v>1268</v>
      </c>
      <c r="D207" s="2043" t="s">
        <v>149</v>
      </c>
      <c r="E207" s="2106">
        <v>1</v>
      </c>
      <c r="F207" s="2045">
        <v>0</v>
      </c>
      <c r="G207" s="2046">
        <f t="shared" si="7"/>
        <v>0</v>
      </c>
      <c r="H207" s="1048"/>
      <c r="I207" s="964"/>
      <c r="J207" s="723"/>
      <c r="K207" s="723"/>
      <c r="L207" s="723"/>
      <c r="M207" s="723"/>
      <c r="N207" s="723"/>
      <c r="O207" s="723"/>
    </row>
    <row r="208" spans="2:15" ht="25.5" x14ac:dyDescent="0.2">
      <c r="B208" s="2051"/>
      <c r="C208" s="2048" t="s">
        <v>1269</v>
      </c>
      <c r="D208" s="2043" t="s">
        <v>149</v>
      </c>
      <c r="E208" s="2106">
        <v>1</v>
      </c>
      <c r="F208" s="2045">
        <v>0</v>
      </c>
      <c r="G208" s="2046">
        <f t="shared" si="7"/>
        <v>0</v>
      </c>
      <c r="H208" s="1048"/>
      <c r="I208" s="964"/>
      <c r="J208" s="723"/>
      <c r="K208" s="723"/>
      <c r="L208" s="723"/>
      <c r="M208" s="723"/>
      <c r="N208" s="723"/>
      <c r="O208" s="723"/>
    </row>
    <row r="209" spans="2:15" ht="25.5" x14ac:dyDescent="0.2">
      <c r="B209" s="2051"/>
      <c r="C209" s="2048" t="s">
        <v>227</v>
      </c>
      <c r="D209" s="2043" t="s">
        <v>149</v>
      </c>
      <c r="E209" s="2106">
        <v>1</v>
      </c>
      <c r="F209" s="2045">
        <v>0</v>
      </c>
      <c r="G209" s="2046">
        <f t="shared" si="7"/>
        <v>0</v>
      </c>
      <c r="H209" s="1048"/>
      <c r="I209" s="964"/>
      <c r="J209" s="723"/>
      <c r="K209" s="723"/>
      <c r="L209" s="723"/>
      <c r="M209" s="723"/>
      <c r="N209" s="723"/>
      <c r="O209" s="723"/>
    </row>
    <row r="210" spans="2:15" ht="25.5" x14ac:dyDescent="0.2">
      <c r="B210" s="2051"/>
      <c r="C210" s="2050" t="s">
        <v>1196</v>
      </c>
      <c r="D210" s="2043" t="s">
        <v>149</v>
      </c>
      <c r="E210" s="2106">
        <v>1</v>
      </c>
      <c r="F210" s="2045">
        <v>0</v>
      </c>
      <c r="G210" s="2046">
        <f t="shared" si="7"/>
        <v>0</v>
      </c>
      <c r="H210" s="1048"/>
      <c r="I210" s="964"/>
      <c r="J210" s="723"/>
      <c r="K210" s="723"/>
      <c r="L210" s="723"/>
      <c r="M210" s="723"/>
      <c r="N210" s="723"/>
      <c r="O210" s="723"/>
    </row>
    <row r="211" spans="2:15" x14ac:dyDescent="0.2">
      <c r="B211" s="950"/>
      <c r="C211" s="955"/>
      <c r="D211" s="2515"/>
      <c r="E211" s="2516"/>
      <c r="F211" s="2517"/>
      <c r="G211" s="2517"/>
      <c r="H211" s="1048"/>
      <c r="I211" s="964"/>
      <c r="J211" s="723"/>
      <c r="K211" s="723"/>
      <c r="L211" s="723"/>
      <c r="M211" s="723"/>
      <c r="N211" s="723"/>
      <c r="O211" s="723"/>
    </row>
    <row r="212" spans="2:15" ht="28.5" customHeight="1" x14ac:dyDescent="0.2">
      <c r="B212" s="2051" t="s">
        <v>1270</v>
      </c>
      <c r="C212" s="2059" t="s">
        <v>1300</v>
      </c>
      <c r="D212" s="2673"/>
      <c r="E212" s="2672"/>
      <c r="F212" s="2621"/>
      <c r="G212" s="2621"/>
      <c r="H212" s="1048"/>
      <c r="I212" s="964"/>
      <c r="J212" s="723"/>
      <c r="K212" s="723"/>
      <c r="L212" s="723"/>
      <c r="M212" s="723"/>
      <c r="N212" s="723"/>
      <c r="O212" s="723"/>
    </row>
    <row r="213" spans="2:15" x14ac:dyDescent="0.2">
      <c r="B213" s="2051"/>
      <c r="C213" s="2042" t="s">
        <v>207</v>
      </c>
      <c r="D213" s="2043" t="s">
        <v>149</v>
      </c>
      <c r="E213" s="2106">
        <v>4</v>
      </c>
      <c r="F213" s="2045">
        <v>0</v>
      </c>
      <c r="G213" s="2046">
        <f t="shared" ref="G213:G223" si="8">E213*F213</f>
        <v>0</v>
      </c>
      <c r="H213" s="1048"/>
      <c r="I213" s="964"/>
      <c r="J213" s="723"/>
      <c r="K213" s="723"/>
      <c r="L213" s="723"/>
      <c r="M213" s="723"/>
      <c r="N213" s="723"/>
      <c r="O213" s="723"/>
    </row>
    <row r="214" spans="2:15" ht="38.25" x14ac:dyDescent="0.2">
      <c r="B214" s="2051"/>
      <c r="C214" s="2047" t="s">
        <v>223</v>
      </c>
      <c r="D214" s="2043" t="s">
        <v>149</v>
      </c>
      <c r="E214" s="2106">
        <v>4</v>
      </c>
      <c r="F214" s="2045">
        <v>0</v>
      </c>
      <c r="G214" s="2046">
        <f t="shared" si="8"/>
        <v>0</v>
      </c>
      <c r="H214" s="1048"/>
      <c r="I214" s="964"/>
      <c r="J214" s="723"/>
      <c r="K214" s="723"/>
      <c r="L214" s="723"/>
      <c r="M214" s="723"/>
      <c r="N214" s="723"/>
      <c r="O214" s="723"/>
    </row>
    <row r="215" spans="2:15" ht="25.5" x14ac:dyDescent="0.2">
      <c r="B215" s="2051"/>
      <c r="C215" s="2047" t="s">
        <v>213</v>
      </c>
      <c r="D215" s="2043" t="s">
        <v>149</v>
      </c>
      <c r="E215" s="2106">
        <v>4</v>
      </c>
      <c r="F215" s="2045">
        <v>0</v>
      </c>
      <c r="G215" s="2046">
        <f t="shared" si="8"/>
        <v>0</v>
      </c>
      <c r="H215" s="1048"/>
      <c r="I215" s="964"/>
      <c r="J215" s="723"/>
      <c r="K215" s="723"/>
      <c r="L215" s="723"/>
      <c r="M215" s="723"/>
      <c r="N215" s="723"/>
      <c r="O215" s="723"/>
    </row>
    <row r="216" spans="2:15" x14ac:dyDescent="0.2">
      <c r="B216" s="2051"/>
      <c r="C216" s="2047" t="s">
        <v>224</v>
      </c>
      <c r="D216" s="2043" t="s">
        <v>149</v>
      </c>
      <c r="E216" s="2106">
        <v>4</v>
      </c>
      <c r="F216" s="2045">
        <v>0</v>
      </c>
      <c r="G216" s="2046">
        <f t="shared" si="8"/>
        <v>0</v>
      </c>
      <c r="H216" s="1048"/>
      <c r="I216" s="964"/>
      <c r="J216" s="723"/>
      <c r="K216" s="723"/>
      <c r="L216" s="723"/>
      <c r="M216" s="723"/>
      <c r="N216" s="723"/>
      <c r="O216" s="723"/>
    </row>
    <row r="217" spans="2:15" x14ac:dyDescent="0.2">
      <c r="B217" s="2051"/>
      <c r="C217" s="2047" t="s">
        <v>225</v>
      </c>
      <c r="D217" s="2043" t="s">
        <v>149</v>
      </c>
      <c r="E217" s="2106">
        <v>4</v>
      </c>
      <c r="F217" s="2045">
        <v>0</v>
      </c>
      <c r="G217" s="2046">
        <f t="shared" si="8"/>
        <v>0</v>
      </c>
      <c r="H217" s="1048"/>
      <c r="I217" s="964"/>
      <c r="J217" s="723"/>
      <c r="K217" s="723"/>
      <c r="L217" s="723"/>
      <c r="M217" s="723"/>
      <c r="N217" s="723"/>
      <c r="O217" s="723"/>
    </row>
    <row r="218" spans="2:15" x14ac:dyDescent="0.2">
      <c r="B218" s="2051"/>
      <c r="C218" s="2048" t="s">
        <v>226</v>
      </c>
      <c r="D218" s="2043" t="s">
        <v>149</v>
      </c>
      <c r="E218" s="2106">
        <v>4</v>
      </c>
      <c r="F218" s="2045">
        <v>0</v>
      </c>
      <c r="G218" s="2046">
        <f t="shared" si="8"/>
        <v>0</v>
      </c>
      <c r="H218" s="1048"/>
      <c r="I218" s="964"/>
      <c r="J218" s="723"/>
      <c r="K218" s="723"/>
      <c r="L218" s="723"/>
      <c r="M218" s="723"/>
      <c r="N218" s="723"/>
      <c r="O218" s="723"/>
    </row>
    <row r="219" spans="2:15" x14ac:dyDescent="0.2">
      <c r="B219" s="2051"/>
      <c r="C219" s="2048" t="s">
        <v>217</v>
      </c>
      <c r="D219" s="2043" t="s">
        <v>149</v>
      </c>
      <c r="E219" s="2106">
        <v>4</v>
      </c>
      <c r="F219" s="2045">
        <v>0</v>
      </c>
      <c r="G219" s="2046">
        <f t="shared" si="8"/>
        <v>0</v>
      </c>
      <c r="H219" s="1048"/>
      <c r="I219" s="964"/>
      <c r="J219" s="723"/>
      <c r="K219" s="723"/>
      <c r="L219" s="723"/>
      <c r="M219" s="723"/>
      <c r="N219" s="723"/>
      <c r="O219" s="723"/>
    </row>
    <row r="220" spans="2:15" ht="25.5" x14ac:dyDescent="0.2">
      <c r="B220" s="2051"/>
      <c r="C220" s="2048" t="s">
        <v>235</v>
      </c>
      <c r="D220" s="2043" t="s">
        <v>149</v>
      </c>
      <c r="E220" s="2106">
        <v>8</v>
      </c>
      <c r="F220" s="2045">
        <v>0</v>
      </c>
      <c r="G220" s="2046">
        <f t="shared" si="8"/>
        <v>0</v>
      </c>
      <c r="H220" s="1048"/>
      <c r="I220" s="964"/>
      <c r="J220" s="723"/>
      <c r="K220" s="723"/>
      <c r="L220" s="723"/>
      <c r="M220" s="723"/>
      <c r="N220" s="723"/>
      <c r="O220" s="723"/>
    </row>
    <row r="221" spans="2:15" ht="25.5" x14ac:dyDescent="0.2">
      <c r="B221" s="2051"/>
      <c r="C221" s="2048" t="s">
        <v>1294</v>
      </c>
      <c r="D221" s="2043" t="s">
        <v>149</v>
      </c>
      <c r="E221" s="2106">
        <v>8</v>
      </c>
      <c r="F221" s="2045">
        <v>0</v>
      </c>
      <c r="G221" s="2046">
        <f t="shared" si="8"/>
        <v>0</v>
      </c>
      <c r="H221" s="1048"/>
      <c r="I221" s="964"/>
      <c r="J221" s="723"/>
      <c r="K221" s="723"/>
      <c r="L221" s="723"/>
      <c r="M221" s="723"/>
      <c r="N221" s="723"/>
      <c r="O221" s="723"/>
    </row>
    <row r="222" spans="2:15" ht="25.5" x14ac:dyDescent="0.2">
      <c r="B222" s="2051"/>
      <c r="C222" s="2048" t="s">
        <v>227</v>
      </c>
      <c r="D222" s="2043" t="s">
        <v>149</v>
      </c>
      <c r="E222" s="2106">
        <v>4</v>
      </c>
      <c r="F222" s="2045">
        <v>0</v>
      </c>
      <c r="G222" s="2046">
        <f t="shared" si="8"/>
        <v>0</v>
      </c>
      <c r="H222" s="1048"/>
      <c r="I222" s="964"/>
      <c r="J222" s="723"/>
      <c r="K222" s="723"/>
      <c r="L222" s="723"/>
      <c r="M222" s="723"/>
      <c r="N222" s="723"/>
      <c r="O222" s="723"/>
    </row>
    <row r="223" spans="2:15" ht="25.5" x14ac:dyDescent="0.2">
      <c r="B223" s="2051"/>
      <c r="C223" s="2050" t="s">
        <v>1196</v>
      </c>
      <c r="D223" s="2043" t="s">
        <v>149</v>
      </c>
      <c r="E223" s="2106">
        <v>4</v>
      </c>
      <c r="F223" s="2045">
        <v>0</v>
      </c>
      <c r="G223" s="2046">
        <f t="shared" si="8"/>
        <v>0</v>
      </c>
      <c r="H223" s="1048"/>
      <c r="I223" s="964"/>
      <c r="J223" s="723"/>
      <c r="K223" s="723"/>
      <c r="L223" s="723"/>
      <c r="M223" s="723"/>
      <c r="N223" s="723"/>
      <c r="O223" s="723"/>
    </row>
    <row r="224" spans="2:15" x14ac:dyDescent="0.2">
      <c r="B224" s="950"/>
      <c r="C224" s="955"/>
      <c r="D224" s="2515"/>
      <c r="E224" s="2516"/>
      <c r="F224" s="2517"/>
      <c r="G224" s="2517"/>
      <c r="H224" s="1048"/>
      <c r="I224" s="964"/>
      <c r="J224" s="723"/>
      <c r="K224" s="723"/>
      <c r="L224" s="723"/>
      <c r="M224" s="723"/>
      <c r="N224" s="723"/>
      <c r="O224" s="723"/>
    </row>
    <row r="225" spans="2:15" x14ac:dyDescent="0.2">
      <c r="B225" s="2051" t="s">
        <v>1275</v>
      </c>
      <c r="C225" s="2059" t="s">
        <v>1301</v>
      </c>
      <c r="D225" s="2673"/>
      <c r="E225" s="2672"/>
      <c r="F225" s="2621"/>
      <c r="G225" s="2621"/>
      <c r="H225" s="1048"/>
      <c r="I225" s="964"/>
      <c r="J225" s="723"/>
      <c r="K225" s="723"/>
      <c r="L225" s="723"/>
      <c r="M225" s="723"/>
      <c r="N225" s="723"/>
      <c r="O225" s="723"/>
    </row>
    <row r="226" spans="2:15" ht="25.5" x14ac:dyDescent="0.2">
      <c r="B226" s="2051"/>
      <c r="C226" s="2048" t="s">
        <v>1294</v>
      </c>
      <c r="D226" s="2043" t="s">
        <v>149</v>
      </c>
      <c r="E226" s="2106">
        <v>1</v>
      </c>
      <c r="F226" s="2045">
        <v>0</v>
      </c>
      <c r="G226" s="2046">
        <f t="shared" ref="G226:G228" si="9">E226*F226</f>
        <v>0</v>
      </c>
      <c r="H226" s="1048"/>
      <c r="I226" s="964"/>
      <c r="J226" s="723"/>
      <c r="K226" s="723"/>
      <c r="L226" s="723"/>
      <c r="M226" s="723"/>
      <c r="N226" s="723"/>
      <c r="O226" s="723"/>
    </row>
    <row r="227" spans="2:15" ht="25.5" x14ac:dyDescent="0.2">
      <c r="B227" s="2051"/>
      <c r="C227" s="2048" t="s">
        <v>1302</v>
      </c>
      <c r="D227" s="2043" t="s">
        <v>149</v>
      </c>
      <c r="E227" s="2106">
        <v>1</v>
      </c>
      <c r="F227" s="2045">
        <v>0</v>
      </c>
      <c r="G227" s="2046">
        <f t="shared" si="9"/>
        <v>0</v>
      </c>
      <c r="H227" s="1048"/>
      <c r="I227" s="964"/>
      <c r="J227" s="723"/>
      <c r="K227" s="723"/>
      <c r="L227" s="723"/>
      <c r="M227" s="723"/>
      <c r="N227" s="723"/>
      <c r="O227" s="723"/>
    </row>
    <row r="228" spans="2:15" ht="25.5" x14ac:dyDescent="0.2">
      <c r="B228" s="2051"/>
      <c r="C228" s="2048" t="s">
        <v>1269</v>
      </c>
      <c r="D228" s="2043" t="s">
        <v>149</v>
      </c>
      <c r="E228" s="2106">
        <v>1</v>
      </c>
      <c r="F228" s="2045">
        <v>0</v>
      </c>
      <c r="G228" s="2046">
        <f t="shared" si="9"/>
        <v>0</v>
      </c>
      <c r="H228" s="1048"/>
      <c r="I228" s="964"/>
      <c r="J228" s="723"/>
      <c r="K228" s="723"/>
      <c r="L228" s="723"/>
      <c r="M228" s="723"/>
      <c r="N228" s="723"/>
      <c r="O228" s="723"/>
    </row>
    <row r="229" spans="2:15" x14ac:dyDescent="0.2">
      <c r="B229" s="950"/>
      <c r="C229" s="1044"/>
      <c r="D229" s="1045"/>
      <c r="E229" s="1046"/>
      <c r="F229" s="2517"/>
      <c r="G229" s="2517"/>
      <c r="H229" s="1048"/>
      <c r="I229" s="964"/>
      <c r="J229" s="723"/>
      <c r="K229" s="723"/>
      <c r="L229" s="723"/>
      <c r="M229" s="723"/>
      <c r="N229" s="723"/>
      <c r="O229" s="723"/>
    </row>
    <row r="230" spans="2:15" x14ac:dyDescent="0.2">
      <c r="B230" s="2051" t="s">
        <v>1303</v>
      </c>
      <c r="C230" s="2059" t="s">
        <v>1304</v>
      </c>
      <c r="D230" s="2673"/>
      <c r="E230" s="2672"/>
      <c r="F230" s="2621"/>
      <c r="G230" s="2621"/>
      <c r="H230" s="1048"/>
      <c r="I230" s="964"/>
      <c r="J230" s="723"/>
      <c r="K230" s="723"/>
      <c r="L230" s="723"/>
      <c r="M230" s="723"/>
      <c r="N230" s="723"/>
      <c r="O230" s="723"/>
    </row>
    <row r="231" spans="2:15" ht="25.5" x14ac:dyDescent="0.2">
      <c r="B231" s="2051"/>
      <c r="C231" s="2042" t="s">
        <v>238</v>
      </c>
      <c r="D231" s="2043" t="s">
        <v>149</v>
      </c>
      <c r="E231" s="2106">
        <v>1</v>
      </c>
      <c r="F231" s="2045">
        <v>0</v>
      </c>
      <c r="G231" s="2046">
        <f t="shared" ref="G231:G239" si="10">E231*F231</f>
        <v>0</v>
      </c>
      <c r="H231" s="1048"/>
      <c r="I231" s="964"/>
      <c r="J231" s="723"/>
      <c r="K231" s="723"/>
      <c r="L231" s="723"/>
      <c r="M231" s="723"/>
      <c r="N231" s="723"/>
      <c r="O231" s="723"/>
    </row>
    <row r="232" spans="2:15" ht="25.5" x14ac:dyDescent="0.2">
      <c r="B232" s="2051"/>
      <c r="C232" s="2048" t="s">
        <v>235</v>
      </c>
      <c r="D232" s="2043" t="s">
        <v>149</v>
      </c>
      <c r="E232" s="2106">
        <v>2</v>
      </c>
      <c r="F232" s="2045">
        <v>0</v>
      </c>
      <c r="G232" s="2046">
        <f t="shared" si="10"/>
        <v>0</v>
      </c>
      <c r="H232" s="1048"/>
      <c r="I232" s="964"/>
      <c r="J232" s="723"/>
      <c r="K232" s="723"/>
      <c r="L232" s="723"/>
      <c r="M232" s="723"/>
      <c r="N232" s="723"/>
      <c r="O232" s="723"/>
    </row>
    <row r="233" spans="2:15" ht="25.5" x14ac:dyDescent="0.2">
      <c r="B233" s="2051"/>
      <c r="C233" s="2048" t="s">
        <v>239</v>
      </c>
      <c r="D233" s="2043" t="s">
        <v>149</v>
      </c>
      <c r="E233" s="2106">
        <v>1</v>
      </c>
      <c r="F233" s="2045">
        <v>0</v>
      </c>
      <c r="G233" s="2046">
        <f t="shared" si="10"/>
        <v>0</v>
      </c>
      <c r="H233" s="1048"/>
      <c r="I233" s="964"/>
      <c r="J233" s="723"/>
      <c r="K233" s="723"/>
      <c r="L233" s="723"/>
      <c r="M233" s="723"/>
      <c r="N233" s="723"/>
      <c r="O233" s="723"/>
    </row>
    <row r="234" spans="2:15" ht="25.5" x14ac:dyDescent="0.2">
      <c r="B234" s="2051"/>
      <c r="C234" s="2048" t="s">
        <v>1294</v>
      </c>
      <c r="D234" s="2043" t="s">
        <v>149</v>
      </c>
      <c r="E234" s="2106">
        <v>2</v>
      </c>
      <c r="F234" s="2045">
        <v>0</v>
      </c>
      <c r="G234" s="2046">
        <f t="shared" si="10"/>
        <v>0</v>
      </c>
      <c r="H234" s="1048"/>
      <c r="I234" s="964"/>
      <c r="J234" s="723"/>
      <c r="K234" s="723"/>
      <c r="L234" s="723"/>
      <c r="M234" s="723"/>
      <c r="N234" s="723"/>
      <c r="O234" s="723"/>
    </row>
    <row r="235" spans="2:15" ht="25.5" x14ac:dyDescent="0.2">
      <c r="B235" s="2051"/>
      <c r="C235" s="2048" t="s">
        <v>1267</v>
      </c>
      <c r="D235" s="2043" t="s">
        <v>149</v>
      </c>
      <c r="E235" s="2106">
        <v>1</v>
      </c>
      <c r="F235" s="2045">
        <v>0</v>
      </c>
      <c r="G235" s="2046">
        <f t="shared" si="10"/>
        <v>0</v>
      </c>
      <c r="H235" s="1048"/>
      <c r="I235" s="964"/>
      <c r="J235" s="723"/>
      <c r="K235" s="723"/>
      <c r="L235" s="723"/>
      <c r="M235" s="723"/>
      <c r="N235" s="723"/>
      <c r="O235" s="723"/>
    </row>
    <row r="236" spans="2:15" x14ac:dyDescent="0.2">
      <c r="B236" s="2051"/>
      <c r="C236" s="2048" t="s">
        <v>1268</v>
      </c>
      <c r="D236" s="2043" t="s">
        <v>149</v>
      </c>
      <c r="E236" s="2106">
        <v>1</v>
      </c>
      <c r="F236" s="2045">
        <v>0</v>
      </c>
      <c r="G236" s="2046">
        <f t="shared" si="10"/>
        <v>0</v>
      </c>
      <c r="H236" s="1048"/>
      <c r="I236" s="964"/>
      <c r="J236" s="723"/>
      <c r="K236" s="723"/>
      <c r="L236" s="723"/>
      <c r="M236" s="723"/>
      <c r="N236" s="723"/>
      <c r="O236" s="723"/>
    </row>
    <row r="237" spans="2:15" ht="25.5" x14ac:dyDescent="0.2">
      <c r="B237" s="2051"/>
      <c r="C237" s="2048" t="s">
        <v>1269</v>
      </c>
      <c r="D237" s="2043" t="s">
        <v>149</v>
      </c>
      <c r="E237" s="2106">
        <v>1</v>
      </c>
      <c r="F237" s="2045">
        <v>0</v>
      </c>
      <c r="G237" s="2046">
        <f t="shared" si="10"/>
        <v>0</v>
      </c>
      <c r="H237" s="1048"/>
      <c r="I237" s="964"/>
      <c r="J237" s="723"/>
      <c r="K237" s="723"/>
      <c r="L237" s="723"/>
      <c r="M237" s="723"/>
      <c r="N237" s="723"/>
      <c r="O237" s="723"/>
    </row>
    <row r="238" spans="2:15" ht="25.5" x14ac:dyDescent="0.2">
      <c r="B238" s="2051"/>
      <c r="C238" s="2048" t="s">
        <v>227</v>
      </c>
      <c r="D238" s="2043" t="s">
        <v>149</v>
      </c>
      <c r="E238" s="2106">
        <v>1</v>
      </c>
      <c r="F238" s="2045">
        <v>0</v>
      </c>
      <c r="G238" s="2046">
        <f t="shared" si="10"/>
        <v>0</v>
      </c>
      <c r="H238" s="1048"/>
      <c r="I238" s="964"/>
      <c r="J238" s="723"/>
      <c r="K238" s="723"/>
      <c r="L238" s="723"/>
      <c r="M238" s="723"/>
      <c r="N238" s="723"/>
      <c r="O238" s="723"/>
    </row>
    <row r="239" spans="2:15" ht="25.5" x14ac:dyDescent="0.2">
      <c r="B239" s="2051"/>
      <c r="C239" s="2050" t="s">
        <v>1196</v>
      </c>
      <c r="D239" s="2043" t="s">
        <v>149</v>
      </c>
      <c r="E239" s="2106">
        <v>1</v>
      </c>
      <c r="F239" s="2045">
        <v>0</v>
      </c>
      <c r="G239" s="2046">
        <f t="shared" si="10"/>
        <v>0</v>
      </c>
      <c r="H239" s="1048"/>
      <c r="I239" s="964"/>
      <c r="J239" s="723"/>
      <c r="K239" s="723"/>
      <c r="L239" s="723"/>
      <c r="M239" s="723"/>
      <c r="N239" s="723"/>
      <c r="O239" s="723"/>
    </row>
    <row r="240" spans="2:15" x14ac:dyDescent="0.2">
      <c r="B240" s="950"/>
      <c r="C240" s="955"/>
      <c r="D240" s="2515"/>
      <c r="E240" s="2516"/>
      <c r="F240" s="2517"/>
      <c r="G240" s="2517"/>
      <c r="H240" s="1048"/>
      <c r="I240" s="964"/>
      <c r="J240" s="723"/>
      <c r="K240" s="723"/>
      <c r="L240" s="723"/>
      <c r="M240" s="723"/>
      <c r="N240" s="723"/>
      <c r="O240" s="723"/>
    </row>
    <row r="241" spans="2:15" x14ac:dyDescent="0.2">
      <c r="B241" s="2051" t="s">
        <v>1305</v>
      </c>
      <c r="C241" s="2059" t="s">
        <v>1306</v>
      </c>
      <c r="D241" s="2673"/>
      <c r="E241" s="2672"/>
      <c r="F241" s="2621"/>
      <c r="G241" s="2621"/>
      <c r="H241" s="1048"/>
      <c r="I241" s="964"/>
      <c r="J241" s="723"/>
      <c r="K241" s="723"/>
      <c r="L241" s="723"/>
      <c r="M241" s="723"/>
      <c r="N241" s="723"/>
      <c r="O241" s="723"/>
    </row>
    <row r="242" spans="2:15" x14ac:dyDescent="0.2">
      <c r="B242" s="2051"/>
      <c r="C242" s="2042" t="s">
        <v>207</v>
      </c>
      <c r="D242" s="2043" t="s">
        <v>149</v>
      </c>
      <c r="E242" s="2106">
        <v>1</v>
      </c>
      <c r="F242" s="2045">
        <v>0</v>
      </c>
      <c r="G242" s="2046">
        <f t="shared" ref="G242:G249" si="11">E242*F242</f>
        <v>0</v>
      </c>
      <c r="H242" s="1048"/>
      <c r="I242" s="964"/>
      <c r="J242" s="723"/>
      <c r="K242" s="723"/>
      <c r="L242" s="723"/>
      <c r="M242" s="723"/>
      <c r="N242" s="723"/>
      <c r="O242" s="723"/>
    </row>
    <row r="243" spans="2:15" ht="63.75" x14ac:dyDescent="0.2">
      <c r="B243" s="2051"/>
      <c r="C243" s="2047" t="s">
        <v>192</v>
      </c>
      <c r="D243" s="2043" t="s">
        <v>149</v>
      </c>
      <c r="E243" s="2106">
        <v>1</v>
      </c>
      <c r="F243" s="2045">
        <v>0</v>
      </c>
      <c r="G243" s="2046">
        <f t="shared" si="11"/>
        <v>0</v>
      </c>
      <c r="H243" s="1048"/>
      <c r="I243" s="964"/>
      <c r="J243" s="723"/>
      <c r="K243" s="723"/>
      <c r="L243" s="723"/>
      <c r="M243" s="723"/>
      <c r="N243" s="723"/>
      <c r="O243" s="723"/>
    </row>
    <row r="244" spans="2:15" x14ac:dyDescent="0.2">
      <c r="B244" s="2051"/>
      <c r="C244" s="2047" t="s">
        <v>193</v>
      </c>
      <c r="D244" s="2043" t="s">
        <v>149</v>
      </c>
      <c r="E244" s="2106">
        <v>1</v>
      </c>
      <c r="F244" s="2045">
        <v>0</v>
      </c>
      <c r="G244" s="2046">
        <f t="shared" si="11"/>
        <v>0</v>
      </c>
      <c r="H244" s="1048"/>
      <c r="I244" s="964"/>
      <c r="J244" s="723"/>
      <c r="K244" s="723"/>
      <c r="L244" s="723"/>
      <c r="M244" s="723"/>
      <c r="N244" s="723"/>
      <c r="O244" s="723"/>
    </row>
    <row r="245" spans="2:15" x14ac:dyDescent="0.2">
      <c r="B245" s="2051"/>
      <c r="C245" s="2047" t="s">
        <v>194</v>
      </c>
      <c r="D245" s="2043" t="s">
        <v>149</v>
      </c>
      <c r="E245" s="2106">
        <v>1</v>
      </c>
      <c r="F245" s="2045">
        <v>0</v>
      </c>
      <c r="G245" s="2046">
        <f t="shared" si="11"/>
        <v>0</v>
      </c>
      <c r="H245" s="1048"/>
      <c r="I245" s="964"/>
      <c r="J245" s="723"/>
      <c r="K245" s="723"/>
      <c r="L245" s="723"/>
      <c r="M245" s="723"/>
      <c r="N245" s="723"/>
      <c r="O245" s="723"/>
    </row>
    <row r="246" spans="2:15" ht="25.5" x14ac:dyDescent="0.2">
      <c r="B246" s="2051"/>
      <c r="C246" s="2047" t="s">
        <v>235</v>
      </c>
      <c r="D246" s="2043" t="s">
        <v>149</v>
      </c>
      <c r="E246" s="2106">
        <v>2</v>
      </c>
      <c r="F246" s="2045">
        <v>0</v>
      </c>
      <c r="G246" s="2046">
        <f t="shared" si="11"/>
        <v>0</v>
      </c>
      <c r="H246" s="1048"/>
      <c r="I246" s="964"/>
      <c r="J246" s="723"/>
      <c r="K246" s="723"/>
      <c r="L246" s="723"/>
      <c r="M246" s="723"/>
      <c r="N246" s="723"/>
      <c r="O246" s="723"/>
    </row>
    <row r="247" spans="2:15" ht="25.5" x14ac:dyDescent="0.2">
      <c r="B247" s="2051"/>
      <c r="C247" s="2047" t="s">
        <v>1307</v>
      </c>
      <c r="D247" s="2043" t="s">
        <v>149</v>
      </c>
      <c r="E247" s="2106">
        <v>2</v>
      </c>
      <c r="F247" s="2045">
        <v>0</v>
      </c>
      <c r="G247" s="2046">
        <f t="shared" si="11"/>
        <v>0</v>
      </c>
      <c r="H247" s="1048"/>
      <c r="I247" s="964"/>
      <c r="J247" s="723"/>
      <c r="K247" s="723"/>
      <c r="L247" s="723"/>
      <c r="M247" s="723"/>
      <c r="N247" s="723"/>
      <c r="O247" s="723"/>
    </row>
    <row r="248" spans="2:15" ht="25.5" x14ac:dyDescent="0.2">
      <c r="B248" s="2051"/>
      <c r="C248" s="2047" t="s">
        <v>197</v>
      </c>
      <c r="D248" s="2043" t="s">
        <v>149</v>
      </c>
      <c r="E248" s="2106">
        <v>1</v>
      </c>
      <c r="F248" s="2045">
        <v>0</v>
      </c>
      <c r="G248" s="2046">
        <f t="shared" si="11"/>
        <v>0</v>
      </c>
      <c r="H248" s="1048"/>
      <c r="I248" s="964"/>
      <c r="J248" s="723"/>
      <c r="K248" s="723"/>
      <c r="L248" s="723"/>
      <c r="M248" s="723"/>
      <c r="N248" s="723"/>
      <c r="O248" s="723"/>
    </row>
    <row r="249" spans="2:15" ht="25.5" x14ac:dyDescent="0.2">
      <c r="B249" s="2051"/>
      <c r="C249" s="2047" t="s">
        <v>1196</v>
      </c>
      <c r="D249" s="2043" t="s">
        <v>149</v>
      </c>
      <c r="E249" s="2106">
        <v>1</v>
      </c>
      <c r="F249" s="2045">
        <v>0</v>
      </c>
      <c r="G249" s="2046">
        <f t="shared" si="11"/>
        <v>0</v>
      </c>
      <c r="H249" s="1048"/>
      <c r="I249" s="964"/>
      <c r="J249" s="723"/>
      <c r="K249" s="723"/>
      <c r="L249" s="723"/>
      <c r="M249" s="723"/>
      <c r="N249" s="723"/>
      <c r="O249" s="723"/>
    </row>
    <row r="250" spans="2:15" x14ac:dyDescent="0.2">
      <c r="B250" s="950"/>
      <c r="C250" s="963"/>
      <c r="D250" s="2515"/>
      <c r="E250" s="2516"/>
      <c r="F250" s="2517"/>
      <c r="G250" s="2517"/>
      <c r="H250" s="1048"/>
      <c r="I250" s="964"/>
      <c r="J250" s="723"/>
      <c r="K250" s="723"/>
      <c r="L250" s="723"/>
      <c r="M250" s="723"/>
      <c r="N250" s="723"/>
      <c r="O250" s="723"/>
    </row>
    <row r="251" spans="2:15" ht="38.25" x14ac:dyDescent="0.2">
      <c r="B251" s="950" t="s">
        <v>1308</v>
      </c>
      <c r="C251" s="1044" t="s">
        <v>229</v>
      </c>
      <c r="D251" s="1049" t="s">
        <v>149</v>
      </c>
      <c r="E251" s="1050">
        <v>11</v>
      </c>
      <c r="F251" s="2009">
        <v>0</v>
      </c>
      <c r="G251" s="1051">
        <f>E251*F251</f>
        <v>0</v>
      </c>
      <c r="H251" s="1048"/>
      <c r="I251" s="964"/>
      <c r="J251" s="723"/>
      <c r="K251" s="723"/>
      <c r="L251" s="723"/>
      <c r="M251" s="723"/>
      <c r="N251" s="723"/>
      <c r="O251" s="723"/>
    </row>
    <row r="252" spans="2:15" x14ac:dyDescent="0.2">
      <c r="B252" s="950"/>
      <c r="C252" s="1044"/>
      <c r="D252" s="1045"/>
      <c r="E252" s="1046"/>
      <c r="F252" s="2517"/>
      <c r="G252" s="2517"/>
      <c r="H252" s="1048"/>
      <c r="I252" s="964"/>
      <c r="J252" s="723"/>
      <c r="K252" s="723"/>
      <c r="L252" s="723"/>
      <c r="M252" s="723"/>
      <c r="N252" s="723"/>
      <c r="O252" s="723"/>
    </row>
    <row r="253" spans="2:15" x14ac:dyDescent="0.2">
      <c r="B253" s="950"/>
      <c r="C253" s="1044"/>
      <c r="D253" s="1045"/>
      <c r="E253" s="1046"/>
      <c r="F253" s="2517"/>
      <c r="G253" s="2517"/>
      <c r="H253" s="1048"/>
      <c r="I253" s="964"/>
      <c r="J253" s="723"/>
      <c r="K253" s="723"/>
      <c r="L253" s="723"/>
      <c r="M253" s="723"/>
      <c r="N253" s="723"/>
      <c r="O253" s="723"/>
    </row>
    <row r="254" spans="2:15" s="723" customFormat="1" x14ac:dyDescent="0.2">
      <c r="B254" s="702" t="s">
        <v>17</v>
      </c>
      <c r="C254" s="1052" t="s">
        <v>302</v>
      </c>
      <c r="D254" s="1053"/>
      <c r="E254" s="1054"/>
      <c r="F254" s="1055"/>
      <c r="G254" s="1029">
        <f>SUM(G123:G253)</f>
        <v>0</v>
      </c>
      <c r="H254" s="744"/>
      <c r="J254" s="996"/>
    </row>
    <row r="255" spans="2:15" s="723" customFormat="1" x14ac:dyDescent="0.2">
      <c r="B255" s="908"/>
      <c r="C255" s="989"/>
      <c r="D255" s="2656"/>
      <c r="E255" s="2610"/>
      <c r="F255" s="2611"/>
      <c r="G255" s="2612"/>
      <c r="H255" s="744"/>
      <c r="J255" s="996"/>
    </row>
    <row r="256" spans="2:15" s="723" customFormat="1" x14ac:dyDescent="0.2">
      <c r="B256" s="739"/>
      <c r="C256" s="740"/>
      <c r="D256" s="2654"/>
      <c r="E256" s="2610"/>
      <c r="F256" s="2611"/>
      <c r="G256" s="2612"/>
      <c r="H256" s="991"/>
      <c r="J256" s="996"/>
    </row>
    <row r="257" spans="2:10" s="723" customFormat="1" x14ac:dyDescent="0.2">
      <c r="B257" s="739"/>
      <c r="C257" s="740"/>
      <c r="D257" s="2654"/>
      <c r="E257" s="2610"/>
      <c r="F257" s="2611"/>
      <c r="G257" s="2612"/>
      <c r="H257" s="991"/>
      <c r="J257" s="996"/>
    </row>
    <row r="258" spans="2:10" s="723" customFormat="1" x14ac:dyDescent="0.2">
      <c r="B258" s="739"/>
      <c r="C258" s="740"/>
      <c r="D258" s="2654"/>
      <c r="E258" s="2610"/>
      <c r="F258" s="2611"/>
      <c r="G258" s="2612"/>
      <c r="H258" s="744"/>
      <c r="J258" s="996"/>
    </row>
    <row r="259" spans="2:10" s="723" customFormat="1" x14ac:dyDescent="0.2">
      <c r="B259" s="739"/>
      <c r="C259" s="740"/>
      <c r="D259" s="2654"/>
      <c r="E259" s="2610"/>
      <c r="F259" s="2611"/>
      <c r="G259" s="2612"/>
      <c r="H259" s="744"/>
      <c r="J259" s="996"/>
    </row>
    <row r="260" spans="2:10" s="723" customFormat="1" x14ac:dyDescent="0.2">
      <c r="B260" s="739"/>
      <c r="C260" s="740"/>
      <c r="D260" s="2654"/>
      <c r="E260" s="2610"/>
      <c r="F260" s="2611"/>
      <c r="G260" s="2612"/>
      <c r="H260" s="744"/>
      <c r="J260" s="996"/>
    </row>
    <row r="261" spans="2:10" s="723" customFormat="1" ht="15" customHeight="1" x14ac:dyDescent="0.2">
      <c r="B261" s="739"/>
      <c r="C261" s="740"/>
      <c r="D261" s="2654"/>
      <c r="E261" s="2610"/>
      <c r="F261" s="2611"/>
      <c r="G261" s="2612"/>
      <c r="H261" s="744"/>
      <c r="J261" s="996"/>
    </row>
    <row r="262" spans="2:10" s="723" customFormat="1" x14ac:dyDescent="0.2">
      <c r="B262" s="739"/>
      <c r="C262" s="740"/>
      <c r="D262" s="2654"/>
      <c r="E262" s="2610"/>
      <c r="F262" s="2611"/>
      <c r="G262" s="2612"/>
      <c r="H262" s="744"/>
      <c r="J262" s="996"/>
    </row>
    <row r="263" spans="2:10" s="723" customFormat="1" ht="16.5" customHeight="1" x14ac:dyDescent="0.2">
      <c r="B263" s="739"/>
      <c r="C263" s="740"/>
      <c r="D263" s="2654"/>
      <c r="E263" s="2610"/>
      <c r="F263" s="2611"/>
      <c r="G263" s="2612"/>
      <c r="H263" s="744"/>
    </row>
    <row r="264" spans="2:10" s="723" customFormat="1" x14ac:dyDescent="0.2">
      <c r="B264" s="739"/>
      <c r="C264" s="740"/>
      <c r="D264" s="2654"/>
      <c r="E264" s="2610"/>
      <c r="F264" s="2611"/>
      <c r="G264" s="2612"/>
      <c r="H264" s="744"/>
    </row>
    <row r="265" spans="2:10" s="723" customFormat="1" x14ac:dyDescent="0.2">
      <c r="B265" s="739"/>
      <c r="C265" s="740"/>
      <c r="D265" s="2654"/>
      <c r="E265" s="2610"/>
      <c r="F265" s="2611"/>
      <c r="G265" s="2612"/>
      <c r="H265" s="744"/>
    </row>
    <row r="266" spans="2:10" s="723" customFormat="1" x14ac:dyDescent="0.2">
      <c r="B266" s="739"/>
      <c r="C266" s="740"/>
      <c r="D266" s="2654"/>
      <c r="E266" s="2610"/>
      <c r="F266" s="2611"/>
      <c r="G266" s="2612"/>
      <c r="H266" s="744"/>
    </row>
    <row r="267" spans="2:10" s="723" customFormat="1" x14ac:dyDescent="0.2">
      <c r="B267" s="739"/>
      <c r="C267" s="740"/>
      <c r="D267" s="2654"/>
      <c r="E267" s="2610"/>
      <c r="F267" s="2611"/>
      <c r="G267" s="2612"/>
      <c r="H267" s="744"/>
      <c r="J267" s="996"/>
    </row>
    <row r="268" spans="2:10" s="723" customFormat="1" x14ac:dyDescent="0.2">
      <c r="B268" s="739"/>
      <c r="C268" s="740"/>
      <c r="D268" s="2654"/>
      <c r="E268" s="2610"/>
      <c r="F268" s="2611"/>
      <c r="G268" s="2612"/>
      <c r="H268" s="744"/>
      <c r="J268" s="996"/>
    </row>
    <row r="269" spans="2:10" s="723" customFormat="1" x14ac:dyDescent="0.2">
      <c r="B269" s="739"/>
      <c r="C269" s="740"/>
      <c r="D269" s="2654"/>
      <c r="E269" s="2610"/>
      <c r="F269" s="2611"/>
      <c r="G269" s="2612"/>
      <c r="H269" s="744"/>
      <c r="J269" s="996"/>
    </row>
    <row r="270" spans="2:10" s="723" customFormat="1" x14ac:dyDescent="0.2">
      <c r="B270" s="739"/>
      <c r="C270" s="740"/>
      <c r="D270" s="2654"/>
      <c r="E270" s="2610"/>
      <c r="F270" s="2611"/>
      <c r="G270" s="2612"/>
      <c r="H270" s="744"/>
      <c r="J270" s="996"/>
    </row>
    <row r="271" spans="2:10" s="723" customFormat="1" x14ac:dyDescent="0.2">
      <c r="B271" s="739"/>
      <c r="C271" s="740"/>
      <c r="D271" s="2654"/>
      <c r="E271" s="2610"/>
      <c r="F271" s="2611"/>
      <c r="G271" s="2612"/>
      <c r="H271" s="744"/>
      <c r="J271" s="996"/>
    </row>
    <row r="272" spans="2:10" s="723" customFormat="1" x14ac:dyDescent="0.2">
      <c r="B272" s="739"/>
      <c r="C272" s="740"/>
      <c r="D272" s="2654"/>
      <c r="E272" s="2610"/>
      <c r="F272" s="2611"/>
      <c r="G272" s="2612"/>
      <c r="H272" s="744"/>
      <c r="J272" s="996"/>
    </row>
    <row r="273" spans="2:10" s="723" customFormat="1" x14ac:dyDescent="0.2">
      <c r="B273" s="739"/>
      <c r="C273" s="740"/>
      <c r="D273" s="2654"/>
      <c r="E273" s="2610"/>
      <c r="F273" s="2611"/>
      <c r="G273" s="2612"/>
      <c r="H273" s="744"/>
    </row>
    <row r="274" spans="2:10" s="723" customFormat="1" x14ac:dyDescent="0.2">
      <c r="B274" s="739"/>
      <c r="C274" s="740"/>
      <c r="D274" s="2654"/>
      <c r="E274" s="2610"/>
      <c r="F274" s="2611"/>
      <c r="G274" s="2612"/>
      <c r="H274" s="744"/>
    </row>
    <row r="275" spans="2:10" s="723" customFormat="1" x14ac:dyDescent="0.2">
      <c r="B275" s="739"/>
      <c r="C275" s="740"/>
      <c r="D275" s="2654"/>
      <c r="E275" s="2610"/>
      <c r="F275" s="2611"/>
      <c r="G275" s="2612"/>
      <c r="H275" s="744"/>
    </row>
    <row r="276" spans="2:10" s="723" customFormat="1" x14ac:dyDescent="0.2">
      <c r="B276" s="739"/>
      <c r="C276" s="740"/>
      <c r="D276" s="2654"/>
      <c r="E276" s="2610"/>
      <c r="F276" s="2611"/>
      <c r="G276" s="2612"/>
      <c r="H276" s="744"/>
    </row>
    <row r="277" spans="2:10" s="723" customFormat="1" x14ac:dyDescent="0.2">
      <c r="B277" s="739"/>
      <c r="C277" s="740"/>
      <c r="D277" s="2654"/>
      <c r="E277" s="2610"/>
      <c r="F277" s="2611"/>
      <c r="G277" s="2612"/>
      <c r="H277" s="744"/>
      <c r="J277" s="996"/>
    </row>
    <row r="278" spans="2:10" s="723" customFormat="1" x14ac:dyDescent="0.2">
      <c r="B278" s="739"/>
      <c r="C278" s="740"/>
      <c r="D278" s="2654"/>
      <c r="E278" s="2610"/>
      <c r="F278" s="2611"/>
      <c r="G278" s="2612"/>
      <c r="H278" s="744"/>
      <c r="J278" s="996"/>
    </row>
    <row r="279" spans="2:10" s="723" customFormat="1" x14ac:dyDescent="0.2">
      <c r="B279" s="739"/>
      <c r="C279" s="740"/>
      <c r="D279" s="2654"/>
      <c r="E279" s="2610"/>
      <c r="F279" s="2611"/>
      <c r="G279" s="2612"/>
      <c r="H279" s="744"/>
    </row>
    <row r="280" spans="2:10" s="723" customFormat="1" x14ac:dyDescent="0.2">
      <c r="B280" s="739"/>
      <c r="C280" s="740"/>
      <c r="D280" s="2654"/>
      <c r="E280" s="2610"/>
      <c r="F280" s="2611"/>
      <c r="G280" s="2612"/>
      <c r="H280" s="744"/>
      <c r="I280" s="741"/>
    </row>
    <row r="281" spans="2:10" s="723" customFormat="1" x14ac:dyDescent="0.2">
      <c r="B281" s="739"/>
      <c r="C281" s="740"/>
      <c r="D281" s="2654"/>
      <c r="E281" s="2610"/>
      <c r="F281" s="2611"/>
      <c r="G281" s="2612"/>
      <c r="H281" s="744"/>
      <c r="I281" s="741"/>
    </row>
    <row r="282" spans="2:10" s="723" customFormat="1" x14ac:dyDescent="0.2">
      <c r="B282" s="739"/>
      <c r="C282" s="740"/>
      <c r="D282" s="2654"/>
      <c r="E282" s="2610"/>
      <c r="F282" s="2611"/>
      <c r="G282" s="2612"/>
      <c r="H282" s="744"/>
      <c r="I282" s="741"/>
    </row>
    <row r="283" spans="2:10" s="723" customFormat="1" x14ac:dyDescent="0.2">
      <c r="B283" s="739"/>
      <c r="C283" s="740"/>
      <c r="D283" s="2654"/>
      <c r="E283" s="2610"/>
      <c r="F283" s="2611"/>
      <c r="G283" s="2612"/>
      <c r="H283" s="744"/>
      <c r="I283" s="741"/>
    </row>
    <row r="284" spans="2:10" s="723" customFormat="1" x14ac:dyDescent="0.2">
      <c r="B284" s="739"/>
      <c r="C284" s="740"/>
      <c r="D284" s="2654"/>
      <c r="E284" s="2610"/>
      <c r="F284" s="2611"/>
      <c r="G284" s="2612"/>
      <c r="H284" s="744"/>
      <c r="I284" s="741"/>
    </row>
    <row r="285" spans="2:10" s="723" customFormat="1" x14ac:dyDescent="0.2">
      <c r="B285" s="739"/>
      <c r="C285" s="740"/>
      <c r="D285" s="2654"/>
      <c r="E285" s="2610"/>
      <c r="F285" s="2611"/>
      <c r="G285" s="2612"/>
      <c r="H285" s="744"/>
      <c r="I285" s="741"/>
    </row>
    <row r="286" spans="2:10" s="723" customFormat="1" x14ac:dyDescent="0.2">
      <c r="B286" s="739"/>
      <c r="C286" s="740"/>
      <c r="D286" s="2654"/>
      <c r="E286" s="2610"/>
      <c r="F286" s="2611"/>
      <c r="G286" s="2612"/>
      <c r="H286" s="744"/>
      <c r="I286" s="741"/>
    </row>
    <row r="287" spans="2:10" s="723" customFormat="1" x14ac:dyDescent="0.2">
      <c r="B287" s="739"/>
      <c r="C287" s="740"/>
      <c r="D287" s="2654"/>
      <c r="E287" s="2610"/>
      <c r="F287" s="2611"/>
      <c r="G287" s="2612"/>
      <c r="H287" s="744"/>
      <c r="I287" s="741"/>
    </row>
    <row r="288" spans="2:10" s="723" customFormat="1" x14ac:dyDescent="0.2">
      <c r="B288" s="739"/>
      <c r="C288" s="740"/>
      <c r="D288" s="2654"/>
      <c r="E288" s="2610"/>
      <c r="F288" s="2611"/>
      <c r="G288" s="2612"/>
      <c r="H288" s="744"/>
      <c r="I288" s="741"/>
    </row>
    <row r="289" spans="2:9" s="723" customFormat="1" x14ac:dyDescent="0.2">
      <c r="B289" s="739"/>
      <c r="C289" s="740"/>
      <c r="D289" s="2654"/>
      <c r="E289" s="2610"/>
      <c r="F289" s="2611"/>
      <c r="G289" s="2612"/>
      <c r="H289" s="744"/>
      <c r="I289" s="741"/>
    </row>
    <row r="290" spans="2:9" s="723" customFormat="1" x14ac:dyDescent="0.2">
      <c r="B290" s="739"/>
      <c r="C290" s="740"/>
      <c r="D290" s="2654"/>
      <c r="E290" s="2610"/>
      <c r="F290" s="2611"/>
      <c r="G290" s="2612"/>
      <c r="H290" s="744"/>
      <c r="I290" s="741"/>
    </row>
    <row r="291" spans="2:9" s="723" customFormat="1" x14ac:dyDescent="0.2">
      <c r="B291" s="739"/>
      <c r="C291" s="740"/>
      <c r="D291" s="2654"/>
      <c r="E291" s="2610"/>
      <c r="F291" s="2611"/>
      <c r="G291" s="2612"/>
      <c r="H291" s="744"/>
      <c r="I291" s="741"/>
    </row>
    <row r="292" spans="2:9" s="723" customFormat="1" x14ac:dyDescent="0.2">
      <c r="B292" s="739"/>
      <c r="C292" s="740"/>
      <c r="D292" s="2654"/>
      <c r="E292" s="2610"/>
      <c r="F292" s="2611"/>
      <c r="G292" s="2612"/>
      <c r="H292" s="744"/>
      <c r="I292" s="741"/>
    </row>
    <row r="293" spans="2:9" s="723" customFormat="1" ht="12.75" customHeight="1" x14ac:dyDescent="0.2">
      <c r="B293" s="739"/>
      <c r="C293" s="740"/>
      <c r="D293" s="2654"/>
      <c r="E293" s="2610"/>
      <c r="F293" s="2611"/>
      <c r="G293" s="2612"/>
      <c r="H293" s="744"/>
      <c r="I293" s="992"/>
    </row>
    <row r="294" spans="2:9" s="723" customFormat="1" x14ac:dyDescent="0.2">
      <c r="B294" s="739"/>
      <c r="C294" s="740"/>
      <c r="D294" s="2654"/>
      <c r="E294" s="2610"/>
      <c r="F294" s="2611"/>
      <c r="G294" s="2612"/>
      <c r="H294" s="744"/>
      <c r="I294" s="992"/>
    </row>
    <row r="295" spans="2:9" s="723" customFormat="1" x14ac:dyDescent="0.2">
      <c r="B295" s="739"/>
      <c r="C295" s="740"/>
      <c r="D295" s="2654"/>
      <c r="E295" s="2610"/>
      <c r="F295" s="2611"/>
      <c r="G295" s="2612"/>
      <c r="H295" s="744"/>
      <c r="I295" s="741"/>
    </row>
    <row r="296" spans="2:9" s="723" customFormat="1" x14ac:dyDescent="0.2">
      <c r="B296" s="739"/>
      <c r="C296" s="740"/>
      <c r="D296" s="2654"/>
      <c r="E296" s="2610"/>
      <c r="F296" s="2611"/>
      <c r="G296" s="2612"/>
      <c r="H296" s="744"/>
      <c r="I296" s="741"/>
    </row>
    <row r="297" spans="2:9" s="723" customFormat="1" x14ac:dyDescent="0.2">
      <c r="B297" s="739"/>
      <c r="C297" s="740"/>
      <c r="D297" s="2654"/>
      <c r="E297" s="2610"/>
      <c r="F297" s="2611"/>
      <c r="G297" s="2612"/>
      <c r="H297" s="744"/>
      <c r="I297" s="741"/>
    </row>
    <row r="298" spans="2:9" s="723" customFormat="1" x14ac:dyDescent="0.2">
      <c r="B298" s="739"/>
      <c r="C298" s="740"/>
      <c r="D298" s="2654"/>
      <c r="E298" s="2610"/>
      <c r="F298" s="2611"/>
      <c r="G298" s="2612"/>
      <c r="H298" s="744"/>
      <c r="I298" s="741"/>
    </row>
    <row r="299" spans="2:9" s="723" customFormat="1" x14ac:dyDescent="0.2">
      <c r="B299" s="739"/>
      <c r="C299" s="740"/>
      <c r="D299" s="2654"/>
      <c r="E299" s="2610"/>
      <c r="F299" s="2611"/>
      <c r="G299" s="2612"/>
      <c r="H299" s="744"/>
      <c r="I299" s="741"/>
    </row>
    <row r="300" spans="2:9" s="723" customFormat="1" x14ac:dyDescent="0.2">
      <c r="B300" s="739"/>
      <c r="C300" s="740"/>
      <c r="D300" s="2654"/>
      <c r="E300" s="2610"/>
      <c r="F300" s="2611"/>
      <c r="G300" s="2612"/>
      <c r="H300" s="744"/>
      <c r="I300" s="741"/>
    </row>
    <row r="301" spans="2:9" s="723" customFormat="1" x14ac:dyDescent="0.2">
      <c r="B301" s="739"/>
      <c r="C301" s="740"/>
      <c r="D301" s="2654"/>
      <c r="E301" s="2610"/>
      <c r="F301" s="2611"/>
      <c r="G301" s="2612"/>
      <c r="H301" s="744"/>
      <c r="I301" s="741"/>
    </row>
    <row r="302" spans="2:9" s="723" customFormat="1" x14ac:dyDescent="0.2">
      <c r="B302" s="739"/>
      <c r="C302" s="740"/>
      <c r="D302" s="2654"/>
      <c r="E302" s="2610"/>
      <c r="F302" s="2611"/>
      <c r="G302" s="2612"/>
      <c r="H302" s="744"/>
      <c r="I302" s="741"/>
    </row>
    <row r="303" spans="2:9" s="723" customFormat="1" ht="12.75" customHeight="1" x14ac:dyDescent="0.2">
      <c r="B303" s="739"/>
      <c r="C303" s="740"/>
      <c r="D303" s="2654"/>
      <c r="E303" s="2610"/>
      <c r="F303" s="2611"/>
      <c r="G303" s="2612"/>
      <c r="H303" s="744"/>
      <c r="I303" s="741"/>
    </row>
    <row r="304" spans="2:9" s="723" customFormat="1" x14ac:dyDescent="0.2">
      <c r="B304" s="739"/>
      <c r="C304" s="740"/>
      <c r="D304" s="2654"/>
      <c r="E304" s="2610"/>
      <c r="F304" s="2611"/>
      <c r="G304" s="2612"/>
      <c r="H304" s="744"/>
      <c r="I304" s="741"/>
    </row>
    <row r="305" spans="2:10" s="723" customFormat="1" x14ac:dyDescent="0.2">
      <c r="B305" s="739"/>
      <c r="C305" s="740"/>
      <c r="D305" s="2654"/>
      <c r="E305" s="2610"/>
      <c r="F305" s="2611"/>
      <c r="G305" s="2612"/>
      <c r="H305" s="744"/>
      <c r="I305" s="741"/>
    </row>
    <row r="306" spans="2:10" s="723" customFormat="1" x14ac:dyDescent="0.2">
      <c r="B306" s="739"/>
      <c r="C306" s="740"/>
      <c r="D306" s="2654"/>
      <c r="E306" s="2610"/>
      <c r="F306" s="2611"/>
      <c r="G306" s="2612"/>
      <c r="H306" s="744"/>
      <c r="I306" s="741"/>
    </row>
    <row r="307" spans="2:10" s="723" customFormat="1" x14ac:dyDescent="0.2">
      <c r="B307" s="739"/>
      <c r="C307" s="740"/>
      <c r="D307" s="2654"/>
      <c r="E307" s="2610"/>
      <c r="F307" s="2611"/>
      <c r="G307" s="2612"/>
      <c r="H307" s="744"/>
      <c r="I307" s="741"/>
    </row>
    <row r="308" spans="2:10" s="723" customFormat="1" x14ac:dyDescent="0.2">
      <c r="B308" s="739"/>
      <c r="C308" s="740"/>
      <c r="D308" s="2654"/>
      <c r="E308" s="2610"/>
      <c r="F308" s="2611"/>
      <c r="G308" s="2612"/>
      <c r="H308" s="744"/>
      <c r="I308" s="741"/>
      <c r="J308" s="741"/>
    </row>
    <row r="309" spans="2:10" s="723" customFormat="1" x14ac:dyDescent="0.2">
      <c r="B309" s="739"/>
      <c r="C309" s="740"/>
      <c r="D309" s="2654"/>
      <c r="E309" s="2610"/>
      <c r="F309" s="2611"/>
      <c r="G309" s="2612"/>
      <c r="H309" s="744"/>
      <c r="I309" s="741"/>
      <c r="J309" s="741"/>
    </row>
    <row r="310" spans="2:10" s="723" customFormat="1" x14ac:dyDescent="0.2">
      <c r="B310" s="739"/>
      <c r="C310" s="740"/>
      <c r="D310" s="2654"/>
      <c r="E310" s="2610"/>
      <c r="F310" s="2611"/>
      <c r="G310" s="2612"/>
      <c r="H310" s="744"/>
      <c r="I310" s="741"/>
      <c r="J310" s="741"/>
    </row>
    <row r="311" spans="2:10" s="723" customFormat="1" x14ac:dyDescent="0.2">
      <c r="B311" s="739"/>
      <c r="C311" s="740"/>
      <c r="D311" s="2654"/>
      <c r="E311" s="2610"/>
      <c r="F311" s="2611"/>
      <c r="G311" s="2612"/>
      <c r="H311" s="744"/>
      <c r="I311" s="741"/>
      <c r="J311" s="741"/>
    </row>
    <row r="312" spans="2:10" s="723" customFormat="1" x14ac:dyDescent="0.2">
      <c r="B312" s="739"/>
      <c r="C312" s="740"/>
      <c r="D312" s="2654"/>
      <c r="E312" s="2610"/>
      <c r="F312" s="2611"/>
      <c r="G312" s="2612"/>
      <c r="H312" s="744"/>
      <c r="I312" s="741"/>
      <c r="J312" s="741"/>
    </row>
    <row r="313" spans="2:10" s="723" customFormat="1" x14ac:dyDescent="0.2">
      <c r="B313" s="739"/>
      <c r="C313" s="740"/>
      <c r="D313" s="2654"/>
      <c r="E313" s="2610"/>
      <c r="F313" s="2611"/>
      <c r="G313" s="2612"/>
      <c r="H313" s="744"/>
      <c r="I313" s="741"/>
      <c r="J313" s="741"/>
    </row>
    <row r="314" spans="2:10" s="723" customFormat="1" x14ac:dyDescent="0.2">
      <c r="B314" s="739"/>
      <c r="C314" s="740"/>
      <c r="D314" s="2654"/>
      <c r="E314" s="2610"/>
      <c r="F314" s="2611"/>
      <c r="G314" s="2612"/>
      <c r="H314" s="744"/>
      <c r="I314" s="741"/>
      <c r="J314" s="741"/>
    </row>
    <row r="315" spans="2:10" s="723" customFormat="1" x14ac:dyDescent="0.2">
      <c r="B315" s="739"/>
      <c r="C315" s="740"/>
      <c r="D315" s="2654"/>
      <c r="E315" s="2610"/>
      <c r="F315" s="2611"/>
      <c r="G315" s="2612"/>
      <c r="H315" s="744"/>
      <c r="I315" s="741"/>
      <c r="J315" s="741"/>
    </row>
    <row r="316" spans="2:10" s="723" customFormat="1" x14ac:dyDescent="0.2">
      <c r="B316" s="739"/>
      <c r="C316" s="740"/>
      <c r="D316" s="2654"/>
      <c r="E316" s="2610"/>
      <c r="F316" s="2611"/>
      <c r="G316" s="2612"/>
      <c r="H316" s="744"/>
      <c r="I316" s="741"/>
      <c r="J316" s="741"/>
    </row>
    <row r="317" spans="2:10" s="723" customFormat="1" x14ac:dyDescent="0.2">
      <c r="B317" s="739"/>
      <c r="C317" s="740"/>
      <c r="D317" s="2654"/>
      <c r="E317" s="2610"/>
      <c r="F317" s="2611"/>
      <c r="G317" s="2612"/>
      <c r="H317" s="744"/>
      <c r="I317" s="741"/>
      <c r="J317" s="741"/>
    </row>
    <row r="318" spans="2:10" s="723" customFormat="1" x14ac:dyDescent="0.2">
      <c r="B318" s="739"/>
      <c r="C318" s="740"/>
      <c r="D318" s="2654"/>
      <c r="E318" s="2610"/>
      <c r="F318" s="2611"/>
      <c r="G318" s="2612"/>
      <c r="H318" s="744"/>
      <c r="I318" s="741"/>
      <c r="J318" s="741"/>
    </row>
    <row r="319" spans="2:10" s="723" customFormat="1" x14ac:dyDescent="0.2">
      <c r="B319" s="739"/>
      <c r="C319" s="740"/>
      <c r="D319" s="2654"/>
      <c r="E319" s="2610"/>
      <c r="F319" s="2611"/>
      <c r="G319" s="2612"/>
      <c r="H319" s="744"/>
      <c r="I319" s="741"/>
      <c r="J319" s="741"/>
    </row>
    <row r="320" spans="2:10" s="723" customFormat="1" x14ac:dyDescent="0.2">
      <c r="B320" s="739"/>
      <c r="C320" s="740"/>
      <c r="D320" s="2654"/>
      <c r="E320" s="2610"/>
      <c r="F320" s="2611"/>
      <c r="G320" s="2612"/>
      <c r="H320" s="744"/>
      <c r="I320" s="741"/>
      <c r="J320" s="741"/>
    </row>
    <row r="321" spans="2:15" s="723" customFormat="1" x14ac:dyDescent="0.2">
      <c r="B321" s="739"/>
      <c r="C321" s="740"/>
      <c r="D321" s="2654"/>
      <c r="E321" s="2610"/>
      <c r="F321" s="2611"/>
      <c r="G321" s="2612"/>
      <c r="H321" s="744"/>
      <c r="I321" s="741"/>
      <c r="J321" s="992"/>
    </row>
    <row r="322" spans="2:15" s="723" customFormat="1" x14ac:dyDescent="0.2">
      <c r="B322" s="739"/>
      <c r="C322" s="740"/>
      <c r="D322" s="2654"/>
      <c r="E322" s="2610"/>
      <c r="F322" s="2611"/>
      <c r="G322" s="2612"/>
      <c r="H322" s="744"/>
      <c r="I322" s="741"/>
      <c r="J322" s="992"/>
    </row>
    <row r="323" spans="2:15" s="723" customFormat="1" x14ac:dyDescent="0.2">
      <c r="B323" s="739"/>
      <c r="C323" s="740"/>
      <c r="D323" s="2654"/>
      <c r="E323" s="2610"/>
      <c r="F323" s="2611"/>
      <c r="G323" s="2612"/>
      <c r="H323" s="744"/>
      <c r="I323" s="741"/>
      <c r="J323" s="741"/>
    </row>
    <row r="324" spans="2:15" s="723" customFormat="1" x14ac:dyDescent="0.2">
      <c r="B324" s="739"/>
      <c r="C324" s="740"/>
      <c r="D324" s="2654"/>
      <c r="E324" s="2610"/>
      <c r="F324" s="2611"/>
      <c r="G324" s="2612"/>
      <c r="H324" s="744"/>
      <c r="I324" s="741"/>
      <c r="J324" s="741"/>
    </row>
    <row r="325" spans="2:15" s="723" customFormat="1" x14ac:dyDescent="0.2">
      <c r="B325" s="739"/>
      <c r="C325" s="740"/>
      <c r="D325" s="2654"/>
      <c r="E325" s="2610"/>
      <c r="F325" s="2611"/>
      <c r="G325" s="2612"/>
      <c r="H325" s="744"/>
      <c r="I325" s="741"/>
      <c r="J325" s="741"/>
    </row>
    <row r="326" spans="2:15" s="723" customFormat="1" x14ac:dyDescent="0.2">
      <c r="B326" s="739"/>
      <c r="C326" s="740"/>
      <c r="D326" s="2654"/>
      <c r="E326" s="2610"/>
      <c r="F326" s="2611"/>
      <c r="G326" s="2612"/>
      <c r="H326" s="744"/>
      <c r="I326" s="741"/>
      <c r="J326" s="741"/>
    </row>
    <row r="327" spans="2:15" s="723" customFormat="1" x14ac:dyDescent="0.2">
      <c r="B327" s="739"/>
      <c r="C327" s="740"/>
      <c r="D327" s="2654"/>
      <c r="E327" s="2610"/>
      <c r="F327" s="2611"/>
      <c r="G327" s="2612"/>
      <c r="H327" s="744"/>
      <c r="I327" s="741"/>
      <c r="J327" s="741"/>
    </row>
    <row r="328" spans="2:15" s="723" customFormat="1" x14ac:dyDescent="0.2">
      <c r="B328" s="739"/>
      <c r="C328" s="740"/>
      <c r="D328" s="2654"/>
      <c r="E328" s="2610"/>
      <c r="F328" s="2611"/>
      <c r="G328" s="2612"/>
      <c r="H328" s="744"/>
      <c r="I328" s="741"/>
      <c r="J328" s="741"/>
      <c r="K328" s="741"/>
      <c r="L328" s="741"/>
    </row>
    <row r="329" spans="2:15" s="723" customFormat="1" x14ac:dyDescent="0.2">
      <c r="B329" s="739"/>
      <c r="C329" s="740"/>
      <c r="D329" s="2654"/>
      <c r="E329" s="2610"/>
      <c r="F329" s="2611"/>
      <c r="G329" s="2612"/>
      <c r="H329" s="744"/>
      <c r="I329" s="741"/>
      <c r="J329" s="741"/>
      <c r="K329" s="741"/>
      <c r="L329" s="741"/>
    </row>
    <row r="330" spans="2:15" s="723" customFormat="1" x14ac:dyDescent="0.2">
      <c r="B330" s="739"/>
      <c r="C330" s="740"/>
      <c r="D330" s="2654"/>
      <c r="E330" s="2610"/>
      <c r="F330" s="2611"/>
      <c r="G330" s="2612"/>
      <c r="H330" s="744"/>
      <c r="I330" s="741"/>
      <c r="J330" s="741"/>
      <c r="K330" s="741"/>
      <c r="L330" s="741"/>
    </row>
    <row r="331" spans="2:15" s="723" customFormat="1" x14ac:dyDescent="0.2">
      <c r="B331" s="739"/>
      <c r="C331" s="740"/>
      <c r="D331" s="2654"/>
      <c r="E331" s="2610"/>
      <c r="F331" s="2611"/>
      <c r="G331" s="2612"/>
      <c r="H331" s="744"/>
      <c r="I331" s="741"/>
      <c r="J331" s="741"/>
      <c r="K331" s="741"/>
      <c r="L331" s="741"/>
    </row>
    <row r="332" spans="2:15" s="723" customFormat="1" x14ac:dyDescent="0.2">
      <c r="B332" s="739"/>
      <c r="C332" s="740"/>
      <c r="D332" s="2654"/>
      <c r="E332" s="2610"/>
      <c r="F332" s="2611"/>
      <c r="G332" s="2612"/>
      <c r="H332" s="744"/>
      <c r="I332" s="741"/>
      <c r="J332" s="741"/>
      <c r="K332" s="741"/>
      <c r="L332" s="741"/>
      <c r="M332" s="741"/>
    </row>
    <row r="333" spans="2:15" s="723" customFormat="1" x14ac:dyDescent="0.2">
      <c r="B333" s="739"/>
      <c r="C333" s="740"/>
      <c r="D333" s="2654"/>
      <c r="E333" s="2610"/>
      <c r="F333" s="2611"/>
      <c r="G333" s="2612"/>
      <c r="H333" s="744"/>
      <c r="I333" s="741"/>
      <c r="J333" s="741"/>
      <c r="K333" s="741"/>
      <c r="L333" s="741"/>
      <c r="M333" s="741"/>
    </row>
    <row r="334" spans="2:15" s="723" customFormat="1" x14ac:dyDescent="0.2">
      <c r="B334" s="739"/>
      <c r="C334" s="740"/>
      <c r="D334" s="2654"/>
      <c r="E334" s="2610"/>
      <c r="F334" s="2611"/>
      <c r="G334" s="2612"/>
      <c r="H334" s="744"/>
      <c r="I334" s="741"/>
      <c r="J334" s="741"/>
      <c r="K334" s="741"/>
      <c r="L334" s="741"/>
      <c r="M334" s="741"/>
      <c r="N334" s="741"/>
      <c r="O334" s="741"/>
    </row>
    <row r="341" spans="2:15" x14ac:dyDescent="0.2">
      <c r="K341" s="992"/>
      <c r="L341" s="992"/>
    </row>
    <row r="342" spans="2:15" x14ac:dyDescent="0.2">
      <c r="K342" s="992"/>
      <c r="L342" s="992"/>
    </row>
    <row r="345" spans="2:15" x14ac:dyDescent="0.2">
      <c r="M345" s="992"/>
    </row>
    <row r="346" spans="2:15" x14ac:dyDescent="0.2">
      <c r="M346" s="992"/>
    </row>
    <row r="347" spans="2:15" x14ac:dyDescent="0.2">
      <c r="N347" s="992"/>
      <c r="O347" s="992"/>
    </row>
    <row r="348" spans="2:15" s="992" customFormat="1" x14ac:dyDescent="0.2">
      <c r="B348" s="739"/>
      <c r="C348" s="740"/>
      <c r="D348" s="2654"/>
      <c r="E348" s="2610"/>
      <c r="F348" s="2611"/>
      <c r="G348" s="2612"/>
      <c r="H348" s="744"/>
      <c r="I348" s="741"/>
      <c r="J348" s="741"/>
      <c r="K348" s="741"/>
      <c r="L348" s="741"/>
      <c r="M348" s="741"/>
    </row>
    <row r="349" spans="2:15" s="992" customFormat="1" x14ac:dyDescent="0.2">
      <c r="B349" s="739"/>
      <c r="C349" s="740"/>
      <c r="D349" s="2654"/>
      <c r="E349" s="2610"/>
      <c r="F349" s="2611"/>
      <c r="G349" s="2612"/>
      <c r="H349" s="744"/>
      <c r="I349" s="741"/>
      <c r="J349" s="741"/>
      <c r="K349" s="741"/>
      <c r="L349" s="741"/>
      <c r="M349" s="741"/>
      <c r="N349" s="741"/>
      <c r="O349" s="741"/>
    </row>
    <row r="354" ht="43.5" customHeight="1" x14ac:dyDescent="0.2"/>
  </sheetData>
  <mergeCells count="5">
    <mergeCell ref="C6:F6"/>
    <mergeCell ref="B55:G55"/>
    <mergeCell ref="B118:G118"/>
    <mergeCell ref="B119:G119"/>
    <mergeCell ref="B120:G120"/>
  </mergeCells>
  <pageMargins left="0.7" right="0.7" top="0.75" bottom="0.75" header="0.3" footer="0.3"/>
  <pageSetup paperSize="9" orientation="portrait" r:id="rId1"/>
  <headerFooter alignWithMargins="0"/>
  <rowBreaks count="3" manualBreakCount="3">
    <brk id="19" max="16383" man="1"/>
    <brk id="53" max="16383" man="1"/>
    <brk id="11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BF8F-778B-4BC7-97E0-499B0279C958}">
  <sheetPr codeName="Sheet65">
    <tabColor rgb="FF0070C0"/>
  </sheetPr>
  <dimension ref="B1:R728"/>
  <sheetViews>
    <sheetView topLeftCell="A105" zoomScaleNormal="100" zoomScaleSheetLayoutView="85" workbookViewId="0">
      <selection activeCell="B122" sqref="B122:G122"/>
    </sheetView>
  </sheetViews>
  <sheetFormatPr defaultColWidth="10.42578125" defaultRowHeight="12.75" x14ac:dyDescent="0.2"/>
  <cols>
    <col min="1" max="1" width="3.5703125" style="741" customWidth="1"/>
    <col min="2" max="2" width="7.42578125" style="739" customWidth="1"/>
    <col min="3" max="3" width="47.5703125" style="740" customWidth="1"/>
    <col min="4" max="4" width="9.85546875" style="2654" customWidth="1"/>
    <col min="5" max="5" width="12.85546875" style="2610" customWidth="1"/>
    <col min="6" max="6" width="13.28515625" style="2611" customWidth="1"/>
    <col min="7" max="7" width="16.5703125" style="2612"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2561"/>
    </row>
    <row r="2" spans="2:8" s="121" customFormat="1" ht="24.75" customHeight="1" x14ac:dyDescent="0.2">
      <c r="B2" s="137"/>
      <c r="C2" s="354" t="s">
        <v>59</v>
      </c>
      <c r="D2" s="155"/>
      <c r="E2" s="156"/>
      <c r="F2" s="157"/>
      <c r="G2" s="355" t="s">
        <v>60</v>
      </c>
      <c r="H2" s="122"/>
    </row>
    <row r="3" spans="2:8" x14ac:dyDescent="0.2">
      <c r="B3" s="120"/>
      <c r="C3" s="188"/>
      <c r="D3" s="189"/>
      <c r="E3" s="464"/>
      <c r="F3" s="465"/>
      <c r="G3" s="463"/>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31" t="s">
        <v>1309</v>
      </c>
      <c r="D6" s="3232"/>
      <c r="E6" s="3232"/>
      <c r="F6" s="3232"/>
      <c r="G6" s="760"/>
    </row>
    <row r="7" spans="2:8" ht="15" customHeight="1" x14ac:dyDescent="0.2">
      <c r="B7" s="761"/>
      <c r="C7" s="767"/>
      <c r="D7" s="768"/>
      <c r="E7" s="769"/>
      <c r="F7" s="770"/>
      <c r="G7" s="771"/>
    </row>
    <row r="8" spans="2:8" x14ac:dyDescent="0.2">
      <c r="B8" s="2853" t="s">
        <v>1</v>
      </c>
      <c r="C8" s="2854"/>
      <c r="D8" s="2855"/>
      <c r="E8" s="2855"/>
      <c r="F8" s="2855"/>
      <c r="G8" s="2856"/>
    </row>
    <row r="9" spans="2:8" x14ac:dyDescent="0.2">
      <c r="B9" s="2857" t="s">
        <v>2</v>
      </c>
      <c r="C9" s="2858"/>
      <c r="D9" s="2859"/>
      <c r="E9" s="2860"/>
      <c r="F9" s="2860"/>
      <c r="G9" s="2859"/>
    </row>
    <row r="10" spans="2:8" x14ac:dyDescent="0.2">
      <c r="B10" s="2853" t="s">
        <v>3</v>
      </c>
      <c r="C10" s="2854"/>
      <c r="D10" s="2855"/>
      <c r="E10" s="2855"/>
      <c r="F10" s="2855"/>
      <c r="G10" s="2856"/>
    </row>
    <row r="11" spans="2:8" x14ac:dyDescent="0.2">
      <c r="B11" s="2857" t="s">
        <v>4</v>
      </c>
      <c r="C11" s="2858"/>
      <c r="D11" s="2860"/>
      <c r="E11" s="2860"/>
      <c r="F11" s="2860"/>
      <c r="G11" s="2859"/>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x14ac:dyDescent="0.2">
      <c r="B15" s="792" t="s">
        <v>10</v>
      </c>
      <c r="C15" s="793" t="s">
        <v>85</v>
      </c>
      <c r="D15" s="794"/>
      <c r="E15" s="795"/>
      <c r="F15" s="796"/>
      <c r="G15" s="998">
        <f>G43</f>
        <v>0</v>
      </c>
    </row>
    <row r="16" spans="2:8" x14ac:dyDescent="0.2">
      <c r="B16" s="792" t="s">
        <v>12</v>
      </c>
      <c r="C16" s="793" t="s">
        <v>86</v>
      </c>
      <c r="D16" s="794"/>
      <c r="E16" s="795"/>
      <c r="F16" s="796"/>
      <c r="G16" s="998">
        <f>G65</f>
        <v>0</v>
      </c>
    </row>
    <row r="17" spans="2:18" ht="21.75" customHeight="1" x14ac:dyDescent="0.2">
      <c r="B17" s="792" t="s">
        <v>17</v>
      </c>
      <c r="C17" s="793" t="s">
        <v>87</v>
      </c>
      <c r="D17" s="794"/>
      <c r="E17" s="795"/>
      <c r="F17" s="796"/>
      <c r="G17" s="998">
        <f>G109</f>
        <v>0</v>
      </c>
    </row>
    <row r="18" spans="2:18" ht="21.75" customHeight="1" x14ac:dyDescent="0.2">
      <c r="B18" s="1068" t="s">
        <v>18</v>
      </c>
      <c r="C18" s="793" t="s">
        <v>1310</v>
      </c>
      <c r="D18" s="794"/>
      <c r="E18" s="795"/>
      <c r="F18" s="1069"/>
      <c r="G18" s="998">
        <f>G366</f>
        <v>0</v>
      </c>
    </row>
    <row r="19" spans="2:18" ht="30.75" customHeight="1" x14ac:dyDescent="0.2">
      <c r="B19" s="2830"/>
      <c r="C19" s="2831" t="s">
        <v>88</v>
      </c>
      <c r="D19" s="2832"/>
      <c r="E19" s="2833"/>
      <c r="F19" s="2834"/>
      <c r="G19" s="2835">
        <f>SUM(G15:G18)</f>
        <v>0</v>
      </c>
    </row>
    <row r="20" spans="2:18" x14ac:dyDescent="0.2">
      <c r="B20" s="798"/>
      <c r="C20" s="799"/>
      <c r="D20" s="2655"/>
      <c r="E20" s="2613"/>
      <c r="F20" s="2609"/>
      <c r="G20" s="2614"/>
    </row>
    <row r="21" spans="2:18" x14ac:dyDescent="0.2">
      <c r="G21" s="2615"/>
    </row>
    <row r="22" spans="2:18" ht="24" x14ac:dyDescent="0.2">
      <c r="B22" s="2836" t="s">
        <v>83</v>
      </c>
      <c r="C22" s="2837" t="s">
        <v>89</v>
      </c>
      <c r="D22" s="2744" t="s">
        <v>90</v>
      </c>
      <c r="E22" s="2845" t="s">
        <v>91</v>
      </c>
      <c r="F22" s="2846" t="s">
        <v>92</v>
      </c>
      <c r="G22" s="2847" t="s">
        <v>93</v>
      </c>
    </row>
    <row r="23" spans="2:18" x14ac:dyDescent="0.2">
      <c r="B23" s="129"/>
      <c r="C23" s="197"/>
      <c r="D23" s="198"/>
      <c r="E23" s="353"/>
      <c r="F23" s="358"/>
      <c r="G23" s="350"/>
    </row>
    <row r="24" spans="2:18" ht="20.25" x14ac:dyDescent="0.2">
      <c r="B24" s="686" t="s">
        <v>10</v>
      </c>
      <c r="C24" s="687" t="s">
        <v>85</v>
      </c>
      <c r="D24" s="688"/>
      <c r="E24" s="689"/>
      <c r="F24" s="690"/>
      <c r="G24" s="691"/>
    </row>
    <row r="25" spans="2:18" ht="20.25" x14ac:dyDescent="0.2">
      <c r="B25" s="1002"/>
      <c r="C25" s="1003"/>
      <c r="D25" s="1004"/>
      <c r="E25" s="1005"/>
      <c r="F25" s="1006"/>
      <c r="G25" s="1007"/>
    </row>
    <row r="26" spans="2:18" ht="139.5" customHeight="1" x14ac:dyDescent="0.2">
      <c r="B26" s="865">
        <v>1.1000000000000001</v>
      </c>
      <c r="C26" s="2120" t="s">
        <v>99</v>
      </c>
      <c r="D26" s="2121" t="s">
        <v>123</v>
      </c>
      <c r="E26" s="2122">
        <v>1</v>
      </c>
      <c r="F26" s="2114">
        <v>0</v>
      </c>
      <c r="G26" s="2105">
        <f>F26*E26</f>
        <v>0</v>
      </c>
    </row>
    <row r="27" spans="2:18" x14ac:dyDescent="0.2">
      <c r="B27" s="653"/>
      <c r="C27" s="2123"/>
      <c r="D27" s="653"/>
      <c r="E27" s="2119"/>
      <c r="F27" s="1011"/>
      <c r="G27" s="2105"/>
    </row>
    <row r="28" spans="2:18" ht="25.5" x14ac:dyDescent="0.2">
      <c r="B28" s="2124">
        <v>1.2</v>
      </c>
      <c r="C28" s="2123" t="s">
        <v>1135</v>
      </c>
      <c r="D28" s="2124" t="s">
        <v>1311</v>
      </c>
      <c r="E28" s="2122">
        <v>1</v>
      </c>
      <c r="F28" s="2114">
        <v>0</v>
      </c>
      <c r="G28" s="2105">
        <f>F28*E28</f>
        <v>0</v>
      </c>
    </row>
    <row r="29" spans="2:18" x14ac:dyDescent="0.2">
      <c r="B29" s="2124"/>
      <c r="C29" s="2125"/>
      <c r="D29" s="2124"/>
      <c r="E29" s="2119"/>
      <c r="F29" s="1011"/>
      <c r="G29" s="2105"/>
    </row>
    <row r="30" spans="2:18" x14ac:dyDescent="0.2">
      <c r="B30" s="2124"/>
      <c r="C30" s="2125"/>
      <c r="D30" s="2126"/>
      <c r="E30" s="2119"/>
      <c r="F30" s="1011"/>
      <c r="G30" s="2105"/>
      <c r="M30" s="858"/>
      <c r="N30" s="1019"/>
      <c r="O30" s="860"/>
      <c r="P30" s="993"/>
      <c r="Q30" s="1017"/>
      <c r="R30" s="1018"/>
    </row>
    <row r="31" spans="2:18" x14ac:dyDescent="0.2">
      <c r="B31" s="2127" t="s">
        <v>633</v>
      </c>
      <c r="C31" s="2123" t="s">
        <v>1136</v>
      </c>
      <c r="D31" s="653" t="s">
        <v>123</v>
      </c>
      <c r="E31" s="2119">
        <v>1</v>
      </c>
      <c r="F31" s="2114">
        <v>0</v>
      </c>
      <c r="G31" s="2105">
        <f>F31*E31</f>
        <v>0</v>
      </c>
    </row>
    <row r="32" spans="2:18" x14ac:dyDescent="0.2">
      <c r="B32" s="2127"/>
      <c r="C32" s="2123"/>
      <c r="D32" s="653"/>
      <c r="E32" s="2119"/>
      <c r="F32" s="1011"/>
      <c r="G32" s="2105"/>
    </row>
    <row r="33" spans="2:7" ht="25.5" x14ac:dyDescent="0.2">
      <c r="B33" s="2128" t="s">
        <v>641</v>
      </c>
      <c r="C33" s="1652" t="s">
        <v>1137</v>
      </c>
      <c r="D33" s="865" t="s">
        <v>123</v>
      </c>
      <c r="E33" s="2122">
        <v>1</v>
      </c>
      <c r="F33" s="2114">
        <v>0</v>
      </c>
      <c r="G33" s="2105">
        <f>E33*F33</f>
        <v>0</v>
      </c>
    </row>
    <row r="34" spans="2:7" x14ac:dyDescent="0.2">
      <c r="B34" s="653"/>
      <c r="C34" s="2123"/>
      <c r="D34" s="653"/>
      <c r="E34" s="2119"/>
      <c r="F34" s="1011"/>
      <c r="G34" s="2105"/>
    </row>
    <row r="35" spans="2:7" ht="30.75" customHeight="1" x14ac:dyDescent="0.2">
      <c r="B35" s="2128" t="s">
        <v>653</v>
      </c>
      <c r="C35" s="3165" t="s">
        <v>2590</v>
      </c>
      <c r="D35" s="2124" t="s">
        <v>1311</v>
      </c>
      <c r="E35" s="2122">
        <v>1</v>
      </c>
      <c r="F35" s="2114">
        <v>0</v>
      </c>
      <c r="G35" s="2105">
        <f>F35*E35</f>
        <v>0</v>
      </c>
    </row>
    <row r="36" spans="2:7" ht="11.25" customHeight="1" x14ac:dyDescent="0.2">
      <c r="B36" s="2128"/>
      <c r="C36" s="864"/>
      <c r="D36" s="865"/>
      <c r="E36" s="1009"/>
      <c r="F36" s="1011"/>
      <c r="G36" s="2105"/>
    </row>
    <row r="37" spans="2:7" ht="31.5" customHeight="1" x14ac:dyDescent="0.2">
      <c r="B37" s="2128" t="s">
        <v>664</v>
      </c>
      <c r="C37" s="3165" t="s">
        <v>2591</v>
      </c>
      <c r="D37" s="865" t="s">
        <v>98</v>
      </c>
      <c r="E37" s="1009">
        <v>1</v>
      </c>
      <c r="F37" s="2114">
        <v>0</v>
      </c>
      <c r="G37" s="2105">
        <f>F37*E37</f>
        <v>0</v>
      </c>
    </row>
    <row r="38" spans="2:7" ht="9" customHeight="1" x14ac:dyDescent="0.2">
      <c r="B38" s="2128"/>
      <c r="C38" s="941"/>
      <c r="D38" s="865"/>
      <c r="E38" s="1009"/>
      <c r="F38" s="1011"/>
      <c r="G38" s="2105"/>
    </row>
    <row r="39" spans="2:7" ht="30.75" customHeight="1" x14ac:dyDescent="0.2">
      <c r="B39" s="2128" t="s">
        <v>678</v>
      </c>
      <c r="C39" s="941" t="s">
        <v>105</v>
      </c>
      <c r="D39" s="865" t="s">
        <v>98</v>
      </c>
      <c r="E39" s="1009">
        <v>1</v>
      </c>
      <c r="F39" s="2114">
        <v>0</v>
      </c>
      <c r="G39" s="2105">
        <f>F39*E39</f>
        <v>0</v>
      </c>
    </row>
    <row r="40" spans="2:7" ht="13.5" customHeight="1" x14ac:dyDescent="0.2">
      <c r="B40" s="2128"/>
      <c r="C40" s="941"/>
      <c r="D40" s="865"/>
      <c r="E40" s="1009"/>
      <c r="F40" s="1011"/>
      <c r="G40" s="2105"/>
    </row>
    <row r="41" spans="2:7" ht="72.75" customHeight="1" x14ac:dyDescent="0.2">
      <c r="B41" s="2128" t="s">
        <v>688</v>
      </c>
      <c r="C41" s="941" t="s">
        <v>102</v>
      </c>
      <c r="D41" s="210" t="s">
        <v>98</v>
      </c>
      <c r="E41" s="353">
        <v>1</v>
      </c>
      <c r="F41" s="2114">
        <v>0</v>
      </c>
      <c r="G41" s="1022">
        <f>E41*F41</f>
        <v>0</v>
      </c>
    </row>
    <row r="42" spans="2:7" x14ac:dyDescent="0.2">
      <c r="B42" s="855"/>
      <c r="C42" s="841"/>
      <c r="D42" s="653"/>
      <c r="E42" s="2616"/>
      <c r="F42" s="2617"/>
      <c r="G42" s="2105"/>
    </row>
    <row r="43" spans="2:7" x14ac:dyDescent="0.2">
      <c r="B43" s="1025" t="s">
        <v>10</v>
      </c>
      <c r="C43" s="1026" t="s">
        <v>108</v>
      </c>
      <c r="D43" s="1026"/>
      <c r="E43" s="1027"/>
      <c r="F43" s="1028"/>
      <c r="G43" s="1029">
        <f>SUM(G26:G42)</f>
        <v>0</v>
      </c>
    </row>
    <row r="46" spans="2:7" ht="24" x14ac:dyDescent="0.2">
      <c r="B46" s="680" t="s">
        <v>83</v>
      </c>
      <c r="C46" s="681" t="s">
        <v>89</v>
      </c>
      <c r="D46" s="682" t="s">
        <v>90</v>
      </c>
      <c r="E46" s="683" t="s">
        <v>91</v>
      </c>
      <c r="F46" s="684" t="s">
        <v>92</v>
      </c>
      <c r="G46" s="685" t="s">
        <v>93</v>
      </c>
    </row>
    <row r="47" spans="2:7" x14ac:dyDescent="0.2">
      <c r="B47" s="129"/>
      <c r="C47" s="217"/>
      <c r="D47" s="207"/>
      <c r="E47" s="353"/>
      <c r="F47" s="358"/>
      <c r="G47" s="350"/>
    </row>
    <row r="48" spans="2:7" ht="20.25" x14ac:dyDescent="0.3">
      <c r="B48" s="686" t="s">
        <v>12</v>
      </c>
      <c r="C48" s="693" t="s">
        <v>109</v>
      </c>
      <c r="D48" s="694"/>
      <c r="E48" s="689"/>
      <c r="F48" s="690"/>
      <c r="G48" s="691"/>
    </row>
    <row r="49" spans="2:16" ht="99.75" customHeight="1" x14ac:dyDescent="0.2">
      <c r="B49" s="3233" t="s">
        <v>110</v>
      </c>
      <c r="C49" s="3234"/>
      <c r="D49" s="3234"/>
      <c r="E49" s="3234"/>
      <c r="F49" s="3234"/>
      <c r="G49" s="3235"/>
    </row>
    <row r="50" spans="2:16" ht="12.75" customHeight="1" x14ac:dyDescent="0.2">
      <c r="B50" s="802"/>
      <c r="C50" s="799"/>
    </row>
    <row r="51" spans="2:16" ht="25.5" x14ac:dyDescent="0.2">
      <c r="B51" s="840" t="s">
        <v>1205</v>
      </c>
      <c r="C51" s="841" t="s">
        <v>1206</v>
      </c>
      <c r="D51" s="653" t="s">
        <v>1207</v>
      </c>
      <c r="E51" s="2119">
        <v>7</v>
      </c>
      <c r="F51" s="2114">
        <v>0</v>
      </c>
      <c r="G51" s="2105">
        <f>F51*E51</f>
        <v>0</v>
      </c>
      <c r="J51" s="881"/>
      <c r="L51" s="744"/>
      <c r="N51" s="881"/>
      <c r="O51" s="881"/>
      <c r="P51" s="881"/>
    </row>
    <row r="52" spans="2:16" ht="13.5" customHeight="1" x14ac:dyDescent="0.2">
      <c r="B52" s="840"/>
      <c r="C52" s="841"/>
      <c r="D52" s="653"/>
      <c r="E52" s="2119"/>
      <c r="F52" s="1011"/>
      <c r="G52" s="2105"/>
      <c r="J52" s="881"/>
    </row>
    <row r="53" spans="2:16" ht="40.5" customHeight="1" x14ac:dyDescent="0.2">
      <c r="B53" s="840">
        <v>2.2000000000000002</v>
      </c>
      <c r="C53" s="841" t="s">
        <v>1312</v>
      </c>
      <c r="D53" s="2124" t="s">
        <v>1207</v>
      </c>
      <c r="E53" s="2119">
        <f>16*2.5*0.1</f>
        <v>4</v>
      </c>
      <c r="F53" s="2114">
        <v>0</v>
      </c>
      <c r="G53" s="2105">
        <f>F53*E53</f>
        <v>0</v>
      </c>
    </row>
    <row r="54" spans="2:16" ht="12.75" customHeight="1" x14ac:dyDescent="0.2">
      <c r="B54" s="845"/>
      <c r="C54" s="882"/>
      <c r="D54" s="2124"/>
      <c r="E54" s="2119"/>
      <c r="F54" s="1011"/>
      <c r="G54" s="2105"/>
    </row>
    <row r="55" spans="2:16" ht="25.5" x14ac:dyDescent="0.2">
      <c r="B55" s="840">
        <v>2.2999999999999998</v>
      </c>
      <c r="C55" s="841" t="s">
        <v>1313</v>
      </c>
      <c r="D55" s="653" t="s">
        <v>112</v>
      </c>
      <c r="E55" s="2119">
        <f>16*2.5*0.9</f>
        <v>36</v>
      </c>
      <c r="F55" s="2114">
        <v>0</v>
      </c>
      <c r="G55" s="2105">
        <f>F55*E55</f>
        <v>0</v>
      </c>
      <c r="I55" s="744"/>
    </row>
    <row r="56" spans="2:16" x14ac:dyDescent="0.2">
      <c r="B56" s="840"/>
      <c r="C56" s="841"/>
      <c r="D56" s="653"/>
      <c r="E56" s="2119"/>
      <c r="F56" s="1011"/>
      <c r="G56" s="2105"/>
      <c r="I56" s="744"/>
    </row>
    <row r="57" spans="2:16" ht="41.25" customHeight="1" x14ac:dyDescent="0.2">
      <c r="B57" s="835">
        <v>2.4</v>
      </c>
      <c r="C57" s="890" t="s">
        <v>1314</v>
      </c>
      <c r="D57" s="2100" t="s">
        <v>1219</v>
      </c>
      <c r="E57" s="2119">
        <f>0.3*16</f>
        <v>4.8</v>
      </c>
      <c r="F57" s="2114">
        <v>0</v>
      </c>
      <c r="G57" s="2105">
        <f>E57*F57</f>
        <v>0</v>
      </c>
      <c r="P57" s="744"/>
    </row>
    <row r="58" spans="2:16" ht="15" customHeight="1" x14ac:dyDescent="0.2">
      <c r="B58" s="840"/>
      <c r="C58" s="841"/>
      <c r="D58" s="653"/>
      <c r="E58" s="2119"/>
      <c r="F58" s="1011"/>
      <c r="G58" s="2105"/>
    </row>
    <row r="59" spans="2:16" x14ac:dyDescent="0.2">
      <c r="B59" s="840">
        <v>2.5</v>
      </c>
      <c r="C59" s="841" t="s">
        <v>1221</v>
      </c>
      <c r="D59" s="653" t="s">
        <v>112</v>
      </c>
      <c r="E59" s="2119">
        <f>E51+E53+E55</f>
        <v>47</v>
      </c>
      <c r="F59" s="2114">
        <v>0</v>
      </c>
      <c r="G59" s="2105">
        <f>F59*E59</f>
        <v>0</v>
      </c>
      <c r="I59" s="888"/>
    </row>
    <row r="60" spans="2:16" x14ac:dyDescent="0.2">
      <c r="B60" s="840"/>
      <c r="C60" s="841"/>
      <c r="D60" s="653"/>
      <c r="E60" s="2119"/>
      <c r="F60" s="1011"/>
      <c r="G60" s="2105"/>
    </row>
    <row r="61" spans="2:16" x14ac:dyDescent="0.2">
      <c r="B61" s="892" t="s">
        <v>1214</v>
      </c>
      <c r="C61" s="841" t="s">
        <v>1223</v>
      </c>
      <c r="D61" s="653" t="s">
        <v>112</v>
      </c>
      <c r="E61" s="2119">
        <v>47</v>
      </c>
      <c r="F61" s="2114">
        <v>0</v>
      </c>
      <c r="G61" s="2105">
        <f>F61*E61</f>
        <v>0</v>
      </c>
    </row>
    <row r="62" spans="2:16" x14ac:dyDescent="0.2">
      <c r="B62" s="892"/>
      <c r="C62" s="841"/>
      <c r="D62" s="653"/>
      <c r="E62" s="2119"/>
      <c r="F62" s="1011"/>
      <c r="G62" s="2105"/>
    </row>
    <row r="63" spans="2:16" ht="111.75" customHeight="1" x14ac:dyDescent="0.2">
      <c r="B63" s="892" t="s">
        <v>1315</v>
      </c>
      <c r="C63" s="917" t="s">
        <v>2546</v>
      </c>
      <c r="D63" s="653" t="s">
        <v>123</v>
      </c>
      <c r="E63" s="2119">
        <v>1</v>
      </c>
      <c r="F63" s="2114">
        <v>0</v>
      </c>
      <c r="G63" s="2105">
        <f>F63*E63</f>
        <v>0</v>
      </c>
    </row>
    <row r="64" spans="2:16" ht="16.5" customHeight="1" x14ac:dyDescent="0.2">
      <c r="B64" s="892"/>
      <c r="C64" s="927"/>
      <c r="D64" s="2619"/>
      <c r="E64" s="2618"/>
      <c r="F64" s="2619"/>
      <c r="G64" s="2620"/>
    </row>
    <row r="65" spans="2:15" ht="13.5" customHeight="1" x14ac:dyDescent="0.2">
      <c r="B65" s="1025" t="s">
        <v>12</v>
      </c>
      <c r="C65" s="1026" t="s">
        <v>157</v>
      </c>
      <c r="D65" s="1025"/>
      <c r="E65" s="1027"/>
      <c r="F65" s="1028"/>
      <c r="G65" s="1029">
        <f>SUM(G51:G64)</f>
        <v>0</v>
      </c>
    </row>
    <row r="66" spans="2:15" ht="18.75" customHeight="1" x14ac:dyDescent="0.2"/>
    <row r="67" spans="2:15" ht="25.5" customHeight="1" x14ac:dyDescent="0.2">
      <c r="B67" s="680" t="s">
        <v>83</v>
      </c>
      <c r="C67" s="681" t="s">
        <v>89</v>
      </c>
      <c r="D67" s="681" t="s">
        <v>90</v>
      </c>
      <c r="E67" s="683" t="s">
        <v>91</v>
      </c>
      <c r="F67" s="684" t="s">
        <v>92</v>
      </c>
      <c r="G67" s="685" t="s">
        <v>93</v>
      </c>
    </row>
    <row r="68" spans="2:15" ht="18" customHeight="1" x14ac:dyDescent="0.2">
      <c r="B68" s="129"/>
      <c r="C68" s="197"/>
      <c r="D68" s="207"/>
      <c r="E68" s="353"/>
      <c r="F68" s="358"/>
      <c r="G68" s="350"/>
    </row>
    <row r="69" spans="2:15" ht="18" customHeight="1" x14ac:dyDescent="0.2">
      <c r="B69" s="1039" t="s">
        <v>17</v>
      </c>
      <c r="C69" s="1040" t="s">
        <v>158</v>
      </c>
      <c r="D69" s="694"/>
      <c r="E69" s="689"/>
      <c r="F69" s="690"/>
      <c r="G69" s="691"/>
    </row>
    <row r="70" spans="2:15" ht="18" customHeight="1" x14ac:dyDescent="0.2">
      <c r="B70" s="2853" t="s">
        <v>1</v>
      </c>
      <c r="C70" s="2854"/>
      <c r="D70" s="2855"/>
      <c r="E70" s="2855"/>
      <c r="F70" s="2855"/>
      <c r="G70" s="2856"/>
    </row>
    <row r="71" spans="2:15" ht="15.75" customHeight="1" x14ac:dyDescent="0.2">
      <c r="B71" s="2857" t="s">
        <v>2</v>
      </c>
      <c r="C71" s="2858"/>
      <c r="D71" s="2859"/>
      <c r="E71" s="2860"/>
      <c r="F71" s="2860"/>
      <c r="G71" s="2859"/>
    </row>
    <row r="72" spans="2:15" ht="18" customHeight="1" x14ac:dyDescent="0.2">
      <c r="B72" s="2853" t="s">
        <v>3</v>
      </c>
      <c r="C72" s="2854"/>
      <c r="D72" s="2855"/>
      <c r="E72" s="2855"/>
      <c r="F72" s="2855"/>
      <c r="G72" s="2856"/>
    </row>
    <row r="73" spans="2:15" ht="18" customHeight="1" x14ac:dyDescent="0.2">
      <c r="B73" s="2857" t="s">
        <v>4</v>
      </c>
      <c r="C73" s="2858"/>
      <c r="D73" s="2860"/>
      <c r="E73" s="2860"/>
      <c r="F73" s="2860"/>
      <c r="G73" s="2859"/>
    </row>
    <row r="74" spans="2:15" ht="15.75" customHeight="1" x14ac:dyDescent="0.2">
      <c r="B74" s="3226" t="s">
        <v>159</v>
      </c>
      <c r="C74" s="3227"/>
      <c r="D74" s="3227"/>
      <c r="E74" s="3227"/>
      <c r="F74" s="3227"/>
      <c r="G74" s="3228"/>
    </row>
    <row r="75" spans="2:15" x14ac:dyDescent="0.2">
      <c r="B75" s="3226" t="s">
        <v>160</v>
      </c>
      <c r="C75" s="3227"/>
      <c r="D75" s="3227"/>
      <c r="E75" s="3227"/>
      <c r="F75" s="3227"/>
      <c r="G75" s="3228"/>
    </row>
    <row r="76" spans="2:15" ht="12.75" customHeight="1" x14ac:dyDescent="0.2">
      <c r="B76" s="3226" t="s">
        <v>161</v>
      </c>
      <c r="C76" s="3227"/>
      <c r="D76" s="3227"/>
      <c r="E76" s="3227"/>
      <c r="F76" s="3227"/>
      <c r="G76" s="3228"/>
    </row>
    <row r="77" spans="2:15" ht="12.75" customHeight="1" x14ac:dyDescent="0.2">
      <c r="B77" s="845"/>
      <c r="C77" s="848"/>
      <c r="D77" s="2126"/>
      <c r="E77" s="2122"/>
      <c r="F77" s="1011"/>
      <c r="G77" s="2105"/>
    </row>
    <row r="78" spans="2:15" x14ac:dyDescent="0.2">
      <c r="B78" s="950"/>
      <c r="C78" s="1044"/>
      <c r="D78" s="1045"/>
      <c r="E78" s="1046"/>
      <c r="F78" s="2517"/>
      <c r="G78" s="2517"/>
      <c r="H78" s="1048"/>
      <c r="I78" s="964"/>
      <c r="J78" s="723"/>
      <c r="K78" s="723"/>
      <c r="L78" s="723"/>
      <c r="M78" s="723"/>
      <c r="N78" s="723"/>
      <c r="O78" s="723"/>
    </row>
    <row r="79" spans="2:15" x14ac:dyDescent="0.2">
      <c r="B79" s="2051" t="s">
        <v>180</v>
      </c>
      <c r="C79" s="2059" t="s">
        <v>1316</v>
      </c>
      <c r="D79" s="2043"/>
      <c r="E79" s="2106"/>
      <c r="F79" s="2621"/>
      <c r="G79" s="2621"/>
      <c r="H79" s="1048"/>
      <c r="I79" s="964"/>
      <c r="J79" s="723"/>
      <c r="K79" s="723"/>
      <c r="L79" s="723"/>
      <c r="M79" s="723"/>
      <c r="N79" s="723"/>
      <c r="O79" s="723"/>
    </row>
    <row r="80" spans="2:15" ht="201.75" customHeight="1" x14ac:dyDescent="0.2">
      <c r="B80" s="2051"/>
      <c r="C80" s="2042" t="s">
        <v>508</v>
      </c>
      <c r="D80" s="2115" t="s">
        <v>149</v>
      </c>
      <c r="E80" s="2116">
        <v>1</v>
      </c>
      <c r="F80" s="2045">
        <v>0</v>
      </c>
      <c r="G80" s="2046">
        <f>F80*E80</f>
        <v>0</v>
      </c>
      <c r="H80" s="1048"/>
      <c r="I80" s="964"/>
      <c r="J80" s="723"/>
      <c r="K80" s="723"/>
      <c r="L80" s="723"/>
      <c r="M80" s="723"/>
      <c r="N80" s="723"/>
      <c r="O80" s="723"/>
    </row>
    <row r="81" spans="2:15" x14ac:dyDescent="0.2">
      <c r="B81" s="2051"/>
      <c r="C81" s="2042" t="s">
        <v>1317</v>
      </c>
      <c r="D81" s="2115" t="s">
        <v>149</v>
      </c>
      <c r="E81" s="2106">
        <v>1</v>
      </c>
      <c r="F81" s="2045">
        <v>0</v>
      </c>
      <c r="G81" s="2046">
        <f>F81*E81</f>
        <v>0</v>
      </c>
      <c r="H81" s="1048"/>
      <c r="I81" s="964"/>
      <c r="J81" s="723"/>
      <c r="K81" s="723"/>
      <c r="L81" s="723"/>
      <c r="M81" s="723"/>
      <c r="N81" s="723"/>
      <c r="O81" s="723"/>
    </row>
    <row r="82" spans="2:15" ht="129.75" customHeight="1" x14ac:dyDescent="0.2">
      <c r="B82" s="2051"/>
      <c r="C82" s="2042" t="s">
        <v>1318</v>
      </c>
      <c r="D82" s="2115" t="s">
        <v>149</v>
      </c>
      <c r="E82" s="2106">
        <v>1</v>
      </c>
      <c r="F82" s="2045">
        <v>0</v>
      </c>
      <c r="G82" s="2046">
        <f>F82*E82</f>
        <v>0</v>
      </c>
      <c r="H82" s="1048"/>
      <c r="I82" s="964"/>
      <c r="J82" s="723"/>
      <c r="K82" s="723"/>
      <c r="L82" s="723"/>
      <c r="M82" s="723"/>
      <c r="N82" s="723"/>
      <c r="O82" s="723"/>
    </row>
    <row r="83" spans="2:15" x14ac:dyDescent="0.2">
      <c r="B83" s="2051"/>
      <c r="C83" s="2042" t="s">
        <v>1319</v>
      </c>
      <c r="D83" s="2115" t="s">
        <v>149</v>
      </c>
      <c r="E83" s="2106">
        <v>1</v>
      </c>
      <c r="F83" s="2045">
        <v>0</v>
      </c>
      <c r="G83" s="2046">
        <f t="shared" ref="G83:G99" si="0">F83*E83</f>
        <v>0</v>
      </c>
      <c r="H83" s="1048"/>
      <c r="I83" s="964"/>
      <c r="J83" s="723"/>
      <c r="K83" s="723"/>
      <c r="L83" s="723"/>
      <c r="M83" s="723"/>
      <c r="N83" s="723"/>
      <c r="O83" s="723"/>
    </row>
    <row r="84" spans="2:15" x14ac:dyDescent="0.2">
      <c r="B84" s="2051"/>
      <c r="C84" s="2117" t="s">
        <v>515</v>
      </c>
      <c r="D84" s="2115" t="s">
        <v>149</v>
      </c>
      <c r="E84" s="2118">
        <v>2</v>
      </c>
      <c r="F84" s="2045">
        <v>0</v>
      </c>
      <c r="G84" s="2046">
        <f t="shared" si="0"/>
        <v>0</v>
      </c>
      <c r="H84" s="1048"/>
      <c r="I84" s="964"/>
      <c r="J84" s="723"/>
      <c r="K84" s="723"/>
      <c r="L84" s="723"/>
      <c r="M84" s="723"/>
      <c r="N84" s="723"/>
      <c r="O84" s="723"/>
    </row>
    <row r="85" spans="2:15" x14ac:dyDescent="0.2">
      <c r="B85" s="2051"/>
      <c r="C85" s="2117" t="s">
        <v>1320</v>
      </c>
      <c r="D85" s="2115" t="s">
        <v>149</v>
      </c>
      <c r="E85" s="2118">
        <v>2</v>
      </c>
      <c r="F85" s="2045">
        <v>0</v>
      </c>
      <c r="G85" s="2046">
        <f t="shared" si="0"/>
        <v>0</v>
      </c>
      <c r="H85" s="1048"/>
      <c r="I85" s="964"/>
      <c r="J85" s="723"/>
      <c r="K85" s="723"/>
      <c r="L85" s="723"/>
      <c r="M85" s="723"/>
      <c r="N85" s="723"/>
      <c r="O85" s="723"/>
    </row>
    <row r="86" spans="2:15" x14ac:dyDescent="0.2">
      <c r="B86" s="2051"/>
      <c r="C86" s="2117" t="s">
        <v>1321</v>
      </c>
      <c r="D86" s="2115" t="s">
        <v>149</v>
      </c>
      <c r="E86" s="2118">
        <v>1</v>
      </c>
      <c r="F86" s="2045">
        <v>0</v>
      </c>
      <c r="G86" s="2046">
        <f t="shared" si="0"/>
        <v>0</v>
      </c>
      <c r="H86" s="1048"/>
      <c r="I86" s="964"/>
      <c r="J86" s="723"/>
      <c r="K86" s="723"/>
      <c r="L86" s="723"/>
      <c r="M86" s="723"/>
      <c r="N86" s="723"/>
      <c r="O86" s="723"/>
    </row>
    <row r="87" spans="2:15" x14ac:dyDescent="0.2">
      <c r="B87" s="2051"/>
      <c r="C87" s="2042" t="s">
        <v>1322</v>
      </c>
      <c r="D87" s="2115" t="s">
        <v>149</v>
      </c>
      <c r="E87" s="2106">
        <v>2</v>
      </c>
      <c r="F87" s="2045">
        <v>0</v>
      </c>
      <c r="G87" s="2046">
        <f t="shared" si="0"/>
        <v>0</v>
      </c>
      <c r="H87" s="1048"/>
      <c r="I87" s="964"/>
      <c r="J87" s="723"/>
      <c r="K87" s="723"/>
      <c r="L87" s="723"/>
      <c r="M87" s="723"/>
      <c r="N87" s="723"/>
      <c r="O87" s="723"/>
    </row>
    <row r="88" spans="2:15" x14ac:dyDescent="0.2">
      <c r="B88" s="2051"/>
      <c r="C88" s="2117" t="s">
        <v>1323</v>
      </c>
      <c r="D88" s="2115" t="s">
        <v>149</v>
      </c>
      <c r="E88" s="2118">
        <v>1</v>
      </c>
      <c r="F88" s="2045">
        <v>0</v>
      </c>
      <c r="G88" s="2046">
        <f t="shared" si="0"/>
        <v>0</v>
      </c>
      <c r="H88" s="1048"/>
      <c r="I88" s="964"/>
      <c r="J88" s="723"/>
      <c r="K88" s="723"/>
      <c r="L88" s="723"/>
      <c r="M88" s="723"/>
      <c r="N88" s="723"/>
      <c r="O88" s="723"/>
    </row>
    <row r="89" spans="2:15" x14ac:dyDescent="0.2">
      <c r="B89" s="2051"/>
      <c r="C89" s="2117" t="s">
        <v>1324</v>
      </c>
      <c r="D89" s="2115" t="s">
        <v>149</v>
      </c>
      <c r="E89" s="2118">
        <v>2</v>
      </c>
      <c r="F89" s="2045">
        <v>0</v>
      </c>
      <c r="G89" s="2046">
        <f t="shared" si="0"/>
        <v>0</v>
      </c>
      <c r="H89" s="1048"/>
      <c r="I89" s="964"/>
      <c r="J89" s="723"/>
      <c r="K89" s="723"/>
      <c r="L89" s="723"/>
      <c r="M89" s="723"/>
      <c r="N89" s="723"/>
      <c r="O89" s="723"/>
    </row>
    <row r="90" spans="2:15" x14ac:dyDescent="0.2">
      <c r="B90" s="2051"/>
      <c r="C90" s="2117" t="s">
        <v>1325</v>
      </c>
      <c r="D90" s="2115" t="s">
        <v>149</v>
      </c>
      <c r="E90" s="2118">
        <v>1</v>
      </c>
      <c r="F90" s="2045">
        <v>0</v>
      </c>
      <c r="G90" s="2046">
        <f t="shared" si="0"/>
        <v>0</v>
      </c>
      <c r="H90" s="1048"/>
      <c r="I90" s="964"/>
      <c r="J90" s="723"/>
      <c r="K90" s="723"/>
      <c r="L90" s="723"/>
      <c r="M90" s="723"/>
      <c r="N90" s="723"/>
      <c r="O90" s="723"/>
    </row>
    <row r="91" spans="2:15" x14ac:dyDescent="0.2">
      <c r="B91" s="2051"/>
      <c r="C91" s="2117" t="s">
        <v>1326</v>
      </c>
      <c r="D91" s="2115" t="s">
        <v>149</v>
      </c>
      <c r="E91" s="2118">
        <v>1</v>
      </c>
      <c r="F91" s="2045">
        <v>0</v>
      </c>
      <c r="G91" s="2046">
        <f t="shared" si="0"/>
        <v>0</v>
      </c>
      <c r="H91" s="1048"/>
      <c r="I91" s="964"/>
      <c r="J91" s="723"/>
      <c r="K91" s="723"/>
      <c r="L91" s="723"/>
      <c r="M91" s="723"/>
      <c r="N91" s="723"/>
      <c r="O91" s="723"/>
    </row>
    <row r="92" spans="2:15" x14ac:dyDescent="0.2">
      <c r="B92" s="2051"/>
      <c r="C92" s="2117" t="s">
        <v>1327</v>
      </c>
      <c r="D92" s="2115" t="s">
        <v>149</v>
      </c>
      <c r="E92" s="2118">
        <v>1</v>
      </c>
      <c r="F92" s="2045">
        <v>0</v>
      </c>
      <c r="G92" s="2046">
        <f t="shared" si="0"/>
        <v>0</v>
      </c>
      <c r="H92" s="1048"/>
      <c r="I92" s="964"/>
      <c r="J92" s="723"/>
      <c r="K92" s="723"/>
      <c r="L92" s="723"/>
      <c r="M92" s="723"/>
      <c r="N92" s="723"/>
      <c r="O92" s="723"/>
    </row>
    <row r="93" spans="2:15" x14ac:dyDescent="0.2">
      <c r="B93" s="2051"/>
      <c r="C93" s="2047" t="s">
        <v>1328</v>
      </c>
      <c r="D93" s="2115" t="s">
        <v>149</v>
      </c>
      <c r="E93" s="2118">
        <v>2</v>
      </c>
      <c r="F93" s="2045">
        <v>0</v>
      </c>
      <c r="G93" s="2046">
        <f t="shared" si="0"/>
        <v>0</v>
      </c>
      <c r="H93" s="1048"/>
      <c r="I93" s="964"/>
      <c r="J93" s="723"/>
      <c r="K93" s="723"/>
      <c r="L93" s="723"/>
      <c r="M93" s="723"/>
      <c r="N93" s="723"/>
      <c r="O93" s="723"/>
    </row>
    <row r="94" spans="2:15" x14ac:dyDescent="0.2">
      <c r="B94" s="2051"/>
      <c r="C94" s="2047" t="s">
        <v>1329</v>
      </c>
      <c r="D94" s="2115" t="s">
        <v>149</v>
      </c>
      <c r="E94" s="2118">
        <v>1</v>
      </c>
      <c r="F94" s="2045">
        <v>0</v>
      </c>
      <c r="G94" s="2046">
        <f t="shared" si="0"/>
        <v>0</v>
      </c>
      <c r="H94" s="1048"/>
      <c r="I94" s="964"/>
      <c r="J94" s="723"/>
      <c r="K94" s="723"/>
      <c r="L94" s="723"/>
      <c r="M94" s="723"/>
      <c r="N94" s="723"/>
      <c r="O94" s="723"/>
    </row>
    <row r="95" spans="2:15" x14ac:dyDescent="0.2">
      <c r="B95" s="2051"/>
      <c r="C95" s="2042" t="s">
        <v>1330</v>
      </c>
      <c r="D95" s="2115" t="s">
        <v>149</v>
      </c>
      <c r="E95" s="2118">
        <v>1</v>
      </c>
      <c r="F95" s="2045">
        <v>0</v>
      </c>
      <c r="G95" s="2046">
        <f t="shared" si="0"/>
        <v>0</v>
      </c>
      <c r="H95" s="1048"/>
      <c r="I95" s="964"/>
      <c r="J95" s="723"/>
      <c r="K95" s="723"/>
      <c r="L95" s="723"/>
      <c r="M95" s="723"/>
      <c r="N95" s="723"/>
      <c r="O95" s="723"/>
    </row>
    <row r="96" spans="2:15" x14ac:dyDescent="0.2">
      <c r="B96" s="2051"/>
      <c r="C96" s="2042" t="s">
        <v>1331</v>
      </c>
      <c r="D96" s="2115" t="s">
        <v>149</v>
      </c>
      <c r="E96" s="2118">
        <v>1</v>
      </c>
      <c r="F96" s="2045">
        <v>0</v>
      </c>
      <c r="G96" s="2046">
        <f t="shared" si="0"/>
        <v>0</v>
      </c>
      <c r="H96" s="1048"/>
      <c r="I96" s="964"/>
      <c r="J96" s="723"/>
      <c r="K96" s="723"/>
      <c r="L96" s="723"/>
      <c r="M96" s="723"/>
      <c r="N96" s="723"/>
      <c r="O96" s="723"/>
    </row>
    <row r="97" spans="2:15" x14ac:dyDescent="0.2">
      <c r="B97" s="2051"/>
      <c r="C97" s="2042" t="s">
        <v>1332</v>
      </c>
      <c r="D97" s="2115" t="s">
        <v>149</v>
      </c>
      <c r="E97" s="2118">
        <v>1</v>
      </c>
      <c r="F97" s="2045">
        <v>0</v>
      </c>
      <c r="G97" s="2046">
        <f t="shared" si="0"/>
        <v>0</v>
      </c>
      <c r="H97" s="1048"/>
      <c r="I97" s="964"/>
      <c r="J97" s="723"/>
      <c r="K97" s="723"/>
      <c r="L97" s="723"/>
      <c r="M97" s="723"/>
      <c r="N97" s="723"/>
      <c r="O97" s="723"/>
    </row>
    <row r="98" spans="2:15" x14ac:dyDescent="0.2">
      <c r="B98" s="2051"/>
      <c r="C98" s="2042" t="s">
        <v>1333</v>
      </c>
      <c r="D98" s="2115" t="s">
        <v>149</v>
      </c>
      <c r="E98" s="2118">
        <v>1</v>
      </c>
      <c r="F98" s="2045">
        <v>0</v>
      </c>
      <c r="G98" s="2046">
        <f t="shared" si="0"/>
        <v>0</v>
      </c>
      <c r="H98" s="1048"/>
      <c r="I98" s="964"/>
      <c r="J98" s="723"/>
      <c r="K98" s="723"/>
      <c r="L98" s="723"/>
      <c r="M98" s="723"/>
      <c r="N98" s="723"/>
      <c r="O98" s="723"/>
    </row>
    <row r="99" spans="2:15" x14ac:dyDescent="0.2">
      <c r="B99" s="2051"/>
      <c r="C99" s="2042" t="s">
        <v>1334</v>
      </c>
      <c r="D99" s="2115" t="s">
        <v>149</v>
      </c>
      <c r="E99" s="2118">
        <v>1</v>
      </c>
      <c r="F99" s="2045">
        <v>0</v>
      </c>
      <c r="G99" s="2046">
        <f t="shared" si="0"/>
        <v>0</v>
      </c>
      <c r="H99" s="1048"/>
      <c r="I99" s="964"/>
      <c r="J99" s="723"/>
      <c r="K99" s="723"/>
      <c r="L99" s="723"/>
      <c r="M99" s="723"/>
      <c r="N99" s="723"/>
      <c r="O99" s="723"/>
    </row>
    <row r="100" spans="2:15" s="136" customFormat="1" ht="96" customHeight="1" x14ac:dyDescent="0.2">
      <c r="B100" s="2731"/>
      <c r="C100" s="2732"/>
      <c r="D100" s="2733"/>
      <c r="E100" s="2734"/>
      <c r="F100" s="2735"/>
      <c r="G100" s="2736"/>
      <c r="H100" s="122"/>
    </row>
    <row r="101" spans="2:15" s="136" customFormat="1" ht="96" customHeight="1" x14ac:dyDescent="0.2">
      <c r="B101" s="2737"/>
      <c r="C101" s="2738"/>
      <c r="D101" s="2733"/>
      <c r="E101" s="2734"/>
      <c r="F101" s="2735"/>
      <c r="G101" s="2736"/>
      <c r="H101" s="122"/>
    </row>
    <row r="102" spans="2:15" s="136" customFormat="1" ht="96" customHeight="1" x14ac:dyDescent="0.2">
      <c r="B102" s="2737"/>
      <c r="C102" s="2738"/>
      <c r="D102" s="2733"/>
      <c r="E102" s="2734"/>
      <c r="F102" s="2735"/>
      <c r="G102" s="2736"/>
      <c r="H102" s="122"/>
    </row>
    <row r="103" spans="2:15" s="136" customFormat="1" ht="96" customHeight="1" x14ac:dyDescent="0.2">
      <c r="B103" s="2737"/>
      <c r="C103" s="2738"/>
      <c r="D103" s="2733"/>
      <c r="E103" s="2734"/>
      <c r="F103" s="2735"/>
      <c r="G103" s="2736"/>
      <c r="H103" s="122"/>
    </row>
    <row r="104" spans="2:15" s="136" customFormat="1" ht="96" customHeight="1" x14ac:dyDescent="0.2">
      <c r="B104" s="2737"/>
      <c r="C104" s="2738"/>
      <c r="D104" s="2733"/>
      <c r="E104" s="2734"/>
      <c r="F104" s="2735"/>
      <c r="G104" s="2736"/>
      <c r="H104" s="122"/>
    </row>
    <row r="105" spans="2:15" s="136" customFormat="1" ht="96" customHeight="1" x14ac:dyDescent="0.2">
      <c r="B105" s="2737"/>
      <c r="C105" s="2738"/>
      <c r="D105" s="2733"/>
      <c r="E105" s="2734"/>
      <c r="F105" s="2735"/>
      <c r="G105" s="2736"/>
      <c r="H105" s="122"/>
    </row>
    <row r="106" spans="2:15" s="136" customFormat="1" ht="85.5" customHeight="1" x14ac:dyDescent="0.2">
      <c r="B106" s="2737"/>
      <c r="C106" s="2738"/>
      <c r="D106" s="2733"/>
      <c r="E106" s="2734"/>
      <c r="F106" s="2735"/>
      <c r="G106" s="2736"/>
      <c r="H106" s="122"/>
    </row>
    <row r="107" spans="2:15" s="136" customFormat="1" ht="14.25" customHeight="1" x14ac:dyDescent="0.2">
      <c r="B107" s="2737"/>
      <c r="C107" s="2732" t="s">
        <v>2464</v>
      </c>
      <c r="D107" s="2739" t="s">
        <v>98</v>
      </c>
      <c r="E107" s="2740">
        <v>1</v>
      </c>
      <c r="F107" s="2741">
        <v>0</v>
      </c>
      <c r="G107" s="2742">
        <f t="shared" ref="G107" si="1">E107*F107</f>
        <v>0</v>
      </c>
      <c r="H107" s="122"/>
    </row>
    <row r="108" spans="2:15" x14ac:dyDescent="0.2">
      <c r="B108" s="950"/>
      <c r="C108" s="1044"/>
      <c r="D108" s="1045"/>
      <c r="E108" s="1046"/>
      <c r="F108" s="2517"/>
      <c r="G108" s="2517"/>
      <c r="H108" s="1048"/>
      <c r="I108" s="964"/>
      <c r="J108" s="723"/>
      <c r="K108" s="723"/>
      <c r="L108" s="723"/>
      <c r="M108" s="723"/>
      <c r="N108" s="723"/>
      <c r="O108" s="723"/>
    </row>
    <row r="109" spans="2:15" s="723" customFormat="1" x14ac:dyDescent="0.2">
      <c r="B109" s="702" t="s">
        <v>17</v>
      </c>
      <c r="C109" s="1052" t="s">
        <v>302</v>
      </c>
      <c r="D109" s="1053"/>
      <c r="E109" s="1054"/>
      <c r="F109" s="1055"/>
      <c r="G109" s="1029">
        <f>SUM(G78:G108)</f>
        <v>0</v>
      </c>
      <c r="H109" s="744"/>
      <c r="J109" s="996"/>
    </row>
    <row r="110" spans="2:15" s="723" customFormat="1" x14ac:dyDescent="0.2">
      <c r="B110" s="908"/>
      <c r="C110" s="989"/>
      <c r="D110" s="2656"/>
      <c r="E110" s="2610"/>
      <c r="F110" s="2611"/>
      <c r="G110" s="2612"/>
      <c r="H110" s="744"/>
      <c r="J110" s="996"/>
    </row>
    <row r="111" spans="2:15" s="723" customFormat="1" x14ac:dyDescent="0.2">
      <c r="B111" s="739"/>
      <c r="C111" s="740"/>
      <c r="D111" s="2654"/>
      <c r="E111" s="2610"/>
      <c r="F111" s="2611"/>
      <c r="G111" s="2612"/>
      <c r="H111" s="991"/>
      <c r="J111" s="996"/>
    </row>
    <row r="112" spans="2:15" s="723" customFormat="1" x14ac:dyDescent="0.2">
      <c r="B112" s="739"/>
      <c r="C112" s="740"/>
      <c r="D112" s="2654"/>
      <c r="E112" s="2610"/>
      <c r="F112" s="2611"/>
      <c r="G112" s="2612"/>
      <c r="H112" s="991"/>
      <c r="J112" s="996"/>
    </row>
    <row r="113" spans="2:10" s="723" customFormat="1" x14ac:dyDescent="0.2">
      <c r="B113" s="739"/>
      <c r="C113" s="740"/>
      <c r="D113" s="2654"/>
      <c r="E113" s="2610"/>
      <c r="F113" s="2611"/>
      <c r="G113" s="2612"/>
      <c r="H113" s="744"/>
      <c r="J113" s="996"/>
    </row>
    <row r="114" spans="2:10" s="723" customFormat="1" x14ac:dyDescent="0.2">
      <c r="B114" s="739"/>
      <c r="C114" s="740"/>
      <c r="D114" s="2654"/>
      <c r="E114" s="2610"/>
      <c r="F114" s="2611"/>
      <c r="G114" s="2612"/>
      <c r="H114" s="744"/>
      <c r="J114" s="996"/>
    </row>
    <row r="115" spans="2:10" s="723" customFormat="1" x14ac:dyDescent="0.2">
      <c r="B115" s="739"/>
      <c r="C115" s="740"/>
      <c r="D115" s="2654"/>
      <c r="E115" s="2610"/>
      <c r="F115" s="2611"/>
      <c r="G115" s="2612"/>
      <c r="H115" s="744"/>
      <c r="J115" s="996"/>
    </row>
    <row r="116" spans="2:10" s="723" customFormat="1" ht="44.25" customHeight="1" x14ac:dyDescent="0.2">
      <c r="B116" s="3236" t="s">
        <v>1335</v>
      </c>
      <c r="C116" s="3237"/>
      <c r="D116" s="3237"/>
      <c r="E116" s="3237"/>
      <c r="F116" s="3237"/>
      <c r="G116" s="3238"/>
      <c r="H116" s="744"/>
      <c r="J116" s="996"/>
    </row>
    <row r="117" spans="2:10" s="723" customFormat="1" ht="15" x14ac:dyDescent="0.2">
      <c r="B117" s="3242" t="s">
        <v>539</v>
      </c>
      <c r="C117" s="3243"/>
      <c r="D117" s="3243"/>
      <c r="E117" s="3243"/>
      <c r="F117" s="3243"/>
      <c r="G117" s="3244"/>
      <c r="H117" s="744"/>
      <c r="J117" s="996"/>
    </row>
    <row r="118" spans="2:10" s="723" customFormat="1" ht="48.75" customHeight="1" x14ac:dyDescent="0.2">
      <c r="B118" s="3245" t="s">
        <v>540</v>
      </c>
      <c r="C118" s="3246"/>
      <c r="D118" s="3246"/>
      <c r="E118" s="3246"/>
      <c r="F118" s="3246"/>
      <c r="G118" s="3247"/>
      <c r="H118" s="744"/>
    </row>
    <row r="119" spans="2:10" s="723" customFormat="1" ht="39.75" customHeight="1" x14ac:dyDescent="0.2">
      <c r="B119" s="3245" t="s">
        <v>541</v>
      </c>
      <c r="C119" s="3246"/>
      <c r="D119" s="3246"/>
      <c r="E119" s="3246"/>
      <c r="F119" s="3246"/>
      <c r="G119" s="3247"/>
      <c r="H119" s="744"/>
    </row>
    <row r="120" spans="2:10" s="723" customFormat="1" ht="42.75" customHeight="1" x14ac:dyDescent="0.2">
      <c r="B120" s="3245" t="s">
        <v>542</v>
      </c>
      <c r="C120" s="3246"/>
      <c r="D120" s="3246"/>
      <c r="E120" s="3246"/>
      <c r="F120" s="3246"/>
      <c r="G120" s="3247"/>
      <c r="H120" s="744"/>
    </row>
    <row r="121" spans="2:10" s="723" customFormat="1" ht="33.75" customHeight="1" x14ac:dyDescent="0.2">
      <c r="B121" s="3245" t="s">
        <v>543</v>
      </c>
      <c r="C121" s="3246"/>
      <c r="D121" s="3246"/>
      <c r="E121" s="3246"/>
      <c r="F121" s="3246"/>
      <c r="G121" s="3247"/>
      <c r="H121" s="744"/>
    </row>
    <row r="122" spans="2:10" s="723" customFormat="1" ht="49.5" customHeight="1" x14ac:dyDescent="0.2">
      <c r="B122" s="3248" t="s">
        <v>544</v>
      </c>
      <c r="C122" s="3249"/>
      <c r="D122" s="3249"/>
      <c r="E122" s="3249"/>
      <c r="F122" s="3249"/>
      <c r="G122" s="3250"/>
      <c r="H122" s="744"/>
      <c r="J122" s="996"/>
    </row>
    <row r="123" spans="2:10" s="723" customFormat="1" ht="27.75" customHeight="1" x14ac:dyDescent="0.2">
      <c r="B123" s="3239" t="s">
        <v>545</v>
      </c>
      <c r="C123" s="3240"/>
      <c r="D123" s="3240"/>
      <c r="E123" s="3240"/>
      <c r="F123" s="3240"/>
      <c r="G123" s="3241"/>
      <c r="H123" s="744"/>
      <c r="J123" s="996"/>
    </row>
    <row r="124" spans="2:10" s="723" customFormat="1" x14ac:dyDescent="0.2">
      <c r="B124" s="520"/>
      <c r="C124" s="1070"/>
      <c r="D124" s="522"/>
      <c r="E124" s="523"/>
      <c r="F124" s="524"/>
      <c r="G124" s="1221"/>
      <c r="H124" s="744"/>
      <c r="J124" s="996"/>
    </row>
    <row r="125" spans="2:10" s="723" customFormat="1" x14ac:dyDescent="0.2">
      <c r="B125" s="526" t="s">
        <v>368</v>
      </c>
      <c r="C125" s="527" t="s">
        <v>84</v>
      </c>
      <c r="D125" s="527" t="s">
        <v>546</v>
      </c>
      <c r="E125" s="528" t="s">
        <v>547</v>
      </c>
      <c r="F125" s="529" t="s">
        <v>548</v>
      </c>
      <c r="G125" s="527" t="s">
        <v>549</v>
      </c>
      <c r="H125" s="744"/>
      <c r="J125" s="996"/>
    </row>
    <row r="126" spans="2:10" s="723" customFormat="1" x14ac:dyDescent="0.2">
      <c r="B126" s="2129"/>
      <c r="C126" s="2130"/>
      <c r="D126" s="2657"/>
      <c r="E126" s="2573"/>
      <c r="F126" s="2622"/>
      <c r="G126" s="2623"/>
      <c r="H126" s="744"/>
      <c r="J126" s="996"/>
    </row>
    <row r="127" spans="2:10" s="723" customFormat="1" x14ac:dyDescent="0.2">
      <c r="B127" s="2133" t="s">
        <v>167</v>
      </c>
      <c r="C127" s="2134" t="s">
        <v>550</v>
      </c>
      <c r="D127" s="2658" t="s">
        <v>551</v>
      </c>
      <c r="E127" s="2624" t="s">
        <v>551</v>
      </c>
      <c r="F127" s="2625"/>
      <c r="G127" s="2625"/>
      <c r="H127" s="744"/>
      <c r="J127" s="996"/>
    </row>
    <row r="128" spans="2:10" s="723" customFormat="1" x14ac:dyDescent="0.2">
      <c r="B128" s="2135"/>
      <c r="C128" s="2136"/>
      <c r="D128" s="2659"/>
      <c r="E128" s="2626"/>
      <c r="F128" s="2625"/>
      <c r="G128" s="2625"/>
      <c r="H128" s="744"/>
    </row>
    <row r="129" spans="2:10" s="723" customFormat="1" ht="80.25" customHeight="1" x14ac:dyDescent="0.2">
      <c r="B129" s="2135" t="s">
        <v>8</v>
      </c>
      <c r="C129" s="2137" t="s">
        <v>1336</v>
      </c>
      <c r="D129" s="2138" t="s">
        <v>553</v>
      </c>
      <c r="E129" s="2139">
        <v>1</v>
      </c>
      <c r="F129" s="2045">
        <v>0</v>
      </c>
      <c r="G129" s="2046">
        <f>F129*E129</f>
        <v>0</v>
      </c>
      <c r="H129" s="744"/>
    </row>
    <row r="130" spans="2:10" s="723" customFormat="1" x14ac:dyDescent="0.2">
      <c r="B130" s="2135"/>
      <c r="C130" s="2136"/>
      <c r="D130" s="2138"/>
      <c r="E130" s="2139"/>
      <c r="F130" s="2140"/>
      <c r="G130" s="2141"/>
      <c r="H130" s="744"/>
    </row>
    <row r="131" spans="2:10" s="723" customFormat="1" ht="48" x14ac:dyDescent="0.2">
      <c r="B131" s="2135" t="s">
        <v>15</v>
      </c>
      <c r="C131" s="2137" t="s">
        <v>1337</v>
      </c>
      <c r="D131" s="2138" t="s">
        <v>123</v>
      </c>
      <c r="E131" s="2139">
        <v>1</v>
      </c>
      <c r="F131" s="2045">
        <v>0</v>
      </c>
      <c r="G131" s="2046">
        <f t="shared" ref="G131" si="2">F131*E131</f>
        <v>0</v>
      </c>
      <c r="H131" s="744"/>
    </row>
    <row r="132" spans="2:10" s="723" customFormat="1" x14ac:dyDescent="0.2">
      <c r="B132" s="2135"/>
      <c r="C132" s="2136"/>
      <c r="D132" s="2138"/>
      <c r="E132" s="2139"/>
      <c r="F132" s="2140"/>
      <c r="G132" s="2141"/>
      <c r="H132" s="744"/>
      <c r="J132" s="996"/>
    </row>
    <row r="133" spans="2:10" s="723" customFormat="1" ht="24" x14ac:dyDescent="0.2">
      <c r="B133" s="2135" t="s">
        <v>20</v>
      </c>
      <c r="C133" s="2142" t="s">
        <v>555</v>
      </c>
      <c r="D133" s="2138" t="s">
        <v>553</v>
      </c>
      <c r="E133" s="2139">
        <v>1</v>
      </c>
      <c r="F133" s="2045">
        <v>0</v>
      </c>
      <c r="G133" s="2046">
        <f t="shared" ref="G133" si="3">F133*E133</f>
        <v>0</v>
      </c>
      <c r="H133" s="744"/>
      <c r="J133" s="996"/>
    </row>
    <row r="134" spans="2:10" s="723" customFormat="1" x14ac:dyDescent="0.2">
      <c r="B134" s="2135"/>
      <c r="C134" s="2136"/>
      <c r="D134" s="2138"/>
      <c r="E134" s="2139"/>
      <c r="F134" s="2140"/>
      <c r="G134" s="2141"/>
      <c r="H134" s="744"/>
    </row>
    <row r="135" spans="2:10" s="723" customFormat="1" x14ac:dyDescent="0.2">
      <c r="B135" s="2135"/>
      <c r="C135" s="2136"/>
      <c r="D135" s="2138"/>
      <c r="E135" s="2139"/>
      <c r="F135" s="2140"/>
      <c r="G135" s="2046"/>
      <c r="H135" s="744"/>
      <c r="I135" s="741"/>
    </row>
    <row r="136" spans="2:10" s="723" customFormat="1" ht="24" x14ac:dyDescent="0.2">
      <c r="B136" s="2135" t="s">
        <v>24</v>
      </c>
      <c r="C136" s="2136" t="s">
        <v>1338</v>
      </c>
      <c r="D136" s="2138" t="s">
        <v>123</v>
      </c>
      <c r="E136" s="2139">
        <v>2</v>
      </c>
      <c r="F136" s="2045">
        <v>0</v>
      </c>
      <c r="G136" s="2046">
        <f t="shared" ref="G136:G138" si="4">F136*E136</f>
        <v>0</v>
      </c>
      <c r="H136" s="744"/>
      <c r="I136" s="741"/>
    </row>
    <row r="137" spans="2:10" s="723" customFormat="1" x14ac:dyDescent="0.2">
      <c r="B137" s="2135"/>
      <c r="C137" s="2136"/>
      <c r="D137" s="2138"/>
      <c r="E137" s="2139"/>
      <c r="F137" s="2140"/>
      <c r="G137" s="2046"/>
      <c r="H137" s="744"/>
      <c r="I137" s="741"/>
    </row>
    <row r="138" spans="2:10" s="723" customFormat="1" ht="24" x14ac:dyDescent="0.2">
      <c r="B138" s="2135" t="s">
        <v>29</v>
      </c>
      <c r="C138" s="2136" t="s">
        <v>1339</v>
      </c>
      <c r="D138" s="2138" t="s">
        <v>123</v>
      </c>
      <c r="E138" s="2139">
        <v>1</v>
      </c>
      <c r="F138" s="2045">
        <v>0</v>
      </c>
      <c r="G138" s="2046">
        <f t="shared" si="4"/>
        <v>0</v>
      </c>
      <c r="H138" s="744"/>
      <c r="I138" s="741"/>
    </row>
    <row r="139" spans="2:10" s="723" customFormat="1" x14ac:dyDescent="0.2">
      <c r="B139" s="2135"/>
      <c r="C139" s="2143"/>
      <c r="D139" s="2627"/>
      <c r="E139" s="2627"/>
      <c r="F139" s="2627"/>
      <c r="G139" s="2046"/>
      <c r="H139" s="744"/>
      <c r="I139" s="741"/>
    </row>
    <row r="140" spans="2:10" s="723" customFormat="1" ht="24" x14ac:dyDescent="0.2">
      <c r="B140" s="2135" t="s">
        <v>33</v>
      </c>
      <c r="C140" s="2136" t="s">
        <v>557</v>
      </c>
      <c r="D140" s="2138" t="s">
        <v>123</v>
      </c>
      <c r="E140" s="2139">
        <v>1</v>
      </c>
      <c r="F140" s="2045">
        <v>0</v>
      </c>
      <c r="G140" s="2046">
        <f t="shared" ref="G140:G154" si="5">F140*E140</f>
        <v>0</v>
      </c>
      <c r="H140" s="744"/>
      <c r="I140" s="741"/>
    </row>
    <row r="141" spans="2:10" s="723" customFormat="1" x14ac:dyDescent="0.2">
      <c r="B141" s="2135"/>
      <c r="C141" s="2136"/>
      <c r="D141" s="2138"/>
      <c r="E141" s="2139"/>
      <c r="F141" s="2140"/>
      <c r="G141" s="2046"/>
      <c r="H141" s="744"/>
      <c r="I141" s="741"/>
    </row>
    <row r="142" spans="2:10" s="723" customFormat="1" x14ac:dyDescent="0.2">
      <c r="B142" s="2135" t="s">
        <v>38</v>
      </c>
      <c r="C142" s="2136" t="s">
        <v>558</v>
      </c>
      <c r="D142" s="2138" t="s">
        <v>123</v>
      </c>
      <c r="E142" s="2139">
        <v>1</v>
      </c>
      <c r="F142" s="2045">
        <v>0</v>
      </c>
      <c r="G142" s="2046">
        <f t="shared" si="5"/>
        <v>0</v>
      </c>
      <c r="H142" s="744"/>
      <c r="I142" s="741"/>
    </row>
    <row r="143" spans="2:10" s="723" customFormat="1" x14ac:dyDescent="0.2">
      <c r="B143" s="2135"/>
      <c r="C143" s="2136"/>
      <c r="D143" s="2138"/>
      <c r="E143" s="2139"/>
      <c r="F143" s="2140"/>
      <c r="G143" s="2046"/>
      <c r="H143" s="744"/>
      <c r="I143" s="741"/>
    </row>
    <row r="144" spans="2:10" s="723" customFormat="1" ht="60" x14ac:dyDescent="0.2">
      <c r="B144" s="2135" t="s">
        <v>43</v>
      </c>
      <c r="C144" s="2136" t="s">
        <v>559</v>
      </c>
      <c r="D144" s="2138" t="s">
        <v>560</v>
      </c>
      <c r="E144" s="2139">
        <v>1</v>
      </c>
      <c r="F144" s="2045">
        <v>0</v>
      </c>
      <c r="G144" s="2046">
        <f t="shared" si="5"/>
        <v>0</v>
      </c>
      <c r="H144" s="744"/>
      <c r="I144" s="741"/>
    </row>
    <row r="145" spans="2:9" s="723" customFormat="1" x14ac:dyDescent="0.2">
      <c r="B145" s="2135"/>
      <c r="C145" s="2136"/>
      <c r="D145" s="2138"/>
      <c r="E145" s="2139"/>
      <c r="F145" s="2140"/>
      <c r="G145" s="2046"/>
      <c r="H145" s="744"/>
      <c r="I145" s="741"/>
    </row>
    <row r="146" spans="2:9" s="723" customFormat="1" ht="36" x14ac:dyDescent="0.2">
      <c r="B146" s="2135" t="s">
        <v>562</v>
      </c>
      <c r="C146" s="2136" t="s">
        <v>561</v>
      </c>
      <c r="D146" s="2138" t="s">
        <v>123</v>
      </c>
      <c r="E146" s="2139">
        <v>1</v>
      </c>
      <c r="F146" s="2045">
        <v>0</v>
      </c>
      <c r="G146" s="2046">
        <f t="shared" si="5"/>
        <v>0</v>
      </c>
      <c r="H146" s="744"/>
      <c r="I146" s="741"/>
    </row>
    <row r="147" spans="2:9" s="723" customFormat="1" x14ac:dyDescent="0.2">
      <c r="B147" s="2135"/>
      <c r="C147" s="2136"/>
      <c r="D147" s="2138"/>
      <c r="E147" s="2139"/>
      <c r="F147" s="2140"/>
      <c r="G147" s="2046"/>
      <c r="H147" s="744"/>
      <c r="I147" s="741"/>
    </row>
    <row r="148" spans="2:9" s="723" customFormat="1" ht="24" x14ac:dyDescent="0.2">
      <c r="B148" s="2135" t="s">
        <v>564</v>
      </c>
      <c r="C148" s="2136" t="s">
        <v>563</v>
      </c>
      <c r="D148" s="2138" t="s">
        <v>123</v>
      </c>
      <c r="E148" s="2139">
        <v>1</v>
      </c>
      <c r="F148" s="2045">
        <v>0</v>
      </c>
      <c r="G148" s="2046">
        <f t="shared" si="5"/>
        <v>0</v>
      </c>
      <c r="H148" s="744"/>
      <c r="I148" s="992"/>
    </row>
    <row r="149" spans="2:9" s="723" customFormat="1" x14ac:dyDescent="0.2">
      <c r="B149" s="2135"/>
      <c r="C149" s="2136"/>
      <c r="D149" s="2138"/>
      <c r="E149" s="2139"/>
      <c r="F149" s="2140"/>
      <c r="G149" s="2046"/>
      <c r="H149" s="744"/>
      <c r="I149" s="992"/>
    </row>
    <row r="150" spans="2:9" s="723" customFormat="1" ht="36" x14ac:dyDescent="0.2">
      <c r="B150" s="2135" t="s">
        <v>566</v>
      </c>
      <c r="C150" s="2136" t="s">
        <v>565</v>
      </c>
      <c r="D150" s="2138" t="s">
        <v>149</v>
      </c>
      <c r="E150" s="2139">
        <v>1</v>
      </c>
      <c r="F150" s="2045">
        <v>0</v>
      </c>
      <c r="G150" s="2046">
        <f t="shared" si="5"/>
        <v>0</v>
      </c>
      <c r="H150" s="744"/>
      <c r="I150" s="741"/>
    </row>
    <row r="151" spans="2:9" s="723" customFormat="1" x14ac:dyDescent="0.2">
      <c r="B151" s="2144"/>
      <c r="C151" s="2136"/>
      <c r="D151" s="2138"/>
      <c r="E151" s="2139"/>
      <c r="F151" s="2140"/>
      <c r="G151" s="2046"/>
      <c r="H151" s="744"/>
      <c r="I151" s="741"/>
    </row>
    <row r="152" spans="2:9" s="723" customFormat="1" ht="168" x14ac:dyDescent="0.2">
      <c r="B152" s="2144" t="s">
        <v>568</v>
      </c>
      <c r="C152" s="2145" t="s">
        <v>567</v>
      </c>
      <c r="D152" s="2138" t="s">
        <v>123</v>
      </c>
      <c r="E152" s="2247">
        <v>1</v>
      </c>
      <c r="F152" s="2045">
        <v>0</v>
      </c>
      <c r="G152" s="2046">
        <f t="shared" si="5"/>
        <v>0</v>
      </c>
      <c r="H152" s="744"/>
      <c r="I152" s="741"/>
    </row>
    <row r="153" spans="2:9" s="723" customFormat="1" x14ac:dyDescent="0.2">
      <c r="B153" s="2135"/>
      <c r="C153" s="2146"/>
      <c r="D153" s="2138"/>
      <c r="E153" s="2247"/>
      <c r="F153" s="2628"/>
      <c r="G153" s="2046"/>
      <c r="H153" s="744"/>
      <c r="I153" s="741"/>
    </row>
    <row r="154" spans="2:9" s="723" customFormat="1" ht="24" x14ac:dyDescent="0.2">
      <c r="B154" s="2135" t="s">
        <v>570</v>
      </c>
      <c r="C154" s="2136" t="s">
        <v>569</v>
      </c>
      <c r="D154" s="2138" t="s">
        <v>123</v>
      </c>
      <c r="E154" s="2247">
        <v>7</v>
      </c>
      <c r="F154" s="2045">
        <v>0</v>
      </c>
      <c r="G154" s="2046">
        <f t="shared" si="5"/>
        <v>0</v>
      </c>
      <c r="H154" s="744"/>
      <c r="I154" s="741"/>
    </row>
    <row r="155" spans="2:9" s="723" customFormat="1" x14ac:dyDescent="0.2">
      <c r="B155" s="2135"/>
      <c r="C155" s="2136"/>
      <c r="D155" s="2138"/>
      <c r="E155" s="2139"/>
      <c r="F155" s="2140"/>
      <c r="G155" s="2046"/>
      <c r="H155" s="744"/>
      <c r="I155" s="741"/>
    </row>
    <row r="156" spans="2:9" s="723" customFormat="1" x14ac:dyDescent="0.2">
      <c r="B156" s="2135"/>
      <c r="C156" s="2136"/>
      <c r="D156" s="2138"/>
      <c r="E156" s="2139"/>
      <c r="F156" s="2140"/>
      <c r="G156" s="2141"/>
      <c r="H156" s="744"/>
      <c r="I156" s="741"/>
    </row>
    <row r="157" spans="2:9" s="723" customFormat="1" ht="24" x14ac:dyDescent="0.2">
      <c r="B157" s="2135" t="s">
        <v>572</v>
      </c>
      <c r="C157" s="2136" t="s">
        <v>1340</v>
      </c>
      <c r="D157" s="2138" t="s">
        <v>123</v>
      </c>
      <c r="E157" s="2139">
        <v>1</v>
      </c>
      <c r="F157" s="2045">
        <v>0</v>
      </c>
      <c r="G157" s="2046">
        <f t="shared" ref="G157" si="6">F157*E157</f>
        <v>0</v>
      </c>
      <c r="H157" s="744"/>
      <c r="I157" s="741"/>
    </row>
    <row r="158" spans="2:9" s="723" customFormat="1" ht="12.75" customHeight="1" x14ac:dyDescent="0.2">
      <c r="B158" s="2135"/>
      <c r="C158" s="2136"/>
      <c r="D158" s="2138"/>
      <c r="E158" s="2139"/>
      <c r="F158" s="2140"/>
      <c r="G158" s="2141"/>
      <c r="H158" s="744"/>
      <c r="I158" s="741"/>
    </row>
    <row r="159" spans="2:9" s="723" customFormat="1" ht="24" x14ac:dyDescent="0.2">
      <c r="B159" s="2135" t="s">
        <v>574</v>
      </c>
      <c r="C159" s="2136" t="s">
        <v>573</v>
      </c>
      <c r="D159" s="2138" t="s">
        <v>123</v>
      </c>
      <c r="E159" s="2139">
        <v>4</v>
      </c>
      <c r="F159" s="2045">
        <v>0</v>
      </c>
      <c r="G159" s="2046">
        <f t="shared" ref="G159" si="7">F159*E159</f>
        <v>0</v>
      </c>
      <c r="H159" s="744"/>
      <c r="I159" s="741"/>
    </row>
    <row r="160" spans="2:9" s="723" customFormat="1" x14ac:dyDescent="0.2">
      <c r="B160" s="2135"/>
      <c r="C160" s="2136"/>
      <c r="D160" s="2138"/>
      <c r="E160" s="2139"/>
      <c r="F160" s="2140"/>
      <c r="G160" s="2141"/>
      <c r="H160" s="744"/>
      <c r="I160" s="741"/>
    </row>
    <row r="161" spans="2:10" s="723" customFormat="1" ht="24" x14ac:dyDescent="0.2">
      <c r="B161" s="2135" t="s">
        <v>576</v>
      </c>
      <c r="C161" s="2136" t="s">
        <v>575</v>
      </c>
      <c r="D161" s="2138" t="s">
        <v>123</v>
      </c>
      <c r="E161" s="2139">
        <v>2</v>
      </c>
      <c r="F161" s="2045">
        <v>0</v>
      </c>
      <c r="G161" s="2046">
        <f t="shared" ref="G161" si="8">F161*E161</f>
        <v>0</v>
      </c>
      <c r="H161" s="744"/>
      <c r="I161" s="741"/>
    </row>
    <row r="162" spans="2:10" s="723" customFormat="1" x14ac:dyDescent="0.2">
      <c r="B162" s="2135"/>
      <c r="C162" s="2136"/>
      <c r="D162" s="2138"/>
      <c r="E162" s="2139"/>
      <c r="F162" s="2140"/>
      <c r="G162" s="2141"/>
      <c r="H162" s="744"/>
      <c r="I162" s="741"/>
    </row>
    <row r="163" spans="2:10" s="723" customFormat="1" ht="24" x14ac:dyDescent="0.2">
      <c r="B163" s="2135" t="s">
        <v>578</v>
      </c>
      <c r="C163" s="2136" t="s">
        <v>577</v>
      </c>
      <c r="D163" s="2138" t="s">
        <v>123</v>
      </c>
      <c r="E163" s="2139">
        <v>1</v>
      </c>
      <c r="F163" s="2045">
        <v>0</v>
      </c>
      <c r="G163" s="2046">
        <f t="shared" ref="G163" si="9">F163*E163</f>
        <v>0</v>
      </c>
      <c r="H163" s="744"/>
      <c r="I163" s="741"/>
      <c r="J163" s="741"/>
    </row>
    <row r="164" spans="2:10" s="723" customFormat="1" x14ac:dyDescent="0.2">
      <c r="B164" s="2135"/>
      <c r="C164" s="2136"/>
      <c r="D164" s="2138"/>
      <c r="E164" s="2139"/>
      <c r="F164" s="2140"/>
      <c r="G164" s="2141"/>
      <c r="H164" s="744"/>
      <c r="I164" s="741"/>
      <c r="J164" s="741"/>
    </row>
    <row r="165" spans="2:10" s="723" customFormat="1" ht="24" x14ac:dyDescent="0.2">
      <c r="B165" s="2135" t="s">
        <v>580</v>
      </c>
      <c r="C165" s="2136" t="s">
        <v>579</v>
      </c>
      <c r="D165" s="2138" t="s">
        <v>123</v>
      </c>
      <c r="E165" s="2139">
        <v>1</v>
      </c>
      <c r="F165" s="2045">
        <v>0</v>
      </c>
      <c r="G165" s="2046">
        <f t="shared" ref="G165" si="10">F165*E165</f>
        <v>0</v>
      </c>
      <c r="H165" s="744"/>
      <c r="I165" s="741"/>
      <c r="J165" s="741"/>
    </row>
    <row r="166" spans="2:10" s="723" customFormat="1" x14ac:dyDescent="0.2">
      <c r="B166" s="2135"/>
      <c r="C166" s="2136"/>
      <c r="D166" s="2138"/>
      <c r="E166" s="2139"/>
      <c r="F166" s="2140"/>
      <c r="G166" s="2141"/>
      <c r="H166" s="744"/>
      <c r="I166" s="741"/>
      <c r="J166" s="741"/>
    </row>
    <row r="167" spans="2:10" s="723" customFormat="1" ht="24" x14ac:dyDescent="0.2">
      <c r="B167" s="2135" t="s">
        <v>582</v>
      </c>
      <c r="C167" s="2136" t="s">
        <v>581</v>
      </c>
      <c r="D167" s="2138" t="s">
        <v>123</v>
      </c>
      <c r="E167" s="2139">
        <v>2</v>
      </c>
      <c r="F167" s="2045">
        <v>0</v>
      </c>
      <c r="G167" s="2046">
        <f t="shared" ref="G167" si="11">F167*E167</f>
        <v>0</v>
      </c>
      <c r="H167" s="744"/>
      <c r="I167" s="741"/>
      <c r="J167" s="741"/>
    </row>
    <row r="168" spans="2:10" s="723" customFormat="1" x14ac:dyDescent="0.2">
      <c r="B168" s="2135"/>
      <c r="C168" s="2136"/>
      <c r="D168" s="2138"/>
      <c r="E168" s="2139"/>
      <c r="F168" s="2140"/>
      <c r="G168" s="2141"/>
      <c r="H168" s="744"/>
      <c r="I168" s="741"/>
      <c r="J168" s="741"/>
    </row>
    <row r="169" spans="2:10" s="723" customFormat="1" ht="24" x14ac:dyDescent="0.2">
      <c r="B169" s="2135" t="s">
        <v>584</v>
      </c>
      <c r="C169" s="2136" t="s">
        <v>583</v>
      </c>
      <c r="D169" s="2138" t="s">
        <v>123</v>
      </c>
      <c r="E169" s="2139">
        <v>1</v>
      </c>
      <c r="F169" s="2045">
        <v>0</v>
      </c>
      <c r="G169" s="2046">
        <f t="shared" ref="G169" si="12">F169*E169</f>
        <v>0</v>
      </c>
      <c r="H169" s="744"/>
      <c r="I169" s="741"/>
      <c r="J169" s="741"/>
    </row>
    <row r="170" spans="2:10" s="723" customFormat="1" x14ac:dyDescent="0.2">
      <c r="B170" s="2135"/>
      <c r="C170" s="2136"/>
      <c r="D170" s="2138"/>
      <c r="E170" s="2139"/>
      <c r="F170" s="2140"/>
      <c r="G170" s="2141"/>
      <c r="H170" s="744"/>
      <c r="I170" s="741"/>
      <c r="J170" s="741"/>
    </row>
    <row r="171" spans="2:10" s="723" customFormat="1" ht="24" x14ac:dyDescent="0.2">
      <c r="B171" s="2135" t="s">
        <v>586</v>
      </c>
      <c r="C171" s="2136" t="s">
        <v>585</v>
      </c>
      <c r="D171" s="2138" t="s">
        <v>123</v>
      </c>
      <c r="E171" s="2139">
        <v>1</v>
      </c>
      <c r="F171" s="2045">
        <v>0</v>
      </c>
      <c r="G171" s="2046">
        <f t="shared" ref="G171" si="13">F171*E171</f>
        <v>0</v>
      </c>
      <c r="H171" s="744"/>
      <c r="I171" s="741"/>
      <c r="J171" s="741"/>
    </row>
    <row r="172" spans="2:10" s="723" customFormat="1" x14ac:dyDescent="0.2">
      <c r="B172" s="2135"/>
      <c r="C172" s="2136"/>
      <c r="D172" s="2138"/>
      <c r="E172" s="2139"/>
      <c r="F172" s="2140"/>
      <c r="G172" s="2141"/>
      <c r="H172" s="744"/>
      <c r="I172" s="741"/>
      <c r="J172" s="741"/>
    </row>
    <row r="173" spans="2:10" s="723" customFormat="1" ht="24" x14ac:dyDescent="0.2">
      <c r="B173" s="2135" t="s">
        <v>588</v>
      </c>
      <c r="C173" s="2136" t="s">
        <v>587</v>
      </c>
      <c r="D173" s="2138" t="s">
        <v>123</v>
      </c>
      <c r="E173" s="2139">
        <v>6</v>
      </c>
      <c r="F173" s="2045">
        <v>0</v>
      </c>
      <c r="G173" s="2046">
        <f t="shared" ref="G173" si="14">F173*E173</f>
        <v>0</v>
      </c>
      <c r="H173" s="744"/>
      <c r="I173" s="741"/>
      <c r="J173" s="741"/>
    </row>
    <row r="174" spans="2:10" s="723" customFormat="1" x14ac:dyDescent="0.2">
      <c r="B174" s="2135"/>
      <c r="C174" s="2136"/>
      <c r="D174" s="2138"/>
      <c r="E174" s="2139"/>
      <c r="F174" s="2140"/>
      <c r="G174" s="2141"/>
      <c r="H174" s="744"/>
      <c r="I174" s="741"/>
      <c r="J174" s="741"/>
    </row>
    <row r="175" spans="2:10" s="723" customFormat="1" ht="24" x14ac:dyDescent="0.2">
      <c r="B175" s="2135" t="s">
        <v>590</v>
      </c>
      <c r="C175" s="2136" t="s">
        <v>589</v>
      </c>
      <c r="D175" s="2138" t="s">
        <v>123</v>
      </c>
      <c r="E175" s="2139">
        <v>4</v>
      </c>
      <c r="F175" s="2045">
        <v>0</v>
      </c>
      <c r="G175" s="2046">
        <f t="shared" ref="G175" si="15">F175*E175</f>
        <v>0</v>
      </c>
      <c r="H175" s="744"/>
      <c r="I175" s="741"/>
      <c r="J175" s="741"/>
    </row>
    <row r="176" spans="2:10" s="723" customFormat="1" x14ac:dyDescent="0.2">
      <c r="B176" s="2135"/>
      <c r="C176" s="2136"/>
      <c r="D176" s="2138"/>
      <c r="E176" s="2139"/>
      <c r="F176" s="2140"/>
      <c r="G176" s="2141"/>
      <c r="H176" s="744"/>
      <c r="I176" s="741"/>
      <c r="J176" s="992"/>
    </row>
    <row r="177" spans="2:15" s="723" customFormat="1" ht="48" x14ac:dyDescent="0.2">
      <c r="B177" s="2135" t="s">
        <v>592</v>
      </c>
      <c r="C177" s="2136" t="s">
        <v>591</v>
      </c>
      <c r="D177" s="2138" t="s">
        <v>123</v>
      </c>
      <c r="E177" s="2139">
        <v>8</v>
      </c>
      <c r="F177" s="2045">
        <v>0</v>
      </c>
      <c r="G177" s="2046">
        <f t="shared" ref="G177" si="16">F177*E177</f>
        <v>0</v>
      </c>
      <c r="H177" s="744"/>
      <c r="I177" s="741"/>
      <c r="J177" s="992"/>
    </row>
    <row r="178" spans="2:15" s="723" customFormat="1" x14ac:dyDescent="0.2">
      <c r="B178" s="2135"/>
      <c r="C178" s="2136"/>
      <c r="D178" s="2138"/>
      <c r="E178" s="2139"/>
      <c r="F178" s="2140"/>
      <c r="G178" s="2141"/>
      <c r="H178" s="744"/>
      <c r="I178" s="741"/>
      <c r="J178" s="741"/>
    </row>
    <row r="179" spans="2:15" s="723" customFormat="1" ht="36" x14ac:dyDescent="0.2">
      <c r="B179" s="2135" t="s">
        <v>594</v>
      </c>
      <c r="C179" s="2136" t="s">
        <v>1341</v>
      </c>
      <c r="D179" s="2138" t="s">
        <v>123</v>
      </c>
      <c r="E179" s="2139">
        <v>3</v>
      </c>
      <c r="F179" s="2045">
        <v>0</v>
      </c>
      <c r="G179" s="2046">
        <f t="shared" ref="G179" si="17">F179*E179</f>
        <v>0</v>
      </c>
      <c r="H179" s="744"/>
      <c r="I179" s="741"/>
      <c r="J179" s="741"/>
    </row>
    <row r="180" spans="2:15" s="723" customFormat="1" x14ac:dyDescent="0.2">
      <c r="B180" s="2135"/>
      <c r="C180" s="2136"/>
      <c r="D180" s="2138"/>
      <c r="E180" s="2139"/>
      <c r="F180" s="2140"/>
      <c r="G180" s="2141"/>
      <c r="H180" s="744"/>
      <c r="I180" s="741"/>
      <c r="J180" s="741"/>
    </row>
    <row r="181" spans="2:15" s="723" customFormat="1" ht="36" x14ac:dyDescent="0.2">
      <c r="B181" s="2135" t="s">
        <v>596</v>
      </c>
      <c r="C181" s="2136" t="s">
        <v>1342</v>
      </c>
      <c r="D181" s="2138" t="s">
        <v>123</v>
      </c>
      <c r="E181" s="2139">
        <v>2</v>
      </c>
      <c r="F181" s="2045">
        <v>0</v>
      </c>
      <c r="G181" s="2046">
        <f t="shared" ref="G181" si="18">F181*E181</f>
        <v>0</v>
      </c>
      <c r="H181" s="744"/>
      <c r="I181" s="741"/>
      <c r="J181" s="741"/>
    </row>
    <row r="182" spans="2:15" s="723" customFormat="1" x14ac:dyDescent="0.2">
      <c r="B182" s="2135"/>
      <c r="C182" s="2136"/>
      <c r="D182" s="2138"/>
      <c r="E182" s="2139"/>
      <c r="F182" s="2140"/>
      <c r="G182" s="2141"/>
      <c r="H182" s="744"/>
      <c r="I182" s="741"/>
      <c r="J182" s="741"/>
    </row>
    <row r="183" spans="2:15" s="723" customFormat="1" ht="24" x14ac:dyDescent="0.2">
      <c r="B183" s="2135" t="s">
        <v>598</v>
      </c>
      <c r="C183" s="2136" t="s">
        <v>601</v>
      </c>
      <c r="D183" s="2138" t="s">
        <v>123</v>
      </c>
      <c r="E183" s="2139">
        <v>2</v>
      </c>
      <c r="F183" s="2045">
        <v>0</v>
      </c>
      <c r="G183" s="2046">
        <f t="shared" ref="G183" si="19">F183*E183</f>
        <v>0</v>
      </c>
      <c r="H183" s="744"/>
      <c r="I183" s="741"/>
      <c r="J183" s="741"/>
      <c r="K183" s="741"/>
      <c r="L183" s="741"/>
    </row>
    <row r="184" spans="2:15" s="723" customFormat="1" x14ac:dyDescent="0.2">
      <c r="B184" s="2135"/>
      <c r="C184" s="2136"/>
      <c r="D184" s="2138"/>
      <c r="E184" s="2139"/>
      <c r="F184" s="2140"/>
      <c r="G184" s="2046"/>
      <c r="H184" s="744"/>
      <c r="I184" s="741"/>
      <c r="J184" s="741"/>
      <c r="K184" s="741"/>
      <c r="L184" s="741"/>
    </row>
    <row r="185" spans="2:15" s="723" customFormat="1" ht="48" x14ac:dyDescent="0.2">
      <c r="B185" s="2135" t="s">
        <v>600</v>
      </c>
      <c r="C185" s="2147" t="s">
        <v>603</v>
      </c>
      <c r="D185" s="2138" t="s">
        <v>553</v>
      </c>
      <c r="E185" s="2139">
        <v>1</v>
      </c>
      <c r="F185" s="2045">
        <v>0</v>
      </c>
      <c r="G185" s="2046">
        <f t="shared" ref="G185" si="20">F185*E185</f>
        <v>0</v>
      </c>
      <c r="H185" s="744"/>
      <c r="I185" s="741"/>
      <c r="J185" s="741"/>
      <c r="K185" s="741"/>
      <c r="L185" s="741"/>
    </row>
    <row r="186" spans="2:15" s="723" customFormat="1" x14ac:dyDescent="0.2">
      <c r="B186" s="2135"/>
      <c r="C186" s="2147"/>
      <c r="D186" s="2138"/>
      <c r="E186" s="2139"/>
      <c r="F186" s="2140"/>
      <c r="G186" s="2046"/>
      <c r="H186" s="744"/>
      <c r="I186" s="741"/>
      <c r="J186" s="741"/>
      <c r="K186" s="741"/>
      <c r="L186" s="741"/>
      <c r="M186" s="741"/>
    </row>
    <row r="187" spans="2:15" s="723" customFormat="1" ht="36" x14ac:dyDescent="0.2">
      <c r="B187" s="2135" t="s">
        <v>602</v>
      </c>
      <c r="C187" s="2147" t="s">
        <v>605</v>
      </c>
      <c r="D187" s="2138" t="s">
        <v>553</v>
      </c>
      <c r="E187" s="2139">
        <v>1</v>
      </c>
      <c r="F187" s="2045">
        <v>0</v>
      </c>
      <c r="G187" s="2046">
        <f t="shared" ref="G187" si="21">F187*E187</f>
        <v>0</v>
      </c>
      <c r="H187" s="744"/>
      <c r="I187" s="741"/>
      <c r="J187" s="741"/>
      <c r="K187" s="741"/>
      <c r="L187" s="741"/>
      <c r="M187" s="741"/>
    </row>
    <row r="188" spans="2:15" s="723" customFormat="1" x14ac:dyDescent="0.2">
      <c r="B188" s="2135"/>
      <c r="C188" s="2147"/>
      <c r="D188" s="2138"/>
      <c r="E188" s="2139"/>
      <c r="F188" s="2140"/>
      <c r="G188" s="2046"/>
      <c r="H188" s="744"/>
      <c r="I188" s="741"/>
      <c r="J188" s="741"/>
      <c r="K188" s="741"/>
      <c r="L188" s="741"/>
      <c r="M188" s="741"/>
      <c r="N188" s="741"/>
      <c r="O188" s="741"/>
    </row>
    <row r="189" spans="2:15" ht="96" x14ac:dyDescent="0.2">
      <c r="B189" s="2135" t="s">
        <v>604</v>
      </c>
      <c r="C189" s="2137" t="s">
        <v>607</v>
      </c>
      <c r="D189" s="2138" t="s">
        <v>123</v>
      </c>
      <c r="E189" s="2139">
        <v>3</v>
      </c>
      <c r="F189" s="2045">
        <v>0</v>
      </c>
      <c r="G189" s="2046">
        <f t="shared" ref="G189" si="22">F189*E189</f>
        <v>0</v>
      </c>
    </row>
    <row r="190" spans="2:15" x14ac:dyDescent="0.2">
      <c r="B190" s="2135"/>
      <c r="C190" s="2136"/>
      <c r="D190" s="2138"/>
      <c r="E190" s="2139"/>
      <c r="F190" s="2140"/>
      <c r="G190" s="2046"/>
    </row>
    <row r="191" spans="2:15" ht="96" x14ac:dyDescent="0.2">
      <c r="B191" s="2135" t="s">
        <v>606</v>
      </c>
      <c r="C191" s="2137" t="s">
        <v>609</v>
      </c>
      <c r="D191" s="2138" t="s">
        <v>123</v>
      </c>
      <c r="E191" s="2139">
        <v>1</v>
      </c>
      <c r="F191" s="2045">
        <v>0</v>
      </c>
      <c r="G191" s="2046">
        <f t="shared" ref="G191" si="23">F191*E191</f>
        <v>0</v>
      </c>
    </row>
    <row r="192" spans="2:15" x14ac:dyDescent="0.2">
      <c r="B192" s="2135"/>
      <c r="C192" s="2136"/>
      <c r="D192" s="2138"/>
      <c r="E192" s="2139"/>
      <c r="F192" s="2140"/>
      <c r="G192" s="2046"/>
    </row>
    <row r="193" spans="2:15" ht="36" x14ac:dyDescent="0.2">
      <c r="B193" s="2135" t="s">
        <v>608</v>
      </c>
      <c r="C193" s="2136" t="s">
        <v>1343</v>
      </c>
      <c r="D193" s="2138" t="s">
        <v>123</v>
      </c>
      <c r="E193" s="2139">
        <v>3</v>
      </c>
      <c r="F193" s="2045">
        <v>0</v>
      </c>
      <c r="G193" s="2046">
        <f t="shared" ref="G193" si="24">F193*E193</f>
        <v>0</v>
      </c>
    </row>
    <row r="194" spans="2:15" x14ac:dyDescent="0.2">
      <c r="B194" s="2135"/>
      <c r="C194" s="2136"/>
      <c r="D194" s="2138"/>
      <c r="E194" s="2139"/>
      <c r="F194" s="2140"/>
      <c r="G194" s="2141"/>
      <c r="K194" s="992"/>
      <c r="L194" s="992"/>
    </row>
    <row r="195" spans="2:15" ht="36" x14ac:dyDescent="0.2">
      <c r="B195" s="2135" t="s">
        <v>610</v>
      </c>
      <c r="C195" s="2136" t="s">
        <v>615</v>
      </c>
      <c r="D195" s="2138" t="s">
        <v>123</v>
      </c>
      <c r="E195" s="2139">
        <v>100</v>
      </c>
      <c r="F195" s="2045">
        <v>0</v>
      </c>
      <c r="G195" s="2046">
        <f t="shared" ref="G195" si="25">F195*E195</f>
        <v>0</v>
      </c>
      <c r="K195" s="992"/>
      <c r="L195" s="992"/>
    </row>
    <row r="196" spans="2:15" x14ac:dyDescent="0.2">
      <c r="B196" s="2135"/>
      <c r="C196" s="2136"/>
      <c r="D196" s="2138"/>
      <c r="E196" s="2139"/>
      <c r="F196" s="2140"/>
      <c r="G196" s="2141"/>
    </row>
    <row r="197" spans="2:15" ht="48" x14ac:dyDescent="0.2">
      <c r="B197" s="2135" t="s">
        <v>612</v>
      </c>
      <c r="C197" s="2136" t="s">
        <v>617</v>
      </c>
      <c r="D197" s="2138" t="s">
        <v>560</v>
      </c>
      <c r="E197" s="2139">
        <v>1</v>
      </c>
      <c r="F197" s="2045">
        <v>0</v>
      </c>
      <c r="G197" s="2046">
        <f t="shared" ref="G197" si="26">F197*E197</f>
        <v>0</v>
      </c>
    </row>
    <row r="198" spans="2:15" x14ac:dyDescent="0.2">
      <c r="B198" s="2135"/>
      <c r="C198" s="2148"/>
      <c r="D198" s="2660"/>
      <c r="E198" s="2629"/>
      <c r="F198" s="2630"/>
      <c r="G198" s="2141"/>
      <c r="M198" s="992"/>
    </row>
    <row r="199" spans="2:15" ht="108" x14ac:dyDescent="0.2">
      <c r="B199" s="2135" t="s">
        <v>614</v>
      </c>
      <c r="C199" s="2149" t="s">
        <v>619</v>
      </c>
      <c r="D199" s="2225" t="s">
        <v>123</v>
      </c>
      <c r="E199" s="2226">
        <v>1</v>
      </c>
      <c r="F199" s="2045">
        <v>0</v>
      </c>
      <c r="G199" s="2046">
        <f t="shared" ref="G199" si="27">F199*E199</f>
        <v>0</v>
      </c>
      <c r="M199" s="992"/>
    </row>
    <row r="200" spans="2:15" x14ac:dyDescent="0.2">
      <c r="B200" s="2135"/>
      <c r="C200" s="2149"/>
      <c r="D200" s="2225"/>
      <c r="E200" s="2226"/>
      <c r="F200" s="2625"/>
      <c r="G200" s="2141"/>
      <c r="M200" s="992"/>
    </row>
    <row r="201" spans="2:15" ht="84" x14ac:dyDescent="0.2">
      <c r="B201" s="2135" t="s">
        <v>616</v>
      </c>
      <c r="C201" s="2149" t="s">
        <v>620</v>
      </c>
      <c r="D201" s="2225" t="s">
        <v>123</v>
      </c>
      <c r="E201" s="2226">
        <v>1</v>
      </c>
      <c r="F201" s="2045">
        <v>0</v>
      </c>
      <c r="G201" s="2631">
        <f>F201*E201</f>
        <v>0</v>
      </c>
      <c r="M201" s="992"/>
    </row>
    <row r="202" spans="2:15" x14ac:dyDescent="0.2">
      <c r="B202" s="2135"/>
      <c r="C202" s="2149"/>
      <c r="D202" s="2225"/>
      <c r="E202" s="2226"/>
      <c r="F202" s="2625"/>
      <c r="G202" s="2141"/>
      <c r="M202" s="992"/>
    </row>
    <row r="203" spans="2:15" x14ac:dyDescent="0.2">
      <c r="B203" s="2135" t="s">
        <v>618</v>
      </c>
      <c r="C203" s="2149" t="s">
        <v>621</v>
      </c>
      <c r="D203" s="2225" t="s">
        <v>123</v>
      </c>
      <c r="E203" s="2226">
        <v>2</v>
      </c>
      <c r="F203" s="2045">
        <v>0</v>
      </c>
      <c r="G203" s="2046">
        <f t="shared" ref="G203" si="28">F203*E203</f>
        <v>0</v>
      </c>
      <c r="M203" s="992"/>
    </row>
    <row r="204" spans="2:15" x14ac:dyDescent="0.2">
      <c r="B204" s="2150"/>
      <c r="C204" s="2151"/>
      <c r="D204" s="2661"/>
      <c r="E204" s="2632"/>
      <c r="F204" s="2633"/>
      <c r="G204" s="2634"/>
      <c r="M204" s="992"/>
    </row>
    <row r="205" spans="2:15" s="992" customFormat="1" x14ac:dyDescent="0.2">
      <c r="B205" s="2152"/>
      <c r="C205" s="2153"/>
      <c r="D205" s="2271"/>
      <c r="E205" s="2272"/>
      <c r="F205" s="2273"/>
      <c r="G205" s="2384"/>
      <c r="H205" s="744"/>
      <c r="I205" s="741"/>
      <c r="J205" s="741"/>
      <c r="K205" s="741"/>
      <c r="L205" s="741"/>
      <c r="M205" s="741"/>
    </row>
    <row r="206" spans="2:15" s="992" customFormat="1" x14ac:dyDescent="0.2">
      <c r="B206" s="2158" t="s">
        <v>622</v>
      </c>
      <c r="C206" s="2159" t="s">
        <v>623</v>
      </c>
      <c r="D206" s="2175"/>
      <c r="E206" s="2176"/>
      <c r="F206" s="2177"/>
      <c r="G206" s="2177"/>
      <c r="H206" s="744"/>
      <c r="I206" s="741"/>
      <c r="J206" s="741"/>
      <c r="K206" s="741"/>
      <c r="L206" s="741"/>
      <c r="M206" s="741"/>
      <c r="N206" s="741"/>
      <c r="O206" s="741"/>
    </row>
    <row r="207" spans="2:15" x14ac:dyDescent="0.2">
      <c r="B207" s="2160"/>
      <c r="C207" s="2161"/>
      <c r="D207" s="2175"/>
      <c r="E207" s="2176"/>
      <c r="F207" s="2177"/>
      <c r="G207" s="2177"/>
    </row>
    <row r="208" spans="2:15" s="121" customFormat="1" ht="387.75" customHeight="1" x14ac:dyDescent="0.2">
      <c r="B208" s="2743"/>
      <c r="C208" s="2744"/>
      <c r="D208" s="2745"/>
      <c r="E208" s="2746"/>
      <c r="F208" s="2747"/>
      <c r="G208" s="2736"/>
      <c r="H208" s="122"/>
    </row>
    <row r="209" spans="2:8" s="121" customFormat="1" ht="24.75" customHeight="1" x14ac:dyDescent="0.2">
      <c r="B209" s="2743"/>
      <c r="C209" s="2744" t="s">
        <v>2465</v>
      </c>
      <c r="D209" s="2748" t="s">
        <v>98</v>
      </c>
      <c r="E209" s="2746">
        <v>1</v>
      </c>
      <c r="F209" s="2747">
        <v>0</v>
      </c>
      <c r="G209" s="2736">
        <f t="shared" ref="G209" si="29">E209*F209</f>
        <v>0</v>
      </c>
      <c r="H209" s="122"/>
    </row>
    <row r="210" spans="2:8" ht="12.75" hidden="1" customHeight="1" x14ac:dyDescent="0.2">
      <c r="B210" s="2160"/>
      <c r="C210" s="2162"/>
      <c r="D210" s="2175"/>
      <c r="E210" s="2176"/>
      <c r="F210" s="2177"/>
      <c r="G210" s="2177"/>
    </row>
    <row r="211" spans="2:8" ht="12.75" hidden="1" customHeight="1" x14ac:dyDescent="0.2">
      <c r="B211" s="2160"/>
      <c r="C211" s="2162"/>
      <c r="D211" s="2175"/>
      <c r="E211" s="2176"/>
      <c r="F211" s="2177"/>
      <c r="G211" s="2177"/>
    </row>
    <row r="212" spans="2:8" ht="12.75" hidden="1" customHeight="1" x14ac:dyDescent="0.2">
      <c r="B212" s="2160"/>
      <c r="C212" s="2162"/>
      <c r="D212" s="2175"/>
      <c r="E212" s="2176"/>
      <c r="F212" s="2177"/>
      <c r="G212" s="2177"/>
    </row>
    <row r="213" spans="2:8" ht="12.75" hidden="1" customHeight="1" x14ac:dyDescent="0.2">
      <c r="B213" s="2160"/>
      <c r="C213" s="2162"/>
      <c r="D213" s="2175"/>
      <c r="E213" s="2176"/>
      <c r="F213" s="2177"/>
      <c r="G213" s="2177"/>
    </row>
    <row r="214" spans="2:8" ht="12.75" hidden="1" customHeight="1" x14ac:dyDescent="0.2">
      <c r="B214" s="2160"/>
      <c r="C214" s="2162"/>
      <c r="D214" s="2175"/>
      <c r="E214" s="2176"/>
      <c r="F214" s="2177"/>
      <c r="G214" s="2177"/>
    </row>
    <row r="215" spans="2:8" ht="66.75" customHeight="1" x14ac:dyDescent="0.2">
      <c r="B215" s="2160" t="s">
        <v>15</v>
      </c>
      <c r="C215" s="2166" t="s">
        <v>1344</v>
      </c>
      <c r="D215" s="2163" t="s">
        <v>123</v>
      </c>
      <c r="E215" s="2164">
        <v>2</v>
      </c>
      <c r="F215" s="2034">
        <v>0</v>
      </c>
      <c r="G215" s="2035">
        <f t="shared" ref="G215" si="30">F215*E215</f>
        <v>0</v>
      </c>
    </row>
    <row r="216" spans="2:8" x14ac:dyDescent="0.2">
      <c r="B216" s="2160"/>
      <c r="C216" s="2166"/>
      <c r="D216" s="2163"/>
      <c r="E216" s="2164"/>
      <c r="F216" s="2172"/>
      <c r="G216" s="2173"/>
    </row>
    <row r="217" spans="2:8" ht="48" x14ac:dyDescent="0.2">
      <c r="B217" s="2160"/>
      <c r="C217" s="2168" t="s">
        <v>1345</v>
      </c>
      <c r="D217" s="2163" t="s">
        <v>123</v>
      </c>
      <c r="E217" s="2164">
        <v>2</v>
      </c>
      <c r="F217" s="2034">
        <v>0</v>
      </c>
      <c r="G217" s="2035">
        <f t="shared" ref="G217" si="31">F217*E217</f>
        <v>0</v>
      </c>
    </row>
    <row r="218" spans="2:8" x14ac:dyDescent="0.2">
      <c r="B218" s="2160"/>
      <c r="C218" s="2165"/>
      <c r="D218" s="2175"/>
      <c r="E218" s="2176"/>
      <c r="F218" s="2177"/>
      <c r="G218" s="2177"/>
    </row>
    <row r="219" spans="2:8" ht="60" x14ac:dyDescent="0.2">
      <c r="B219" s="2160" t="s">
        <v>20</v>
      </c>
      <c r="C219" s="2166" t="s">
        <v>1346</v>
      </c>
      <c r="D219" s="2163" t="s">
        <v>123</v>
      </c>
      <c r="E219" s="2164">
        <v>1</v>
      </c>
      <c r="F219" s="2034">
        <v>0</v>
      </c>
      <c r="G219" s="2035">
        <f t="shared" ref="G219" si="32">F219*E219</f>
        <v>0</v>
      </c>
    </row>
    <row r="220" spans="2:8" x14ac:dyDescent="0.2">
      <c r="B220" s="2160"/>
      <c r="C220" s="2169"/>
      <c r="D220" s="2175"/>
      <c r="E220" s="2176"/>
      <c r="F220" s="2177"/>
      <c r="G220" s="2177"/>
    </row>
    <row r="221" spans="2:8" ht="288" x14ac:dyDescent="0.2">
      <c r="B221" s="2160" t="s">
        <v>24</v>
      </c>
      <c r="C221" s="2170" t="s">
        <v>1347</v>
      </c>
      <c r="D221" s="2163" t="s">
        <v>553</v>
      </c>
      <c r="E221" s="2164">
        <v>1</v>
      </c>
      <c r="F221" s="2034">
        <v>0</v>
      </c>
      <c r="G221" s="2035">
        <f t="shared" ref="G221" si="33">F221*E221</f>
        <v>0</v>
      </c>
    </row>
    <row r="222" spans="2:8" x14ac:dyDescent="0.2">
      <c r="B222" s="2160"/>
      <c r="C222" s="2171"/>
      <c r="D222" s="2163"/>
      <c r="E222" s="2164"/>
      <c r="F222" s="2172"/>
      <c r="G222" s="2173"/>
    </row>
    <row r="223" spans="2:8" x14ac:dyDescent="0.2">
      <c r="B223" s="2160"/>
      <c r="C223" s="2174" t="s">
        <v>628</v>
      </c>
      <c r="D223" s="2175"/>
      <c r="E223" s="2176"/>
      <c r="F223" s="2177"/>
      <c r="G223" s="2177"/>
    </row>
    <row r="224" spans="2:8" x14ac:dyDescent="0.2">
      <c r="B224" s="2160"/>
      <c r="C224" s="2178"/>
      <c r="D224" s="2175"/>
      <c r="E224" s="2176"/>
      <c r="F224" s="2177"/>
      <c r="G224" s="2177"/>
    </row>
    <row r="225" spans="2:7" ht="192" x14ac:dyDescent="0.2">
      <c r="B225" s="2160" t="s">
        <v>29</v>
      </c>
      <c r="C225" s="2179" t="s">
        <v>1348</v>
      </c>
      <c r="D225" s="2175" t="s">
        <v>123</v>
      </c>
      <c r="E225" s="2176">
        <v>1</v>
      </c>
      <c r="F225" s="2034">
        <v>0</v>
      </c>
      <c r="G225" s="2035">
        <f t="shared" ref="G225" si="34">F225*E225</f>
        <v>0</v>
      </c>
    </row>
    <row r="226" spans="2:7" x14ac:dyDescent="0.2">
      <c r="B226" s="2160"/>
      <c r="C226" s="2178"/>
      <c r="D226" s="2163"/>
      <c r="E226" s="2164"/>
      <c r="F226" s="2172"/>
      <c r="G226" s="2173"/>
    </row>
    <row r="227" spans="2:7" ht="72" x14ac:dyDescent="0.2">
      <c r="B227" s="2160" t="s">
        <v>33</v>
      </c>
      <c r="C227" s="2179" t="s">
        <v>1349</v>
      </c>
      <c r="D227" s="2163" t="s">
        <v>123</v>
      </c>
      <c r="E227" s="2164">
        <v>1</v>
      </c>
      <c r="F227" s="2034">
        <v>0</v>
      </c>
      <c r="G227" s="2035">
        <f t="shared" ref="G227" si="35">F227*E227</f>
        <v>0</v>
      </c>
    </row>
    <row r="228" spans="2:7" x14ac:dyDescent="0.2">
      <c r="B228" s="2160"/>
      <c r="C228" s="2179"/>
      <c r="D228" s="2163"/>
      <c r="E228" s="2164"/>
      <c r="F228" s="2172"/>
      <c r="G228" s="2173"/>
    </row>
    <row r="229" spans="2:7" ht="300" x14ac:dyDescent="0.2">
      <c r="B229" s="2160"/>
      <c r="C229" s="2165" t="s">
        <v>630</v>
      </c>
      <c r="D229" s="2175" t="s">
        <v>553</v>
      </c>
      <c r="E229" s="2176">
        <v>2</v>
      </c>
      <c r="F229" s="2034">
        <v>0</v>
      </c>
      <c r="G229" s="2035">
        <f t="shared" ref="G229" si="36">F229*E229</f>
        <v>0</v>
      </c>
    </row>
    <row r="230" spans="2:7" x14ac:dyDescent="0.2">
      <c r="B230" s="2160"/>
      <c r="C230" s="2165"/>
      <c r="D230" s="2175"/>
      <c r="E230" s="2176"/>
      <c r="F230" s="2177"/>
      <c r="G230" s="2177"/>
    </row>
    <row r="231" spans="2:7" x14ac:dyDescent="0.2">
      <c r="B231" s="2160" t="s">
        <v>38</v>
      </c>
      <c r="C231" s="2180" t="s">
        <v>632</v>
      </c>
      <c r="D231" s="2163" t="s">
        <v>553</v>
      </c>
      <c r="E231" s="2164">
        <v>1</v>
      </c>
      <c r="F231" s="2034">
        <v>0</v>
      </c>
      <c r="G231" s="2035">
        <f t="shared" ref="G231" si="37">F231*E231</f>
        <v>0</v>
      </c>
    </row>
    <row r="232" spans="2:7" x14ac:dyDescent="0.2">
      <c r="B232" s="2181"/>
      <c r="C232" s="2182"/>
      <c r="D232" s="2662"/>
      <c r="E232" s="2635"/>
      <c r="F232" s="2636"/>
      <c r="G232" s="2636"/>
    </row>
    <row r="233" spans="2:7" x14ac:dyDescent="0.2">
      <c r="B233" s="2183"/>
      <c r="C233" s="2153"/>
      <c r="D233" s="2663"/>
      <c r="E233" s="2637"/>
      <c r="F233" s="2638"/>
      <c r="G233" s="2639"/>
    </row>
    <row r="234" spans="2:7" x14ac:dyDescent="0.2">
      <c r="B234" s="2183"/>
      <c r="C234" s="2153"/>
      <c r="D234" s="2663"/>
      <c r="E234" s="2637"/>
      <c r="F234" s="2638"/>
      <c r="G234" s="2639"/>
    </row>
    <row r="235" spans="2:7" x14ac:dyDescent="0.2">
      <c r="B235" s="2184" t="s">
        <v>633</v>
      </c>
      <c r="C235" s="2185" t="s">
        <v>634</v>
      </c>
      <c r="D235" s="2664"/>
      <c r="E235" s="2640"/>
      <c r="F235" s="2641"/>
      <c r="G235" s="2641"/>
    </row>
    <row r="236" spans="2:7" x14ac:dyDescent="0.2">
      <c r="B236" s="2186"/>
      <c r="C236" s="2187"/>
      <c r="D236" s="2664"/>
      <c r="E236" s="2640"/>
      <c r="F236" s="2641"/>
      <c r="G236" s="2641"/>
    </row>
    <row r="237" spans="2:7" ht="60" x14ac:dyDescent="0.2">
      <c r="B237" s="2186" t="s">
        <v>8</v>
      </c>
      <c r="C237" s="2188" t="s">
        <v>1350</v>
      </c>
      <c r="D237" s="2189" t="s">
        <v>123</v>
      </c>
      <c r="E237" s="2190">
        <v>2</v>
      </c>
      <c r="F237" s="2191">
        <v>0</v>
      </c>
      <c r="G237" s="2192">
        <f t="shared" ref="G237" si="38">F237*E237</f>
        <v>0</v>
      </c>
    </row>
    <row r="238" spans="2:7" x14ac:dyDescent="0.2">
      <c r="B238" s="2186"/>
      <c r="C238" s="2193"/>
      <c r="D238" s="2664"/>
      <c r="E238" s="2640"/>
      <c r="F238" s="2641"/>
      <c r="G238" s="2641"/>
    </row>
    <row r="239" spans="2:7" ht="60" x14ac:dyDescent="0.2">
      <c r="B239" s="2186" t="s">
        <v>24</v>
      </c>
      <c r="C239" s="2194" t="s">
        <v>1351</v>
      </c>
      <c r="D239" s="2189" t="s">
        <v>123</v>
      </c>
      <c r="E239" s="2190">
        <v>2</v>
      </c>
      <c r="F239" s="2191">
        <v>0</v>
      </c>
      <c r="G239" s="2192">
        <f t="shared" ref="G239" si="39">F239*E239</f>
        <v>0</v>
      </c>
    </row>
    <row r="240" spans="2:7" x14ac:dyDescent="0.2">
      <c r="B240" s="2186"/>
      <c r="C240" s="2193"/>
      <c r="D240" s="2664"/>
      <c r="E240" s="2640"/>
      <c r="F240" s="2641"/>
      <c r="G240" s="2641"/>
    </row>
    <row r="241" spans="2:7" ht="24" x14ac:dyDescent="0.2">
      <c r="B241" s="2186" t="s">
        <v>29</v>
      </c>
      <c r="C241" s="2193" t="s">
        <v>637</v>
      </c>
      <c r="D241" s="2189" t="s">
        <v>123</v>
      </c>
      <c r="E241" s="2190">
        <v>1</v>
      </c>
      <c r="F241" s="2191">
        <v>0</v>
      </c>
      <c r="G241" s="2192">
        <f t="shared" ref="G241" si="40">F241*E241</f>
        <v>0</v>
      </c>
    </row>
    <row r="242" spans="2:7" x14ac:dyDescent="0.2">
      <c r="B242" s="2186"/>
      <c r="C242" s="2193"/>
      <c r="D242" s="2189"/>
      <c r="E242" s="2190"/>
      <c r="F242" s="2642"/>
      <c r="G242" s="2643"/>
    </row>
    <row r="243" spans="2:7" ht="24" x14ac:dyDescent="0.2">
      <c r="B243" s="2186" t="s">
        <v>33</v>
      </c>
      <c r="C243" s="2193" t="s">
        <v>638</v>
      </c>
      <c r="D243" s="2189" t="s">
        <v>123</v>
      </c>
      <c r="E243" s="2190">
        <v>1</v>
      </c>
      <c r="F243" s="2191">
        <v>0</v>
      </c>
      <c r="G243" s="2192">
        <f t="shared" ref="G243" si="41">F243*E243</f>
        <v>0</v>
      </c>
    </row>
    <row r="244" spans="2:7" x14ac:dyDescent="0.2">
      <c r="B244" s="2186"/>
      <c r="C244" s="2193"/>
      <c r="D244" s="2664"/>
      <c r="E244" s="2640"/>
      <c r="F244" s="2641"/>
      <c r="G244" s="2641"/>
    </row>
    <row r="245" spans="2:7" ht="24" x14ac:dyDescent="0.2">
      <c r="B245" s="2186" t="s">
        <v>38</v>
      </c>
      <c r="C245" s="2193" t="s">
        <v>639</v>
      </c>
      <c r="D245" s="2189" t="s">
        <v>123</v>
      </c>
      <c r="E245" s="2190">
        <v>1</v>
      </c>
      <c r="F245" s="2191">
        <v>0</v>
      </c>
      <c r="G245" s="2192">
        <f t="shared" ref="G245" si="42">F245*E245</f>
        <v>0</v>
      </c>
    </row>
    <row r="246" spans="2:7" x14ac:dyDescent="0.2">
      <c r="B246" s="2186"/>
      <c r="C246" s="2193"/>
      <c r="D246" s="2189"/>
      <c r="E246" s="2190"/>
      <c r="F246" s="2642"/>
      <c r="G246" s="2643"/>
    </row>
    <row r="247" spans="2:7" ht="36" x14ac:dyDescent="0.2">
      <c r="B247" s="2186" t="s">
        <v>43</v>
      </c>
      <c r="C247" s="2193" t="s">
        <v>640</v>
      </c>
      <c r="D247" s="2189" t="s">
        <v>123</v>
      </c>
      <c r="E247" s="2190">
        <v>1</v>
      </c>
      <c r="F247" s="2191">
        <v>0</v>
      </c>
      <c r="G247" s="2192">
        <f t="shared" ref="G247" si="43">F247*E247</f>
        <v>0</v>
      </c>
    </row>
    <row r="248" spans="2:7" x14ac:dyDescent="0.2">
      <c r="B248" s="2186"/>
      <c r="C248" s="2193"/>
      <c r="D248" s="2189"/>
      <c r="E248" s="2190"/>
      <c r="F248" s="2642"/>
      <c r="G248" s="2643"/>
    </row>
    <row r="249" spans="2:7" ht="288" x14ac:dyDescent="0.2">
      <c r="B249" s="2186" t="s">
        <v>562</v>
      </c>
      <c r="C249" s="2193" t="s">
        <v>923</v>
      </c>
      <c r="D249" s="2189" t="s">
        <v>123</v>
      </c>
      <c r="E249" s="2190">
        <v>1</v>
      </c>
      <c r="F249" s="2191">
        <v>0</v>
      </c>
      <c r="G249" s="2192">
        <f t="shared" ref="G249" si="44">F249*E249</f>
        <v>0</v>
      </c>
    </row>
    <row r="250" spans="2:7" x14ac:dyDescent="0.2">
      <c r="B250" s="2186"/>
      <c r="C250" s="2193"/>
      <c r="D250" s="2189"/>
      <c r="E250" s="2190"/>
      <c r="F250" s="2642"/>
      <c r="G250" s="2643"/>
    </row>
    <row r="251" spans="2:7" ht="125.25" customHeight="1" x14ac:dyDescent="0.2">
      <c r="B251" s="2186" t="s">
        <v>564</v>
      </c>
      <c r="C251" s="2195" t="s">
        <v>1352</v>
      </c>
      <c r="D251" s="2189" t="s">
        <v>98</v>
      </c>
      <c r="E251" s="2190">
        <v>1</v>
      </c>
      <c r="F251" s="2191">
        <v>0</v>
      </c>
      <c r="G251" s="2192">
        <f t="shared" ref="G251" si="45">F251*E251</f>
        <v>0</v>
      </c>
    </row>
    <row r="252" spans="2:7" x14ac:dyDescent="0.2">
      <c r="B252" s="2186"/>
      <c r="C252" s="2193"/>
      <c r="D252" s="2189"/>
      <c r="E252" s="2190"/>
      <c r="F252" s="2642"/>
      <c r="G252" s="2643"/>
    </row>
    <row r="253" spans="2:7" x14ac:dyDescent="0.2">
      <c r="B253" s="2186" t="s">
        <v>566</v>
      </c>
      <c r="C253" s="2196" t="s">
        <v>924</v>
      </c>
      <c r="D253" s="2189" t="s">
        <v>98</v>
      </c>
      <c r="E253" s="2190">
        <v>1</v>
      </c>
      <c r="F253" s="2191">
        <v>0</v>
      </c>
      <c r="G253" s="2192">
        <f t="shared" ref="G253" si="46">F253*E253</f>
        <v>0</v>
      </c>
    </row>
    <row r="254" spans="2:7" x14ac:dyDescent="0.2">
      <c r="B254" s="2186"/>
      <c r="C254" s="2193"/>
      <c r="D254" s="2189"/>
      <c r="E254" s="2190"/>
      <c r="F254" s="2642"/>
      <c r="G254" s="2643"/>
    </row>
    <row r="255" spans="2:7" x14ac:dyDescent="0.2">
      <c r="B255" s="2186" t="s">
        <v>568</v>
      </c>
      <c r="C255" s="2197" t="s">
        <v>632</v>
      </c>
      <c r="D255" s="2189" t="s">
        <v>553</v>
      </c>
      <c r="E255" s="2190">
        <v>1</v>
      </c>
      <c r="F255" s="2191">
        <v>0</v>
      </c>
      <c r="G255" s="2192">
        <f t="shared" ref="G255" si="47">F255*E255</f>
        <v>0</v>
      </c>
    </row>
    <row r="256" spans="2:7" x14ac:dyDescent="0.2">
      <c r="B256" s="2150"/>
      <c r="C256" s="2155"/>
      <c r="D256" s="2661"/>
      <c r="E256" s="2632"/>
      <c r="F256" s="2633"/>
      <c r="G256" s="2633"/>
    </row>
    <row r="257" spans="2:7" x14ac:dyDescent="0.2">
      <c r="B257" s="2150"/>
      <c r="C257" s="2155"/>
      <c r="D257" s="2661"/>
      <c r="E257" s="2632"/>
      <c r="F257" s="2633"/>
      <c r="G257" s="2633"/>
    </row>
    <row r="258" spans="2:7" x14ac:dyDescent="0.2">
      <c r="B258" s="2198" t="s">
        <v>641</v>
      </c>
      <c r="C258" s="2199" t="s">
        <v>642</v>
      </c>
      <c r="D258" s="2665"/>
      <c r="E258" s="2644"/>
      <c r="F258" s="2645"/>
      <c r="G258" s="2645"/>
    </row>
    <row r="259" spans="2:7" x14ac:dyDescent="0.2">
      <c r="B259" s="2200"/>
      <c r="C259" s="2201"/>
      <c r="D259" s="2665"/>
      <c r="E259" s="2644"/>
      <c r="F259" s="2645"/>
      <c r="G259" s="2645"/>
    </row>
    <row r="260" spans="2:7" x14ac:dyDescent="0.2">
      <c r="B260" s="2200" t="s">
        <v>8</v>
      </c>
      <c r="C260" s="2202" t="s">
        <v>643</v>
      </c>
      <c r="D260" s="2666" t="s">
        <v>644</v>
      </c>
      <c r="E260" s="2203">
        <v>30</v>
      </c>
      <c r="F260" s="2204">
        <v>0</v>
      </c>
      <c r="G260" s="2205">
        <f t="shared" ref="G260" si="48">F260*E260</f>
        <v>0</v>
      </c>
    </row>
    <row r="261" spans="2:7" x14ac:dyDescent="0.2">
      <c r="B261" s="2200"/>
      <c r="C261" s="2202"/>
      <c r="D261" s="2666"/>
      <c r="E261" s="2203"/>
      <c r="F261" s="2646"/>
      <c r="G261" s="2647"/>
    </row>
    <row r="262" spans="2:7" x14ac:dyDescent="0.2">
      <c r="B262" s="2200" t="s">
        <v>15</v>
      </c>
      <c r="C262" s="2202" t="s">
        <v>645</v>
      </c>
      <c r="D262" s="2666" t="s">
        <v>644</v>
      </c>
      <c r="E262" s="2203">
        <v>20</v>
      </c>
      <c r="F262" s="2204">
        <v>0</v>
      </c>
      <c r="G262" s="2205">
        <f t="shared" ref="G262" si="49">F262*E262</f>
        <v>0</v>
      </c>
    </row>
    <row r="263" spans="2:7" x14ac:dyDescent="0.2">
      <c r="B263" s="2200"/>
      <c r="C263" s="2202"/>
      <c r="D263" s="2666"/>
      <c r="E263" s="2203"/>
      <c r="F263" s="2646"/>
      <c r="G263" s="2647"/>
    </row>
    <row r="264" spans="2:7" x14ac:dyDescent="0.2">
      <c r="B264" s="2200" t="s">
        <v>20</v>
      </c>
      <c r="C264" s="2202" t="s">
        <v>646</v>
      </c>
      <c r="D264" s="2666" t="s">
        <v>644</v>
      </c>
      <c r="E264" s="2203">
        <v>100</v>
      </c>
      <c r="F264" s="2204">
        <v>0</v>
      </c>
      <c r="G264" s="2205">
        <f t="shared" ref="G264" si="50">F264*E264</f>
        <v>0</v>
      </c>
    </row>
    <row r="265" spans="2:7" x14ac:dyDescent="0.2">
      <c r="B265" s="2200"/>
      <c r="C265" s="2202"/>
      <c r="D265" s="2666"/>
      <c r="E265" s="2203"/>
      <c r="F265" s="2646"/>
      <c r="G265" s="2647"/>
    </row>
    <row r="266" spans="2:7" x14ac:dyDescent="0.2">
      <c r="B266" s="2200" t="s">
        <v>24</v>
      </c>
      <c r="C266" s="2202" t="s">
        <v>647</v>
      </c>
      <c r="D266" s="2666" t="s">
        <v>644</v>
      </c>
      <c r="E266" s="2203">
        <v>50</v>
      </c>
      <c r="F266" s="2204">
        <v>0</v>
      </c>
      <c r="G266" s="2205">
        <f t="shared" ref="G266" si="51">F266*E266</f>
        <v>0</v>
      </c>
    </row>
    <row r="267" spans="2:7" x14ac:dyDescent="0.2">
      <c r="B267" s="2200"/>
      <c r="C267" s="2202"/>
      <c r="D267" s="2666"/>
      <c r="E267" s="2203"/>
      <c r="F267" s="2646"/>
      <c r="G267" s="2647"/>
    </row>
    <row r="268" spans="2:7" x14ac:dyDescent="0.2">
      <c r="B268" s="2200" t="s">
        <v>29</v>
      </c>
      <c r="C268" s="2202" t="s">
        <v>648</v>
      </c>
      <c r="D268" s="2666" t="s">
        <v>644</v>
      </c>
      <c r="E268" s="2203">
        <v>50</v>
      </c>
      <c r="F268" s="2204">
        <v>0</v>
      </c>
      <c r="G268" s="2205">
        <f t="shared" ref="G268" si="52">F268*E268</f>
        <v>0</v>
      </c>
    </row>
    <row r="269" spans="2:7" x14ac:dyDescent="0.2">
      <c r="B269" s="2200"/>
      <c r="C269" s="2202"/>
      <c r="D269" s="2666"/>
      <c r="E269" s="2203"/>
      <c r="F269" s="2646"/>
      <c r="G269" s="2647"/>
    </row>
    <row r="270" spans="2:7" x14ac:dyDescent="0.2">
      <c r="B270" s="2200" t="s">
        <v>33</v>
      </c>
      <c r="C270" s="2202" t="s">
        <v>649</v>
      </c>
      <c r="D270" s="2666" t="s">
        <v>644</v>
      </c>
      <c r="E270" s="2203">
        <v>4</v>
      </c>
      <c r="F270" s="2204">
        <v>0</v>
      </c>
      <c r="G270" s="2205">
        <f t="shared" ref="G270" si="53">F270*E270</f>
        <v>0</v>
      </c>
    </row>
    <row r="271" spans="2:7" x14ac:dyDescent="0.2">
      <c r="B271" s="2200"/>
      <c r="C271" s="2202"/>
      <c r="D271" s="2666"/>
      <c r="E271" s="2203"/>
      <c r="F271" s="2646"/>
      <c r="G271" s="2647"/>
    </row>
    <row r="272" spans="2:7" x14ac:dyDescent="0.2">
      <c r="B272" s="2200" t="s">
        <v>38</v>
      </c>
      <c r="C272" s="2202" t="s">
        <v>650</v>
      </c>
      <c r="D272" s="2666" t="s">
        <v>149</v>
      </c>
      <c r="E272" s="2203">
        <v>2</v>
      </c>
      <c r="F272" s="2204">
        <v>0</v>
      </c>
      <c r="G272" s="2205">
        <f t="shared" ref="G272" si="54">F272*E272</f>
        <v>0</v>
      </c>
    </row>
    <row r="273" spans="2:7" x14ac:dyDescent="0.2">
      <c r="B273" s="2200"/>
      <c r="C273" s="2202"/>
      <c r="D273" s="2666"/>
      <c r="E273" s="2203"/>
      <c r="F273" s="2646"/>
      <c r="G273" s="2647"/>
    </row>
    <row r="274" spans="2:7" x14ac:dyDescent="0.2">
      <c r="B274" s="2200" t="s">
        <v>43</v>
      </c>
      <c r="C274" s="2202" t="s">
        <v>651</v>
      </c>
      <c r="D274" s="2666" t="s">
        <v>644</v>
      </c>
      <c r="E274" s="2203">
        <v>50</v>
      </c>
      <c r="F274" s="2204">
        <v>0</v>
      </c>
      <c r="G274" s="2205">
        <f t="shared" ref="G274" si="55">F274*E274</f>
        <v>0</v>
      </c>
    </row>
    <row r="275" spans="2:7" x14ac:dyDescent="0.2">
      <c r="B275" s="2200"/>
      <c r="C275" s="2202"/>
      <c r="D275" s="2666"/>
      <c r="E275" s="2203"/>
      <c r="F275" s="2646"/>
      <c r="G275" s="2647"/>
    </row>
    <row r="276" spans="2:7" x14ac:dyDescent="0.2">
      <c r="B276" s="2200" t="s">
        <v>562</v>
      </c>
      <c r="C276" s="2202" t="s">
        <v>652</v>
      </c>
      <c r="D276" s="2666" t="s">
        <v>644</v>
      </c>
      <c r="E276" s="2203">
        <v>50</v>
      </c>
      <c r="F276" s="2204">
        <v>0</v>
      </c>
      <c r="G276" s="2205">
        <f t="shared" ref="G276" si="56">F276*E276</f>
        <v>0</v>
      </c>
    </row>
    <row r="277" spans="2:7" x14ac:dyDescent="0.2">
      <c r="B277" s="2200"/>
      <c r="C277" s="2202"/>
      <c r="D277" s="2666"/>
      <c r="E277" s="2203"/>
      <c r="F277" s="2646"/>
      <c r="G277" s="2647"/>
    </row>
    <row r="278" spans="2:7" x14ac:dyDescent="0.2">
      <c r="B278" s="2200" t="s">
        <v>564</v>
      </c>
      <c r="C278" s="2202" t="s">
        <v>632</v>
      </c>
      <c r="D278" s="2666" t="s">
        <v>553</v>
      </c>
      <c r="E278" s="2203">
        <v>1</v>
      </c>
      <c r="F278" s="2204">
        <v>0</v>
      </c>
      <c r="G278" s="2205">
        <f t="shared" ref="G278" si="57">F278*E278</f>
        <v>0</v>
      </c>
    </row>
    <row r="279" spans="2:7" x14ac:dyDescent="0.2">
      <c r="B279" s="2150"/>
      <c r="C279" s="2155"/>
      <c r="D279" s="2661"/>
      <c r="E279" s="2632"/>
      <c r="F279" s="2633"/>
      <c r="G279" s="2633"/>
    </row>
    <row r="280" spans="2:7" x14ac:dyDescent="0.2">
      <c r="B280" s="2150"/>
      <c r="C280" s="2155"/>
      <c r="D280" s="2661"/>
      <c r="E280" s="2632"/>
      <c r="F280" s="2633"/>
      <c r="G280" s="2633"/>
    </row>
    <row r="281" spans="2:7" x14ac:dyDescent="0.2">
      <c r="B281" s="2158" t="s">
        <v>653</v>
      </c>
      <c r="C281" s="2159" t="s">
        <v>654</v>
      </c>
      <c r="D281" s="2175"/>
      <c r="E281" s="2176"/>
      <c r="F281" s="2177"/>
      <c r="G281" s="2177"/>
    </row>
    <row r="282" spans="2:7" x14ac:dyDescent="0.2">
      <c r="B282" s="2160"/>
      <c r="C282" s="2180"/>
      <c r="D282" s="2163"/>
      <c r="E282" s="2164"/>
      <c r="F282" s="2172"/>
      <c r="G282" s="2173"/>
    </row>
    <row r="283" spans="2:7" x14ac:dyDescent="0.2">
      <c r="B283" s="2160" t="s">
        <v>8</v>
      </c>
      <c r="C283" s="2180" t="s">
        <v>655</v>
      </c>
      <c r="D283" s="2163" t="s">
        <v>644</v>
      </c>
      <c r="E283" s="2164">
        <v>60</v>
      </c>
      <c r="F283" s="2034">
        <v>0</v>
      </c>
      <c r="G283" s="2035">
        <f t="shared" ref="G283" si="58">F283*E283</f>
        <v>0</v>
      </c>
    </row>
    <row r="284" spans="2:7" x14ac:dyDescent="0.2">
      <c r="B284" s="2160"/>
      <c r="C284" s="2180"/>
      <c r="D284" s="2163"/>
      <c r="E284" s="2164"/>
      <c r="F284" s="2172"/>
      <c r="G284" s="2173"/>
    </row>
    <row r="285" spans="2:7" ht="36" x14ac:dyDescent="0.2">
      <c r="B285" s="2160" t="s">
        <v>15</v>
      </c>
      <c r="C285" s="2180" t="s">
        <v>656</v>
      </c>
      <c r="D285" s="2163" t="s">
        <v>553</v>
      </c>
      <c r="E285" s="2164">
        <v>1</v>
      </c>
      <c r="F285" s="2034">
        <v>0</v>
      </c>
      <c r="G285" s="2035">
        <f t="shared" ref="G285" si="59">F285*E285</f>
        <v>0</v>
      </c>
    </row>
    <row r="286" spans="2:7" x14ac:dyDescent="0.2">
      <c r="B286" s="2160"/>
      <c r="C286" s="2180"/>
      <c r="D286" s="2163"/>
      <c r="E286" s="2164"/>
      <c r="F286" s="2172"/>
      <c r="G286" s="2173"/>
    </row>
    <row r="287" spans="2:7" ht="36" x14ac:dyDescent="0.2">
      <c r="B287" s="2160" t="s">
        <v>20</v>
      </c>
      <c r="C287" s="2180" t="s">
        <v>657</v>
      </c>
      <c r="D287" s="2163" t="s">
        <v>553</v>
      </c>
      <c r="E287" s="2164">
        <v>1</v>
      </c>
      <c r="F287" s="2034">
        <v>0</v>
      </c>
      <c r="G287" s="2035">
        <f t="shared" ref="G287" si="60">F287*E287</f>
        <v>0</v>
      </c>
    </row>
    <row r="288" spans="2:7" x14ac:dyDescent="0.2">
      <c r="B288" s="2160"/>
      <c r="C288" s="2180"/>
      <c r="D288" s="2163"/>
      <c r="E288" s="2164"/>
      <c r="F288" s="2172"/>
      <c r="G288" s="2173"/>
    </row>
    <row r="289" spans="2:7" ht="24" x14ac:dyDescent="0.2">
      <c r="B289" s="2160" t="s">
        <v>24</v>
      </c>
      <c r="C289" s="2180" t="s">
        <v>658</v>
      </c>
      <c r="D289" s="2163" t="s">
        <v>644</v>
      </c>
      <c r="E289" s="2164">
        <v>160</v>
      </c>
      <c r="F289" s="2034">
        <v>0</v>
      </c>
      <c r="G289" s="2035">
        <f t="shared" ref="G289" si="61">F289*E289</f>
        <v>0</v>
      </c>
    </row>
    <row r="290" spans="2:7" x14ac:dyDescent="0.2">
      <c r="B290" s="2160"/>
      <c r="C290" s="2180"/>
      <c r="D290" s="2163"/>
      <c r="E290" s="2164"/>
      <c r="F290" s="2172"/>
      <c r="G290" s="2173"/>
    </row>
    <row r="291" spans="2:7" x14ac:dyDescent="0.2">
      <c r="B291" s="2160" t="s">
        <v>29</v>
      </c>
      <c r="C291" s="2180" t="s">
        <v>660</v>
      </c>
      <c r="D291" s="2163" t="s">
        <v>123</v>
      </c>
      <c r="E291" s="2164">
        <v>6</v>
      </c>
      <c r="F291" s="2034">
        <v>0</v>
      </c>
      <c r="G291" s="2035">
        <f t="shared" ref="G291" si="62">F291*E291</f>
        <v>0</v>
      </c>
    </row>
    <row r="292" spans="2:7" x14ac:dyDescent="0.2">
      <c r="B292" s="2160"/>
      <c r="C292" s="2180"/>
      <c r="D292" s="2163"/>
      <c r="E292" s="2164"/>
      <c r="F292" s="2172"/>
      <c r="G292" s="2173"/>
    </row>
    <row r="293" spans="2:7" x14ac:dyDescent="0.2">
      <c r="B293" s="2160" t="s">
        <v>33</v>
      </c>
      <c r="C293" s="2180" t="s">
        <v>661</v>
      </c>
      <c r="D293" s="2163" t="s">
        <v>553</v>
      </c>
      <c r="E293" s="2164">
        <v>10</v>
      </c>
      <c r="F293" s="2034">
        <v>0</v>
      </c>
      <c r="G293" s="2035">
        <f t="shared" ref="G293" si="63">F293*E293</f>
        <v>0</v>
      </c>
    </row>
    <row r="294" spans="2:7" x14ac:dyDescent="0.2">
      <c r="B294" s="2160"/>
      <c r="C294" s="2180"/>
      <c r="D294" s="2163"/>
      <c r="E294" s="2164"/>
      <c r="F294" s="2172"/>
      <c r="G294" s="2173"/>
    </row>
    <row r="295" spans="2:7" x14ac:dyDescent="0.2">
      <c r="B295" s="2160"/>
      <c r="C295" s="2180"/>
      <c r="D295" s="2163"/>
      <c r="E295" s="2164"/>
      <c r="F295" s="2172"/>
      <c r="G295" s="2173"/>
    </row>
    <row r="296" spans="2:7" x14ac:dyDescent="0.2">
      <c r="B296" s="2160" t="s">
        <v>38</v>
      </c>
      <c r="C296" s="2180" t="s">
        <v>663</v>
      </c>
      <c r="D296" s="2163" t="s">
        <v>553</v>
      </c>
      <c r="E296" s="2164">
        <v>1</v>
      </c>
      <c r="F296" s="2034">
        <v>0</v>
      </c>
      <c r="G296" s="2035">
        <f t="shared" ref="G296" si="64">F296*E296</f>
        <v>0</v>
      </c>
    </row>
    <row r="297" spans="2:7" x14ac:dyDescent="0.2">
      <c r="B297" s="2160"/>
      <c r="C297" s="2180"/>
      <c r="D297" s="2163"/>
      <c r="E297" s="2164"/>
      <c r="F297" s="2172"/>
      <c r="G297" s="2173"/>
    </row>
    <row r="298" spans="2:7" x14ac:dyDescent="0.2">
      <c r="B298" s="2150"/>
      <c r="C298" s="2155"/>
      <c r="D298" s="2661"/>
      <c r="E298" s="2632"/>
      <c r="F298" s="2633"/>
      <c r="G298" s="2633"/>
    </row>
    <row r="299" spans="2:7" x14ac:dyDescent="0.2">
      <c r="B299" s="2150"/>
      <c r="C299" s="2155"/>
      <c r="D299" s="2661"/>
      <c r="E299" s="2632"/>
      <c r="F299" s="2633"/>
      <c r="G299" s="2633"/>
    </row>
    <row r="300" spans="2:7" x14ac:dyDescent="0.2">
      <c r="B300" s="2150"/>
      <c r="C300" s="2155"/>
      <c r="D300" s="2661"/>
      <c r="E300" s="2632"/>
      <c r="F300" s="2633"/>
      <c r="G300" s="2633"/>
    </row>
    <row r="301" spans="2:7" x14ac:dyDescent="0.2">
      <c r="B301" s="2184" t="s">
        <v>664</v>
      </c>
      <c r="C301" s="2185" t="s">
        <v>665</v>
      </c>
      <c r="D301" s="2664"/>
      <c r="E301" s="2640"/>
      <c r="F301" s="2641"/>
      <c r="G301" s="2641"/>
    </row>
    <row r="302" spans="2:7" x14ac:dyDescent="0.2">
      <c r="B302" s="2186"/>
      <c r="C302" s="2187"/>
      <c r="D302" s="2664"/>
      <c r="E302" s="2640"/>
      <c r="F302" s="2641"/>
      <c r="G302" s="2641"/>
    </row>
    <row r="303" spans="2:7" ht="36" x14ac:dyDescent="0.2">
      <c r="B303" s="2186" t="s">
        <v>8</v>
      </c>
      <c r="C303" s="2197" t="s">
        <v>666</v>
      </c>
      <c r="D303" s="2189" t="s">
        <v>644</v>
      </c>
      <c r="E303" s="2190">
        <v>21</v>
      </c>
      <c r="F303" s="2191">
        <v>0</v>
      </c>
      <c r="G303" s="2192">
        <f t="shared" ref="G303" si="65">F303*E303</f>
        <v>0</v>
      </c>
    </row>
    <row r="304" spans="2:7" x14ac:dyDescent="0.2">
      <c r="B304" s="2186"/>
      <c r="C304" s="2197"/>
      <c r="D304" s="2189"/>
      <c r="E304" s="2190"/>
      <c r="F304" s="2642"/>
      <c r="G304" s="2643"/>
    </row>
    <row r="305" spans="2:7" x14ac:dyDescent="0.2">
      <c r="B305" s="2186" t="s">
        <v>15</v>
      </c>
      <c r="C305" s="2197" t="s">
        <v>667</v>
      </c>
      <c r="D305" s="2189" t="s">
        <v>644</v>
      </c>
      <c r="E305" s="2190">
        <v>50</v>
      </c>
      <c r="F305" s="2191">
        <v>0</v>
      </c>
      <c r="G305" s="2192">
        <f t="shared" ref="G305" si="66">F305*E305</f>
        <v>0</v>
      </c>
    </row>
    <row r="306" spans="2:7" x14ac:dyDescent="0.2">
      <c r="B306" s="2186"/>
      <c r="C306" s="2197"/>
      <c r="D306" s="2189"/>
      <c r="E306" s="2190"/>
      <c r="F306" s="2642"/>
      <c r="G306" s="2643"/>
    </row>
    <row r="307" spans="2:7" x14ac:dyDescent="0.2">
      <c r="B307" s="2186" t="s">
        <v>20</v>
      </c>
      <c r="C307" s="2197" t="s">
        <v>668</v>
      </c>
      <c r="D307" s="2189" t="s">
        <v>644</v>
      </c>
      <c r="E307" s="2190">
        <v>30</v>
      </c>
      <c r="F307" s="2191">
        <v>0</v>
      </c>
      <c r="G307" s="2192">
        <f t="shared" ref="G307" si="67">F307*E307</f>
        <v>0</v>
      </c>
    </row>
    <row r="308" spans="2:7" x14ac:dyDescent="0.2">
      <c r="B308" s="2186"/>
      <c r="C308" s="2197"/>
      <c r="D308" s="2189"/>
      <c r="E308" s="2190"/>
      <c r="F308" s="2642"/>
      <c r="G308" s="2643"/>
    </row>
    <row r="309" spans="2:7" x14ac:dyDescent="0.2">
      <c r="B309" s="2186" t="s">
        <v>24</v>
      </c>
      <c r="C309" s="2197" t="s">
        <v>669</v>
      </c>
      <c r="D309" s="2189" t="s">
        <v>123</v>
      </c>
      <c r="E309" s="2190">
        <v>1</v>
      </c>
      <c r="F309" s="2191">
        <v>0</v>
      </c>
      <c r="G309" s="2192">
        <f t="shared" ref="G309" si="68">F309*E309</f>
        <v>0</v>
      </c>
    </row>
    <row r="310" spans="2:7" x14ac:dyDescent="0.2">
      <c r="B310" s="2186"/>
      <c r="C310" s="2197"/>
      <c r="D310" s="2189"/>
      <c r="E310" s="2190"/>
      <c r="F310" s="2642"/>
      <c r="G310" s="2643"/>
    </row>
    <row r="311" spans="2:7" ht="48" x14ac:dyDescent="0.2">
      <c r="B311" s="2186" t="s">
        <v>29</v>
      </c>
      <c r="C311" s="2206" t="s">
        <v>670</v>
      </c>
      <c r="D311" s="2189" t="s">
        <v>123</v>
      </c>
      <c r="E311" s="2190">
        <v>2</v>
      </c>
      <c r="F311" s="2191">
        <v>0</v>
      </c>
      <c r="G311" s="2192">
        <f t="shared" ref="G311" si="69">F311*E311</f>
        <v>0</v>
      </c>
    </row>
    <row r="312" spans="2:7" x14ac:dyDescent="0.2">
      <c r="B312" s="2186"/>
      <c r="C312" s="2206"/>
      <c r="D312" s="2189"/>
      <c r="E312" s="2190"/>
      <c r="F312" s="2642"/>
      <c r="G312" s="2643"/>
    </row>
    <row r="313" spans="2:7" x14ac:dyDescent="0.2">
      <c r="B313" s="2186" t="s">
        <v>33</v>
      </c>
      <c r="C313" s="2206" t="s">
        <v>1353</v>
      </c>
      <c r="D313" s="2189" t="s">
        <v>123</v>
      </c>
      <c r="E313" s="2190">
        <v>1</v>
      </c>
      <c r="F313" s="2191">
        <v>0</v>
      </c>
      <c r="G313" s="2192">
        <f t="shared" ref="G313" si="70">F313*E313</f>
        <v>0</v>
      </c>
    </row>
    <row r="314" spans="2:7" x14ac:dyDescent="0.2">
      <c r="B314" s="2186"/>
      <c r="C314" s="2206"/>
      <c r="D314" s="2189"/>
      <c r="E314" s="2190"/>
      <c r="F314" s="2642"/>
      <c r="G314" s="2643"/>
    </row>
    <row r="315" spans="2:7" x14ac:dyDescent="0.2">
      <c r="B315" s="2186" t="s">
        <v>38</v>
      </c>
      <c r="C315" s="2206" t="s">
        <v>1354</v>
      </c>
      <c r="D315" s="2189" t="s">
        <v>123</v>
      </c>
      <c r="E315" s="2190">
        <v>1</v>
      </c>
      <c r="F315" s="2191">
        <v>0</v>
      </c>
      <c r="G315" s="2192">
        <f t="shared" ref="G315" si="71">F315*E315</f>
        <v>0</v>
      </c>
    </row>
    <row r="316" spans="2:7" x14ac:dyDescent="0.2">
      <c r="B316" s="2186"/>
      <c r="C316" s="2197"/>
      <c r="D316" s="2189"/>
      <c r="E316" s="2190"/>
      <c r="F316" s="2642"/>
      <c r="G316" s="2643"/>
    </row>
    <row r="317" spans="2:7" ht="24" x14ac:dyDescent="0.2">
      <c r="B317" s="2186" t="s">
        <v>43</v>
      </c>
      <c r="C317" s="2197" t="s">
        <v>673</v>
      </c>
      <c r="D317" s="2189" t="s">
        <v>123</v>
      </c>
      <c r="E317" s="2190">
        <v>2</v>
      </c>
      <c r="F317" s="2191">
        <v>0</v>
      </c>
      <c r="G317" s="2192">
        <f t="shared" ref="G317" si="72">F317*E317</f>
        <v>0</v>
      </c>
    </row>
    <row r="318" spans="2:7" x14ac:dyDescent="0.2">
      <c r="B318" s="2186"/>
      <c r="C318" s="2197"/>
      <c r="D318" s="2189"/>
      <c r="E318" s="2190"/>
      <c r="F318" s="2642"/>
      <c r="G318" s="2643"/>
    </row>
    <row r="319" spans="2:7" x14ac:dyDescent="0.2">
      <c r="B319" s="2186" t="s">
        <v>562</v>
      </c>
      <c r="C319" s="2197" t="s">
        <v>1355</v>
      </c>
      <c r="D319" s="2189" t="s">
        <v>123</v>
      </c>
      <c r="E319" s="2190">
        <v>1</v>
      </c>
      <c r="F319" s="2191">
        <v>0</v>
      </c>
      <c r="G319" s="2192">
        <f t="shared" ref="G319" si="73">F319*E319</f>
        <v>0</v>
      </c>
    </row>
    <row r="320" spans="2:7" x14ac:dyDescent="0.2">
      <c r="B320" s="2186"/>
      <c r="C320" s="2197"/>
      <c r="D320" s="2189"/>
      <c r="E320" s="2190"/>
      <c r="F320" s="2642"/>
      <c r="G320" s="2643"/>
    </row>
    <row r="321" spans="2:7" x14ac:dyDescent="0.2">
      <c r="B321" s="2186" t="s">
        <v>564</v>
      </c>
      <c r="C321" s="2197" t="s">
        <v>675</v>
      </c>
      <c r="D321" s="2189" t="s">
        <v>123</v>
      </c>
      <c r="E321" s="2190">
        <v>1</v>
      </c>
      <c r="F321" s="2191">
        <v>0</v>
      </c>
      <c r="G321" s="2192">
        <f t="shared" ref="G321" si="74">F321*E321</f>
        <v>0</v>
      </c>
    </row>
    <row r="322" spans="2:7" x14ac:dyDescent="0.2">
      <c r="B322" s="2186"/>
      <c r="C322" s="2197"/>
      <c r="D322" s="2189"/>
      <c r="E322" s="2190"/>
      <c r="F322" s="2642"/>
      <c r="G322" s="2643"/>
    </row>
    <row r="323" spans="2:7" x14ac:dyDescent="0.2">
      <c r="B323" s="2150"/>
      <c r="C323" s="2156"/>
      <c r="D323" s="2325"/>
      <c r="E323" s="2326"/>
      <c r="F323" s="2327"/>
      <c r="G323" s="2634"/>
    </row>
    <row r="324" spans="2:7" x14ac:dyDescent="0.2">
      <c r="B324" s="2150"/>
      <c r="C324" s="2155"/>
      <c r="D324" s="2661"/>
      <c r="E324" s="2632"/>
      <c r="F324" s="2633"/>
      <c r="G324" s="2633"/>
    </row>
    <row r="325" spans="2:7" x14ac:dyDescent="0.2">
      <c r="B325" s="2207" t="s">
        <v>678</v>
      </c>
      <c r="C325" s="2208" t="s">
        <v>679</v>
      </c>
      <c r="D325" s="2667"/>
      <c r="E325" s="2648"/>
      <c r="F325" s="2649"/>
      <c r="G325" s="2649"/>
    </row>
    <row r="326" spans="2:7" x14ac:dyDescent="0.2">
      <c r="B326" s="2209"/>
      <c r="C326" s="2210"/>
      <c r="D326" s="2667"/>
      <c r="E326" s="2648"/>
      <c r="F326" s="2649"/>
      <c r="G326" s="2649"/>
    </row>
    <row r="327" spans="2:7" x14ac:dyDescent="0.2">
      <c r="B327" s="2209" t="s">
        <v>8</v>
      </c>
      <c r="C327" s="2211" t="s">
        <v>680</v>
      </c>
      <c r="D327" s="2668" t="s">
        <v>553</v>
      </c>
      <c r="E327" s="2650">
        <v>12</v>
      </c>
      <c r="F327" s="2482">
        <v>0</v>
      </c>
      <c r="G327" s="2483">
        <f t="shared" ref="G327" si="75">F327*E327</f>
        <v>0</v>
      </c>
    </row>
    <row r="328" spans="2:7" x14ac:dyDescent="0.2">
      <c r="B328" s="2209"/>
      <c r="C328" s="2212"/>
      <c r="D328" s="2668"/>
      <c r="E328" s="2650"/>
      <c r="F328" s="2651"/>
      <c r="G328" s="2652"/>
    </row>
    <row r="329" spans="2:7" x14ac:dyDescent="0.2">
      <c r="B329" s="2209" t="s">
        <v>15</v>
      </c>
      <c r="C329" s="2211" t="s">
        <v>681</v>
      </c>
      <c r="D329" s="2668" t="s">
        <v>553</v>
      </c>
      <c r="E329" s="2650">
        <v>1</v>
      </c>
      <c r="F329" s="2482">
        <v>0</v>
      </c>
      <c r="G329" s="2483">
        <f t="shared" ref="G329" si="76">F329*E329</f>
        <v>0</v>
      </c>
    </row>
    <row r="330" spans="2:7" x14ac:dyDescent="0.2">
      <c r="B330" s="2209"/>
      <c r="C330" s="2212"/>
      <c r="D330" s="2668"/>
      <c r="E330" s="2650"/>
      <c r="F330" s="2651"/>
      <c r="G330" s="2652"/>
    </row>
    <row r="331" spans="2:7" ht="72" x14ac:dyDescent="0.2">
      <c r="B331" s="2209" t="s">
        <v>20</v>
      </c>
      <c r="C331" s="2213" t="s">
        <v>1356</v>
      </c>
      <c r="D331" s="2668" t="s">
        <v>553</v>
      </c>
      <c r="E331" s="2650">
        <v>1</v>
      </c>
      <c r="F331" s="2482">
        <v>0</v>
      </c>
      <c r="G331" s="2483">
        <f t="shared" ref="G331:G336" si="77">F331*E331</f>
        <v>0</v>
      </c>
    </row>
    <row r="332" spans="2:7" ht="84" x14ac:dyDescent="0.2">
      <c r="B332" s="2209" t="s">
        <v>24</v>
      </c>
      <c r="C332" s="2214" t="s">
        <v>1357</v>
      </c>
      <c r="D332" s="2668" t="s">
        <v>553</v>
      </c>
      <c r="E332" s="2650">
        <v>1</v>
      </c>
      <c r="F332" s="2482">
        <v>0</v>
      </c>
      <c r="G332" s="2483">
        <f t="shared" si="77"/>
        <v>0</v>
      </c>
    </row>
    <row r="333" spans="2:7" ht="48" x14ac:dyDescent="0.2">
      <c r="B333" s="2209" t="s">
        <v>29</v>
      </c>
      <c r="C333" s="2215" t="s">
        <v>1358</v>
      </c>
      <c r="D333" s="2668" t="s">
        <v>553</v>
      </c>
      <c r="E333" s="2650">
        <v>1</v>
      </c>
      <c r="F333" s="2482">
        <v>0</v>
      </c>
      <c r="G333" s="2483">
        <f t="shared" si="77"/>
        <v>0</v>
      </c>
    </row>
    <row r="334" spans="2:7" ht="36" x14ac:dyDescent="0.2">
      <c r="B334" s="2209" t="s">
        <v>33</v>
      </c>
      <c r="C334" s="2214" t="s">
        <v>1359</v>
      </c>
      <c r="D334" s="2668" t="s">
        <v>553</v>
      </c>
      <c r="E334" s="2650">
        <v>1</v>
      </c>
      <c r="F334" s="2482">
        <v>0</v>
      </c>
      <c r="G334" s="2483">
        <f t="shared" si="77"/>
        <v>0</v>
      </c>
    </row>
    <row r="335" spans="2:7" ht="36" x14ac:dyDescent="0.2">
      <c r="B335" s="2209" t="s">
        <v>38</v>
      </c>
      <c r="C335" s="2214" t="s">
        <v>1360</v>
      </c>
      <c r="D335" s="2668" t="s">
        <v>553</v>
      </c>
      <c r="E335" s="2650">
        <v>1</v>
      </c>
      <c r="F335" s="2482">
        <v>0</v>
      </c>
      <c r="G335" s="2483">
        <f t="shared" si="77"/>
        <v>0</v>
      </c>
    </row>
    <row r="336" spans="2:7" ht="48" x14ac:dyDescent="0.2">
      <c r="B336" s="2209" t="s">
        <v>43</v>
      </c>
      <c r="C336" s="2214" t="s">
        <v>1361</v>
      </c>
      <c r="D336" s="2668" t="s">
        <v>553</v>
      </c>
      <c r="E336" s="2650">
        <v>1</v>
      </c>
      <c r="F336" s="2482">
        <v>0</v>
      </c>
      <c r="G336" s="2483">
        <f t="shared" si="77"/>
        <v>0</v>
      </c>
    </row>
    <row r="337" spans="2:7" x14ac:dyDescent="0.2">
      <c r="B337" s="2209"/>
      <c r="C337" s="2216"/>
      <c r="D337" s="2668"/>
      <c r="E337" s="2650"/>
      <c r="F337" s="2651"/>
      <c r="G337" s="2652"/>
    </row>
    <row r="338" spans="2:7" x14ac:dyDescent="0.2">
      <c r="B338" s="2150"/>
      <c r="C338" s="2155"/>
      <c r="D338" s="2661"/>
      <c r="E338" s="2632"/>
      <c r="F338" s="2633"/>
      <c r="G338" s="2633"/>
    </row>
    <row r="339" spans="2:7" x14ac:dyDescent="0.2">
      <c r="B339" s="2152"/>
      <c r="C339" s="2153"/>
      <c r="D339" s="2271"/>
      <c r="E339" s="2272"/>
      <c r="F339" s="2273"/>
      <c r="G339" s="2384"/>
    </row>
    <row r="340" spans="2:7" x14ac:dyDescent="0.2">
      <c r="B340" s="2150"/>
      <c r="C340" s="548"/>
      <c r="D340" s="2325"/>
      <c r="E340" s="2326"/>
      <c r="F340" s="2327"/>
      <c r="G340" s="2634"/>
    </row>
    <row r="341" spans="2:7" x14ac:dyDescent="0.2">
      <c r="B341" s="2217" t="s">
        <v>688</v>
      </c>
      <c r="C341" s="2218" t="s">
        <v>689</v>
      </c>
      <c r="D341" s="2225"/>
      <c r="E341" s="2226"/>
      <c r="F341" s="2625"/>
      <c r="G341" s="2625"/>
    </row>
    <row r="342" spans="2:7" x14ac:dyDescent="0.2">
      <c r="B342" s="2219"/>
      <c r="C342" s="2148"/>
      <c r="D342" s="2660"/>
      <c r="E342" s="2629"/>
      <c r="F342" s="2630"/>
      <c r="G342" s="2630"/>
    </row>
    <row r="343" spans="2:7" ht="96" x14ac:dyDescent="0.2">
      <c r="B343" s="2135" t="s">
        <v>8</v>
      </c>
      <c r="C343" s="2220" t="s">
        <v>1362</v>
      </c>
      <c r="D343" s="2138" t="s">
        <v>553</v>
      </c>
      <c r="E343" s="2139">
        <v>1</v>
      </c>
      <c r="F343" s="2045">
        <v>0</v>
      </c>
      <c r="G343" s="2046">
        <f t="shared" ref="G343" si="78">F343*E343</f>
        <v>0</v>
      </c>
    </row>
    <row r="344" spans="2:7" ht="24" x14ac:dyDescent="0.2">
      <c r="B344" s="2135"/>
      <c r="C344" s="2221" t="s">
        <v>1363</v>
      </c>
      <c r="D344" s="2138"/>
      <c r="E344" s="2139"/>
      <c r="F344" s="2140"/>
      <c r="G344" s="2141"/>
    </row>
    <row r="345" spans="2:7" ht="24" x14ac:dyDescent="0.2">
      <c r="B345" s="2135" t="s">
        <v>15</v>
      </c>
      <c r="C345" s="2222" t="s">
        <v>1364</v>
      </c>
      <c r="D345" s="2138" t="s">
        <v>553</v>
      </c>
      <c r="E345" s="2139">
        <v>1</v>
      </c>
      <c r="F345" s="2045">
        <v>0</v>
      </c>
      <c r="G345" s="2046">
        <f t="shared" ref="G345" si="79">F345*E345</f>
        <v>0</v>
      </c>
    </row>
    <row r="346" spans="2:7" x14ac:dyDescent="0.2">
      <c r="B346" s="2135"/>
      <c r="C346" s="2143"/>
      <c r="D346" s="2138"/>
      <c r="E346" s="2139"/>
      <c r="F346" s="2140"/>
      <c r="G346" s="2141"/>
    </row>
    <row r="347" spans="2:7" x14ac:dyDescent="0.2">
      <c r="B347" s="2135" t="s">
        <v>20</v>
      </c>
      <c r="C347" s="2223" t="s">
        <v>1365</v>
      </c>
      <c r="D347" s="2138" t="s">
        <v>644</v>
      </c>
      <c r="E347" s="2139">
        <v>640</v>
      </c>
      <c r="F347" s="2045">
        <v>0</v>
      </c>
      <c r="G347" s="2046">
        <f t="shared" ref="G347" si="80">F347*E347</f>
        <v>0</v>
      </c>
    </row>
    <row r="348" spans="2:7" x14ac:dyDescent="0.2">
      <c r="B348" s="2135"/>
      <c r="C348" s="2143"/>
      <c r="D348" s="2138"/>
      <c r="E348" s="2139"/>
      <c r="F348" s="2140"/>
      <c r="G348" s="2141"/>
    </row>
    <row r="349" spans="2:7" ht="96" x14ac:dyDescent="0.2">
      <c r="B349" s="2135" t="s">
        <v>24</v>
      </c>
      <c r="C349" s="2224" t="s">
        <v>693</v>
      </c>
      <c r="D349" s="2225" t="s">
        <v>644</v>
      </c>
      <c r="E349" s="2226">
        <v>600</v>
      </c>
      <c r="F349" s="2045">
        <v>0</v>
      </c>
      <c r="G349" s="2046">
        <f>F349*E349</f>
        <v>0</v>
      </c>
    </row>
    <row r="350" spans="2:7" x14ac:dyDescent="0.2">
      <c r="B350" s="2135"/>
      <c r="C350" s="2224"/>
      <c r="D350" s="2225"/>
      <c r="E350" s="2226"/>
      <c r="F350" s="2625"/>
      <c r="G350" s="2141"/>
    </row>
    <row r="351" spans="2:7" x14ac:dyDescent="0.2">
      <c r="B351" s="2135" t="s">
        <v>29</v>
      </c>
      <c r="C351" s="2223" t="s">
        <v>1366</v>
      </c>
      <c r="D351" s="2138" t="s">
        <v>644</v>
      </c>
      <c r="E351" s="2139">
        <v>15</v>
      </c>
      <c r="F351" s="2045">
        <v>0</v>
      </c>
      <c r="G351" s="2046">
        <f t="shared" ref="G351" si="81">F351*E351</f>
        <v>0</v>
      </c>
    </row>
    <row r="352" spans="2:7" x14ac:dyDescent="0.2">
      <c r="B352" s="2135"/>
      <c r="C352" s="2143"/>
      <c r="D352" s="2138"/>
      <c r="E352" s="2139"/>
      <c r="F352" s="2140"/>
      <c r="G352" s="2141"/>
    </row>
    <row r="353" spans="2:10" ht="24" x14ac:dyDescent="0.2">
      <c r="B353" s="2135" t="s">
        <v>33</v>
      </c>
      <c r="C353" s="2148" t="s">
        <v>1367</v>
      </c>
      <c r="D353" s="2138" t="s">
        <v>553</v>
      </c>
      <c r="E353" s="2139">
        <v>1</v>
      </c>
      <c r="F353" s="2045">
        <v>0</v>
      </c>
      <c r="G353" s="2046">
        <f>F353*E353</f>
        <v>0</v>
      </c>
    </row>
    <row r="354" spans="2:10" x14ac:dyDescent="0.2">
      <c r="B354" s="2135"/>
      <c r="C354" s="2221"/>
      <c r="D354" s="2138"/>
      <c r="E354" s="2139"/>
      <c r="F354" s="2140"/>
      <c r="G354" s="2141"/>
    </row>
    <row r="355" spans="2:10" ht="24" x14ac:dyDescent="0.2">
      <c r="B355" s="2135" t="s">
        <v>38</v>
      </c>
      <c r="C355" s="2221" t="s">
        <v>695</v>
      </c>
      <c r="D355" s="2138" t="s">
        <v>553</v>
      </c>
      <c r="E355" s="2139">
        <v>1</v>
      </c>
      <c r="F355" s="2045">
        <v>0</v>
      </c>
      <c r="G355" s="2046">
        <f>F355*E355</f>
        <v>0</v>
      </c>
    </row>
    <row r="356" spans="2:10" x14ac:dyDescent="0.2">
      <c r="B356" s="2135"/>
      <c r="C356" s="2221"/>
      <c r="D356" s="2138"/>
      <c r="E356" s="2139"/>
      <c r="F356" s="2140"/>
      <c r="G356" s="2141"/>
    </row>
    <row r="357" spans="2:10" x14ac:dyDescent="0.2">
      <c r="B357" s="2135" t="s">
        <v>43</v>
      </c>
      <c r="C357" s="2221" t="s">
        <v>696</v>
      </c>
      <c r="D357" s="2138" t="s">
        <v>644</v>
      </c>
      <c r="E357" s="2139">
        <v>60</v>
      </c>
      <c r="F357" s="2045">
        <v>0</v>
      </c>
      <c r="G357" s="2046">
        <f>F357*E357</f>
        <v>0</v>
      </c>
    </row>
    <row r="358" spans="2:10" x14ac:dyDescent="0.2">
      <c r="B358" s="2135"/>
      <c r="C358" s="2221"/>
      <c r="D358" s="2138"/>
      <c r="E358" s="2139"/>
      <c r="F358" s="2140"/>
      <c r="G358" s="2141"/>
    </row>
    <row r="359" spans="2:10" x14ac:dyDescent="0.2">
      <c r="B359" s="2135" t="s">
        <v>562</v>
      </c>
      <c r="C359" s="2221" t="s">
        <v>697</v>
      </c>
      <c r="D359" s="2138" t="s">
        <v>553</v>
      </c>
      <c r="E359" s="2139">
        <v>1</v>
      </c>
      <c r="F359" s="2045">
        <v>0</v>
      </c>
      <c r="G359" s="2046">
        <f>F359*E359</f>
        <v>0</v>
      </c>
    </row>
    <row r="360" spans="2:10" x14ac:dyDescent="0.2">
      <c r="B360" s="2135"/>
      <c r="C360" s="2221"/>
      <c r="D360" s="2138"/>
      <c r="E360" s="2139"/>
      <c r="F360" s="2140"/>
      <c r="G360" s="2141"/>
    </row>
    <row r="361" spans="2:10" x14ac:dyDescent="0.2">
      <c r="B361" s="2135" t="s">
        <v>564</v>
      </c>
      <c r="C361" s="2221" t="s">
        <v>698</v>
      </c>
      <c r="D361" s="2138" t="s">
        <v>553</v>
      </c>
      <c r="E361" s="2139">
        <v>1</v>
      </c>
      <c r="F361" s="2045">
        <v>0</v>
      </c>
      <c r="G361" s="2046">
        <f>F361*E361</f>
        <v>0</v>
      </c>
    </row>
    <row r="362" spans="2:10" x14ac:dyDescent="0.2">
      <c r="B362" s="2135"/>
      <c r="C362" s="2221"/>
      <c r="D362" s="2138"/>
      <c r="E362" s="2139"/>
      <c r="F362" s="2140"/>
      <c r="G362" s="2141"/>
    </row>
    <row r="363" spans="2:10" ht="24" x14ac:dyDescent="0.2">
      <c r="B363" s="2135" t="s">
        <v>566</v>
      </c>
      <c r="C363" s="2221" t="s">
        <v>699</v>
      </c>
      <c r="D363" s="2138" t="s">
        <v>553</v>
      </c>
      <c r="E363" s="2139">
        <v>1</v>
      </c>
      <c r="F363" s="2045">
        <v>0</v>
      </c>
      <c r="G363" s="2046">
        <f>F363*E363</f>
        <v>0</v>
      </c>
    </row>
    <row r="364" spans="2:10" x14ac:dyDescent="0.2">
      <c r="B364" s="2135"/>
      <c r="C364" s="2221"/>
      <c r="D364" s="2138"/>
      <c r="E364" s="2139"/>
      <c r="F364" s="2140"/>
      <c r="G364" s="2141"/>
    </row>
    <row r="365" spans="2:10" x14ac:dyDescent="0.2">
      <c r="B365" s="2152"/>
      <c r="C365" s="2157"/>
      <c r="D365" s="2271"/>
      <c r="E365" s="2272"/>
      <c r="F365" s="2273"/>
      <c r="G365" s="2384"/>
    </row>
    <row r="366" spans="2:10" s="723" customFormat="1" x14ac:dyDescent="0.2">
      <c r="B366" s="702" t="s">
        <v>18</v>
      </c>
      <c r="C366" s="1052" t="s">
        <v>794</v>
      </c>
      <c r="D366" s="1053"/>
      <c r="E366" s="1054"/>
      <c r="F366" s="1055"/>
      <c r="G366" s="1029">
        <f>SUM(G127:G364)</f>
        <v>0</v>
      </c>
      <c r="H366" s="744"/>
      <c r="J366" s="996"/>
    </row>
    <row r="367" spans="2:10" x14ac:dyDescent="0.2">
      <c r="B367" s="560"/>
      <c r="C367" s="549"/>
      <c r="D367" s="561"/>
      <c r="E367" s="2653"/>
      <c r="F367" s="558"/>
      <c r="G367" s="558"/>
    </row>
    <row r="368" spans="2:10" x14ac:dyDescent="0.2">
      <c r="B368" s="560"/>
      <c r="C368" s="549"/>
      <c r="D368" s="561"/>
      <c r="E368" s="2653"/>
      <c r="F368" s="558"/>
      <c r="G368" s="558"/>
    </row>
    <row r="369" spans="2:7" x14ac:dyDescent="0.2">
      <c r="B369" s="560"/>
      <c r="C369" s="549"/>
      <c r="D369" s="561"/>
      <c r="E369" s="2653"/>
      <c r="F369" s="558"/>
      <c r="G369" s="558"/>
    </row>
    <row r="370" spans="2:7" x14ac:dyDescent="0.2">
      <c r="B370" s="560"/>
      <c r="C370" s="549"/>
      <c r="D370" s="561"/>
      <c r="E370" s="2653"/>
      <c r="F370" s="558"/>
      <c r="G370" s="558"/>
    </row>
    <row r="371" spans="2:7" x14ac:dyDescent="0.2">
      <c r="B371" s="560"/>
      <c r="C371" s="549"/>
      <c r="D371" s="561"/>
      <c r="E371" s="2653"/>
      <c r="F371" s="558"/>
      <c r="G371" s="558"/>
    </row>
    <row r="372" spans="2:7" x14ac:dyDescent="0.2">
      <c r="B372" s="560"/>
      <c r="C372" s="549"/>
      <c r="D372" s="561"/>
      <c r="E372" s="2653"/>
      <c r="F372" s="558"/>
      <c r="G372" s="558"/>
    </row>
    <row r="373" spans="2:7" x14ac:dyDescent="0.2">
      <c r="B373" s="560"/>
      <c r="C373" s="549"/>
      <c r="D373" s="561"/>
      <c r="E373" s="2653"/>
      <c r="F373" s="558"/>
      <c r="G373" s="558"/>
    </row>
    <row r="374" spans="2:7" x14ac:dyDescent="0.2">
      <c r="B374" s="560"/>
      <c r="C374" s="549"/>
      <c r="D374" s="561"/>
      <c r="E374" s="2653"/>
      <c r="F374" s="558"/>
      <c r="G374" s="558"/>
    </row>
    <row r="375" spans="2:7" x14ac:dyDescent="0.2">
      <c r="B375" s="560"/>
      <c r="C375" s="549"/>
      <c r="D375" s="561"/>
      <c r="E375" s="2653"/>
      <c r="F375" s="558"/>
      <c r="G375" s="558"/>
    </row>
    <row r="376" spans="2:7" x14ac:dyDescent="0.2">
      <c r="B376" s="560"/>
      <c r="C376" s="549"/>
      <c r="D376" s="561"/>
      <c r="E376" s="2653"/>
      <c r="F376" s="558"/>
      <c r="G376" s="558"/>
    </row>
    <row r="377" spans="2:7" x14ac:dyDescent="0.2">
      <c r="B377" s="560"/>
      <c r="C377" s="549"/>
      <c r="D377" s="561"/>
      <c r="E377" s="2653"/>
      <c r="F377" s="558"/>
      <c r="G377" s="558"/>
    </row>
    <row r="378" spans="2:7" x14ac:dyDescent="0.2">
      <c r="B378" s="560"/>
      <c r="C378" s="549"/>
      <c r="D378" s="561"/>
      <c r="E378" s="2653"/>
      <c r="F378" s="558"/>
      <c r="G378" s="558"/>
    </row>
    <row r="379" spans="2:7" x14ac:dyDescent="0.2">
      <c r="B379" s="560"/>
      <c r="C379" s="549"/>
      <c r="D379" s="561"/>
      <c r="E379" s="2653"/>
      <c r="F379" s="558"/>
      <c r="G379" s="558"/>
    </row>
    <row r="380" spans="2:7" x14ac:dyDescent="0.2">
      <c r="B380" s="560"/>
      <c r="C380" s="549"/>
      <c r="D380" s="561"/>
      <c r="E380" s="2653"/>
      <c r="F380" s="558"/>
      <c r="G380" s="558"/>
    </row>
    <row r="381" spans="2:7" x14ac:dyDescent="0.2">
      <c r="B381" s="560"/>
      <c r="C381" s="549"/>
      <c r="D381" s="561"/>
      <c r="E381" s="2653"/>
      <c r="F381" s="558"/>
      <c r="G381" s="558"/>
    </row>
    <row r="382" spans="2:7" x14ac:dyDescent="0.2">
      <c r="B382" s="560"/>
      <c r="C382" s="549"/>
      <c r="D382" s="561"/>
      <c r="E382" s="2653"/>
      <c r="F382" s="558"/>
      <c r="G382" s="558"/>
    </row>
    <row r="383" spans="2:7" x14ac:dyDescent="0.2">
      <c r="B383" s="560"/>
      <c r="C383" s="549"/>
      <c r="D383" s="561"/>
      <c r="E383" s="2653"/>
      <c r="F383" s="558"/>
      <c r="G383" s="558"/>
    </row>
    <row r="384" spans="2:7" x14ac:dyDescent="0.2">
      <c r="B384" s="560"/>
      <c r="C384" s="549"/>
      <c r="D384" s="561"/>
      <c r="E384" s="2653"/>
      <c r="F384" s="558"/>
      <c r="G384" s="558"/>
    </row>
    <row r="385" spans="2:7" x14ac:dyDescent="0.2">
      <c r="B385" s="560"/>
      <c r="C385" s="549"/>
      <c r="D385" s="561"/>
      <c r="E385" s="2653"/>
      <c r="F385" s="558"/>
      <c r="G385" s="558"/>
    </row>
    <row r="386" spans="2:7" x14ac:dyDescent="0.2">
      <c r="B386" s="560"/>
      <c r="C386" s="549"/>
      <c r="D386" s="561"/>
      <c r="E386" s="2653"/>
      <c r="F386" s="558"/>
      <c r="G386" s="558"/>
    </row>
    <row r="387" spans="2:7" x14ac:dyDescent="0.2">
      <c r="B387" s="560"/>
      <c r="C387" s="549"/>
      <c r="D387" s="561"/>
      <c r="E387" s="2653"/>
      <c r="F387" s="558"/>
      <c r="G387" s="558"/>
    </row>
    <row r="388" spans="2:7" x14ac:dyDescent="0.2">
      <c r="B388" s="560"/>
      <c r="C388" s="549"/>
      <c r="D388" s="561"/>
      <c r="E388" s="2653"/>
      <c r="F388" s="558"/>
      <c r="G388" s="558"/>
    </row>
    <row r="389" spans="2:7" x14ac:dyDescent="0.2">
      <c r="B389" s="560"/>
      <c r="C389" s="549"/>
      <c r="D389" s="561"/>
      <c r="E389" s="2653"/>
      <c r="F389" s="558"/>
      <c r="G389" s="558"/>
    </row>
    <row r="390" spans="2:7" x14ac:dyDescent="0.2">
      <c r="B390" s="560"/>
      <c r="C390" s="549"/>
      <c r="D390" s="561"/>
      <c r="E390" s="2653"/>
      <c r="F390" s="558"/>
      <c r="G390" s="558"/>
    </row>
    <row r="391" spans="2:7" x14ac:dyDescent="0.2">
      <c r="B391" s="560"/>
      <c r="C391" s="549"/>
      <c r="D391" s="561"/>
      <c r="E391" s="2653"/>
      <c r="F391" s="558"/>
      <c r="G391" s="558"/>
    </row>
    <row r="392" spans="2:7" x14ac:dyDescent="0.2">
      <c r="B392" s="560"/>
      <c r="C392" s="549"/>
      <c r="D392" s="561"/>
      <c r="E392" s="2653"/>
      <c r="F392" s="558"/>
      <c r="G392" s="558"/>
    </row>
    <row r="393" spans="2:7" x14ac:dyDescent="0.2">
      <c r="B393" s="560"/>
      <c r="C393" s="549"/>
      <c r="D393" s="561"/>
      <c r="E393" s="2653"/>
      <c r="F393" s="558"/>
      <c r="G393" s="558"/>
    </row>
    <row r="394" spans="2:7" x14ac:dyDescent="0.2">
      <c r="B394" s="560"/>
      <c r="C394" s="549"/>
      <c r="D394" s="561"/>
      <c r="E394" s="2653"/>
      <c r="F394" s="558"/>
      <c r="G394" s="558"/>
    </row>
    <row r="395" spans="2:7" x14ac:dyDescent="0.2">
      <c r="B395" s="560"/>
      <c r="C395" s="549"/>
      <c r="D395" s="561"/>
      <c r="E395" s="2653"/>
      <c r="F395" s="558"/>
      <c r="G395" s="558"/>
    </row>
    <row r="396" spans="2:7" x14ac:dyDescent="0.2">
      <c r="B396" s="560"/>
      <c r="C396" s="549"/>
      <c r="D396" s="561"/>
      <c r="E396" s="2653"/>
      <c r="F396" s="558"/>
      <c r="G396" s="558"/>
    </row>
    <row r="397" spans="2:7" x14ac:dyDescent="0.2">
      <c r="B397" s="560"/>
      <c r="C397" s="549"/>
      <c r="D397" s="561"/>
      <c r="E397" s="2653"/>
      <c r="F397" s="558"/>
      <c r="G397" s="558"/>
    </row>
    <row r="398" spans="2:7" x14ac:dyDescent="0.2">
      <c r="B398" s="560"/>
      <c r="C398" s="549"/>
      <c r="D398" s="561"/>
      <c r="E398" s="2653"/>
      <c r="F398" s="558"/>
      <c r="G398" s="558"/>
    </row>
    <row r="399" spans="2:7" x14ac:dyDescent="0.2">
      <c r="B399" s="560"/>
      <c r="C399" s="549"/>
      <c r="D399" s="561"/>
      <c r="E399" s="2653"/>
      <c r="F399" s="558"/>
      <c r="G399" s="558"/>
    </row>
    <row r="400" spans="2:7" x14ac:dyDescent="0.2">
      <c r="B400" s="560"/>
      <c r="C400" s="549"/>
      <c r="D400" s="561"/>
      <c r="E400" s="2653"/>
      <c r="F400" s="558"/>
      <c r="G400" s="558"/>
    </row>
    <row r="401" spans="2:7" x14ac:dyDescent="0.2">
      <c r="B401" s="560"/>
      <c r="C401" s="549"/>
      <c r="D401" s="561"/>
      <c r="E401" s="2653"/>
      <c r="F401" s="558"/>
      <c r="G401" s="558"/>
    </row>
    <row r="402" spans="2:7" x14ac:dyDescent="0.2">
      <c r="B402" s="560"/>
      <c r="C402" s="549"/>
      <c r="D402" s="561"/>
      <c r="E402" s="2653"/>
      <c r="F402" s="558"/>
      <c r="G402" s="558"/>
    </row>
    <row r="403" spans="2:7" x14ac:dyDescent="0.2">
      <c r="B403" s="560"/>
      <c r="C403" s="549"/>
      <c r="D403" s="561"/>
      <c r="E403" s="2653"/>
      <c r="F403" s="558"/>
      <c r="G403" s="558"/>
    </row>
    <row r="404" spans="2:7" x14ac:dyDescent="0.2">
      <c r="B404" s="560"/>
      <c r="C404" s="549"/>
      <c r="D404" s="561"/>
      <c r="E404" s="2653"/>
      <c r="F404" s="558"/>
      <c r="G404" s="558"/>
    </row>
    <row r="405" spans="2:7" x14ac:dyDescent="0.2">
      <c r="B405" s="560"/>
      <c r="C405" s="549"/>
      <c r="D405" s="561"/>
      <c r="E405" s="2653"/>
      <c r="F405" s="558"/>
      <c r="G405" s="558"/>
    </row>
    <row r="406" spans="2:7" x14ac:dyDescent="0.2">
      <c r="B406" s="560"/>
      <c r="C406" s="549"/>
      <c r="D406" s="561"/>
      <c r="E406" s="2653"/>
      <c r="F406" s="558"/>
      <c r="G406" s="558"/>
    </row>
    <row r="407" spans="2:7" x14ac:dyDescent="0.2">
      <c r="B407" s="560"/>
      <c r="C407" s="549"/>
      <c r="D407" s="561"/>
      <c r="E407" s="2653"/>
      <c r="F407" s="558"/>
      <c r="G407" s="558"/>
    </row>
    <row r="408" spans="2:7" x14ac:dyDescent="0.2">
      <c r="B408" s="560"/>
      <c r="C408" s="549"/>
      <c r="D408" s="561"/>
      <c r="E408" s="2653"/>
      <c r="F408" s="558"/>
      <c r="G408" s="558"/>
    </row>
    <row r="409" spans="2:7" x14ac:dyDescent="0.2">
      <c r="B409" s="560"/>
      <c r="C409" s="549"/>
      <c r="D409" s="561"/>
      <c r="E409" s="2653"/>
      <c r="F409" s="558"/>
      <c r="G409" s="558"/>
    </row>
    <row r="410" spans="2:7" x14ac:dyDescent="0.2">
      <c r="B410" s="560"/>
      <c r="C410" s="549"/>
      <c r="D410" s="561"/>
      <c r="E410" s="2653"/>
      <c r="F410" s="558"/>
      <c r="G410" s="558"/>
    </row>
    <row r="411" spans="2:7" x14ac:dyDescent="0.2">
      <c r="B411" s="560"/>
      <c r="C411" s="549"/>
      <c r="D411" s="561"/>
      <c r="E411" s="2653"/>
      <c r="F411" s="558"/>
      <c r="G411" s="558"/>
    </row>
    <row r="412" spans="2:7" x14ac:dyDescent="0.2">
      <c r="B412" s="560"/>
      <c r="C412" s="549"/>
      <c r="D412" s="561"/>
      <c r="E412" s="2653"/>
      <c r="F412" s="558"/>
      <c r="G412" s="558"/>
    </row>
    <row r="413" spans="2:7" x14ac:dyDescent="0.2">
      <c r="B413" s="560"/>
      <c r="C413" s="549"/>
      <c r="D413" s="561"/>
      <c r="E413" s="2653"/>
      <c r="F413" s="558"/>
      <c r="G413" s="558"/>
    </row>
    <row r="414" spans="2:7" x14ac:dyDescent="0.2">
      <c r="B414" s="560"/>
      <c r="C414" s="549"/>
      <c r="D414" s="561"/>
      <c r="E414" s="2653"/>
      <c r="F414" s="558"/>
      <c r="G414" s="558"/>
    </row>
    <row r="415" spans="2:7" x14ac:dyDescent="0.2">
      <c r="B415" s="560"/>
      <c r="C415" s="549"/>
      <c r="D415" s="561"/>
      <c r="E415" s="2653"/>
      <c r="F415" s="558"/>
      <c r="G415" s="558"/>
    </row>
    <row r="416" spans="2:7" x14ac:dyDescent="0.2">
      <c r="B416" s="560"/>
      <c r="C416" s="549"/>
      <c r="D416" s="561"/>
      <c r="E416" s="2653"/>
      <c r="F416" s="558"/>
      <c r="G416" s="558"/>
    </row>
    <row r="417" spans="2:7" x14ac:dyDescent="0.2">
      <c r="B417" s="560"/>
      <c r="C417" s="549"/>
      <c r="D417" s="561"/>
      <c r="E417" s="2653"/>
      <c r="F417" s="558"/>
      <c r="G417" s="558"/>
    </row>
    <row r="418" spans="2:7" x14ac:dyDescent="0.2">
      <c r="B418" s="560"/>
      <c r="C418" s="549"/>
      <c r="D418" s="561"/>
      <c r="E418" s="2653"/>
      <c r="F418" s="558"/>
      <c r="G418" s="558"/>
    </row>
    <row r="419" spans="2:7" x14ac:dyDescent="0.2">
      <c r="B419" s="560"/>
      <c r="C419" s="549"/>
      <c r="D419" s="561"/>
      <c r="E419" s="2653"/>
      <c r="F419" s="558"/>
      <c r="G419" s="558"/>
    </row>
    <row r="420" spans="2:7" x14ac:dyDescent="0.2">
      <c r="B420" s="560"/>
      <c r="C420" s="549"/>
      <c r="D420" s="561"/>
      <c r="E420" s="2653"/>
      <c r="F420" s="558"/>
      <c r="G420" s="558"/>
    </row>
    <row r="421" spans="2:7" x14ac:dyDescent="0.2">
      <c r="B421" s="560"/>
      <c r="C421" s="549"/>
      <c r="D421" s="561"/>
      <c r="E421" s="2653"/>
      <c r="F421" s="558"/>
      <c r="G421" s="558"/>
    </row>
    <row r="422" spans="2:7" x14ac:dyDescent="0.2">
      <c r="B422" s="560"/>
      <c r="C422" s="549"/>
      <c r="D422" s="561"/>
      <c r="E422" s="2653"/>
      <c r="F422" s="558"/>
      <c r="G422" s="558"/>
    </row>
    <row r="423" spans="2:7" x14ac:dyDescent="0.2">
      <c r="B423" s="560"/>
      <c r="C423" s="549"/>
      <c r="D423" s="561"/>
      <c r="E423" s="2653"/>
      <c r="F423" s="558"/>
      <c r="G423" s="558"/>
    </row>
    <row r="424" spans="2:7" x14ac:dyDescent="0.2">
      <c r="B424" s="560"/>
      <c r="C424" s="549"/>
      <c r="D424" s="561"/>
      <c r="E424" s="2653"/>
      <c r="F424" s="558"/>
      <c r="G424" s="558"/>
    </row>
    <row r="425" spans="2:7" x14ac:dyDescent="0.2">
      <c r="B425" s="560"/>
      <c r="C425" s="549"/>
      <c r="D425" s="561"/>
      <c r="E425" s="2653"/>
      <c r="F425" s="558"/>
      <c r="G425" s="558"/>
    </row>
    <row r="426" spans="2:7" x14ac:dyDescent="0.2">
      <c r="B426" s="560"/>
      <c r="C426" s="549"/>
      <c r="D426" s="561"/>
      <c r="E426" s="2653"/>
      <c r="F426" s="558"/>
      <c r="G426" s="558"/>
    </row>
    <row r="427" spans="2:7" x14ac:dyDescent="0.2">
      <c r="B427" s="560"/>
      <c r="C427" s="549"/>
      <c r="D427" s="561"/>
      <c r="E427" s="2653"/>
      <c r="F427" s="558"/>
      <c r="G427" s="558"/>
    </row>
    <row r="428" spans="2:7" x14ac:dyDescent="0.2">
      <c r="B428" s="560"/>
      <c r="C428" s="549"/>
      <c r="D428" s="561"/>
      <c r="E428" s="2653"/>
      <c r="F428" s="558"/>
      <c r="G428" s="558"/>
    </row>
    <row r="429" spans="2:7" x14ac:dyDescent="0.2">
      <c r="B429" s="560"/>
      <c r="C429" s="549"/>
      <c r="D429" s="561"/>
      <c r="E429" s="2653"/>
      <c r="F429" s="558"/>
      <c r="G429" s="558"/>
    </row>
    <row r="430" spans="2:7" x14ac:dyDescent="0.2">
      <c r="B430" s="560"/>
      <c r="C430" s="549"/>
      <c r="D430" s="561"/>
      <c r="E430" s="2653"/>
      <c r="F430" s="558"/>
      <c r="G430" s="558"/>
    </row>
    <row r="431" spans="2:7" x14ac:dyDescent="0.2">
      <c r="B431" s="560"/>
      <c r="C431" s="549"/>
      <c r="D431" s="561"/>
      <c r="E431" s="2653"/>
      <c r="F431" s="558"/>
      <c r="G431" s="558"/>
    </row>
    <row r="432" spans="2:7" x14ac:dyDescent="0.2">
      <c r="B432" s="560"/>
      <c r="C432" s="549"/>
      <c r="D432" s="561"/>
      <c r="E432" s="2653"/>
      <c r="F432" s="558"/>
      <c r="G432" s="558"/>
    </row>
    <row r="433" spans="2:7" x14ac:dyDescent="0.2">
      <c r="B433" s="560"/>
      <c r="C433" s="549"/>
      <c r="D433" s="561"/>
      <c r="E433" s="2653"/>
      <c r="F433" s="558"/>
      <c r="G433" s="558"/>
    </row>
    <row r="434" spans="2:7" x14ac:dyDescent="0.2">
      <c r="B434" s="560"/>
      <c r="C434" s="549"/>
      <c r="D434" s="561"/>
      <c r="E434" s="2653"/>
      <c r="F434" s="558"/>
      <c r="G434" s="558"/>
    </row>
    <row r="435" spans="2:7" x14ac:dyDescent="0.2">
      <c r="B435" s="560"/>
      <c r="C435" s="549"/>
      <c r="D435" s="561"/>
      <c r="E435" s="2653"/>
      <c r="F435" s="558"/>
      <c r="G435" s="558"/>
    </row>
    <row r="436" spans="2:7" x14ac:dyDescent="0.2">
      <c r="B436" s="560"/>
      <c r="C436" s="549"/>
      <c r="D436" s="561"/>
      <c r="E436" s="2653"/>
      <c r="F436" s="558"/>
      <c r="G436" s="558"/>
    </row>
    <row r="437" spans="2:7" x14ac:dyDescent="0.2">
      <c r="B437" s="560"/>
      <c r="C437" s="549"/>
      <c r="D437" s="561"/>
      <c r="E437" s="2653"/>
      <c r="F437" s="558"/>
      <c r="G437" s="558"/>
    </row>
    <row r="438" spans="2:7" x14ac:dyDescent="0.2">
      <c r="B438" s="560"/>
      <c r="C438" s="549"/>
      <c r="D438" s="561"/>
      <c r="E438" s="2653"/>
      <c r="F438" s="558"/>
      <c r="G438" s="558"/>
    </row>
    <row r="439" spans="2:7" x14ac:dyDescent="0.2">
      <c r="B439" s="560"/>
      <c r="C439" s="549"/>
      <c r="D439" s="561"/>
      <c r="E439" s="2653"/>
      <c r="F439" s="558"/>
      <c r="G439" s="558"/>
    </row>
    <row r="440" spans="2:7" x14ac:dyDescent="0.2">
      <c r="B440" s="560"/>
      <c r="C440" s="549"/>
      <c r="D440" s="561"/>
      <c r="E440" s="2653"/>
      <c r="F440" s="558"/>
      <c r="G440" s="558"/>
    </row>
    <row r="441" spans="2:7" x14ac:dyDescent="0.2">
      <c r="B441" s="560"/>
      <c r="C441" s="549"/>
      <c r="D441" s="561"/>
      <c r="E441" s="2653"/>
      <c r="F441" s="558"/>
      <c r="G441" s="558"/>
    </row>
    <row r="442" spans="2:7" x14ac:dyDescent="0.2">
      <c r="B442" s="560"/>
      <c r="C442" s="549"/>
      <c r="D442" s="561"/>
      <c r="E442" s="2653"/>
      <c r="F442" s="558"/>
      <c r="G442" s="558"/>
    </row>
    <row r="443" spans="2:7" x14ac:dyDescent="0.2">
      <c r="B443" s="560"/>
      <c r="C443" s="549"/>
      <c r="D443" s="561"/>
      <c r="E443" s="2653"/>
      <c r="F443" s="558"/>
      <c r="G443" s="558"/>
    </row>
    <row r="444" spans="2:7" x14ac:dyDescent="0.2">
      <c r="B444" s="560"/>
      <c r="C444" s="549"/>
      <c r="D444" s="561"/>
      <c r="E444" s="2653"/>
      <c r="F444" s="558"/>
      <c r="G444" s="558"/>
    </row>
    <row r="445" spans="2:7" x14ac:dyDescent="0.2">
      <c r="B445" s="560"/>
      <c r="C445" s="549"/>
      <c r="D445" s="561"/>
      <c r="E445" s="2653"/>
      <c r="F445" s="558"/>
      <c r="G445" s="558"/>
    </row>
    <row r="446" spans="2:7" x14ac:dyDescent="0.2">
      <c r="B446" s="560"/>
      <c r="C446" s="549"/>
      <c r="D446" s="561"/>
      <c r="E446" s="2653"/>
      <c r="F446" s="558"/>
      <c r="G446" s="558"/>
    </row>
    <row r="447" spans="2:7" x14ac:dyDescent="0.2">
      <c r="B447" s="560"/>
      <c r="C447" s="549"/>
      <c r="D447" s="561"/>
      <c r="E447" s="2653"/>
      <c r="F447" s="558"/>
      <c r="G447" s="558"/>
    </row>
    <row r="448" spans="2:7" x14ac:dyDescent="0.2">
      <c r="B448" s="560"/>
      <c r="C448" s="549"/>
      <c r="D448" s="561"/>
      <c r="E448" s="2653"/>
      <c r="F448" s="558"/>
      <c r="G448" s="558"/>
    </row>
    <row r="449" spans="2:7" x14ac:dyDescent="0.2">
      <c r="B449" s="560"/>
      <c r="C449" s="549"/>
      <c r="D449" s="561"/>
      <c r="E449" s="2653"/>
      <c r="F449" s="558"/>
      <c r="G449" s="558"/>
    </row>
    <row r="450" spans="2:7" x14ac:dyDescent="0.2">
      <c r="B450" s="560"/>
      <c r="C450" s="549"/>
      <c r="D450" s="561"/>
      <c r="E450" s="2653"/>
      <c r="F450" s="558"/>
      <c r="G450" s="558"/>
    </row>
    <row r="451" spans="2:7" x14ac:dyDescent="0.2">
      <c r="B451" s="560"/>
      <c r="C451" s="549"/>
      <c r="D451" s="561"/>
      <c r="E451" s="2653"/>
      <c r="F451" s="558"/>
      <c r="G451" s="558"/>
    </row>
    <row r="452" spans="2:7" x14ac:dyDescent="0.2">
      <c r="B452" s="560"/>
      <c r="C452" s="549"/>
      <c r="D452" s="561"/>
      <c r="E452" s="2653"/>
      <c r="F452" s="558"/>
      <c r="G452" s="558"/>
    </row>
    <row r="453" spans="2:7" x14ac:dyDescent="0.2">
      <c r="B453" s="560"/>
      <c r="C453" s="549"/>
      <c r="D453" s="561"/>
      <c r="E453" s="2653"/>
      <c r="F453" s="558"/>
      <c r="G453" s="558"/>
    </row>
    <row r="454" spans="2:7" x14ac:dyDescent="0.2">
      <c r="B454" s="560"/>
      <c r="C454" s="549"/>
      <c r="D454" s="561"/>
      <c r="E454" s="2653"/>
      <c r="F454" s="558"/>
      <c r="G454" s="558"/>
    </row>
    <row r="455" spans="2:7" x14ac:dyDescent="0.2">
      <c r="B455" s="560"/>
      <c r="C455" s="549"/>
      <c r="D455" s="561"/>
      <c r="E455" s="2653"/>
      <c r="F455" s="558"/>
      <c r="G455" s="558"/>
    </row>
    <row r="456" spans="2:7" x14ac:dyDescent="0.2">
      <c r="B456" s="560"/>
      <c r="C456" s="549"/>
      <c r="D456" s="561"/>
      <c r="E456" s="2653"/>
      <c r="F456" s="558"/>
      <c r="G456" s="558"/>
    </row>
    <row r="457" spans="2:7" x14ac:dyDescent="0.2">
      <c r="B457" s="560"/>
      <c r="C457" s="549"/>
      <c r="D457" s="561"/>
      <c r="E457" s="2653"/>
      <c r="F457" s="558"/>
      <c r="G457" s="558"/>
    </row>
    <row r="458" spans="2:7" x14ac:dyDescent="0.2">
      <c r="B458" s="560"/>
      <c r="C458" s="549"/>
      <c r="D458" s="561"/>
      <c r="E458" s="2653"/>
      <c r="F458" s="558"/>
      <c r="G458" s="558"/>
    </row>
    <row r="459" spans="2:7" x14ac:dyDescent="0.2">
      <c r="B459" s="560"/>
      <c r="C459" s="549"/>
      <c r="D459" s="561"/>
      <c r="E459" s="2653"/>
      <c r="F459" s="558"/>
      <c r="G459" s="558"/>
    </row>
    <row r="460" spans="2:7" x14ac:dyDescent="0.2">
      <c r="B460" s="560"/>
      <c r="C460" s="549"/>
      <c r="D460" s="561"/>
      <c r="E460" s="2653"/>
      <c r="F460" s="558"/>
      <c r="G460" s="558"/>
    </row>
    <row r="461" spans="2:7" x14ac:dyDescent="0.2">
      <c r="B461" s="560"/>
      <c r="C461" s="549"/>
      <c r="D461" s="561"/>
      <c r="E461" s="2653"/>
      <c r="F461" s="558"/>
      <c r="G461" s="558"/>
    </row>
    <row r="462" spans="2:7" x14ac:dyDescent="0.2">
      <c r="B462" s="560"/>
      <c r="C462" s="549"/>
      <c r="D462" s="561"/>
      <c r="E462" s="2653"/>
      <c r="F462" s="558"/>
      <c r="G462" s="558"/>
    </row>
    <row r="463" spans="2:7" x14ac:dyDescent="0.2">
      <c r="B463" s="560"/>
      <c r="C463" s="549"/>
      <c r="D463" s="561"/>
      <c r="E463" s="2653"/>
      <c r="F463" s="558"/>
      <c r="G463" s="558"/>
    </row>
    <row r="464" spans="2:7" x14ac:dyDescent="0.2">
      <c r="B464" s="560"/>
      <c r="C464" s="549"/>
      <c r="D464" s="561"/>
      <c r="E464" s="2653"/>
      <c r="F464" s="558"/>
      <c r="G464" s="558"/>
    </row>
    <row r="465" spans="2:7" x14ac:dyDescent="0.2">
      <c r="B465" s="560"/>
      <c r="C465" s="549"/>
      <c r="D465" s="561"/>
      <c r="E465" s="2653"/>
      <c r="F465" s="558"/>
      <c r="G465" s="558"/>
    </row>
    <row r="466" spans="2:7" x14ac:dyDescent="0.2">
      <c r="B466" s="560"/>
      <c r="C466" s="549"/>
      <c r="D466" s="561"/>
      <c r="E466" s="2653"/>
      <c r="F466" s="558"/>
      <c r="G466" s="558"/>
    </row>
    <row r="467" spans="2:7" x14ac:dyDescent="0.2">
      <c r="B467" s="560"/>
      <c r="C467" s="549"/>
      <c r="D467" s="561"/>
      <c r="E467" s="2653"/>
      <c r="F467" s="558"/>
      <c r="G467" s="558"/>
    </row>
    <row r="468" spans="2:7" x14ac:dyDescent="0.2">
      <c r="B468" s="560"/>
      <c r="C468" s="549"/>
      <c r="D468" s="561"/>
      <c r="E468" s="2653"/>
      <c r="F468" s="558"/>
      <c r="G468" s="558"/>
    </row>
    <row r="469" spans="2:7" x14ac:dyDescent="0.2">
      <c r="B469" s="560"/>
      <c r="C469" s="549"/>
      <c r="D469" s="561"/>
      <c r="E469" s="2653"/>
      <c r="F469" s="558"/>
      <c r="G469" s="558"/>
    </row>
    <row r="470" spans="2:7" x14ac:dyDescent="0.2">
      <c r="B470" s="560"/>
      <c r="C470" s="549"/>
      <c r="D470" s="561"/>
      <c r="E470" s="2653"/>
      <c r="F470" s="558"/>
      <c r="G470" s="558"/>
    </row>
    <row r="668" spans="2:7" x14ac:dyDescent="0.2">
      <c r="B668" s="560"/>
      <c r="C668" s="549"/>
      <c r="D668" s="561"/>
      <c r="E668" s="2653"/>
      <c r="F668" s="558"/>
      <c r="G668" s="558"/>
    </row>
    <row r="669" spans="2:7" x14ac:dyDescent="0.2">
      <c r="B669" s="560"/>
      <c r="C669" s="549"/>
      <c r="D669" s="561"/>
      <c r="E669" s="2653"/>
      <c r="F669" s="558"/>
      <c r="G669" s="558"/>
    </row>
    <row r="670" spans="2:7" x14ac:dyDescent="0.2">
      <c r="B670" s="560"/>
      <c r="C670" s="549"/>
      <c r="D670" s="561"/>
      <c r="E670" s="2653"/>
      <c r="F670" s="558"/>
      <c r="G670" s="558"/>
    </row>
    <row r="671" spans="2:7" x14ac:dyDescent="0.2">
      <c r="B671" s="560"/>
      <c r="C671" s="549"/>
      <c r="D671" s="561"/>
      <c r="E671" s="2653"/>
      <c r="F671" s="558"/>
      <c r="G671" s="558"/>
    </row>
    <row r="672" spans="2:7" x14ac:dyDescent="0.2">
      <c r="B672" s="560"/>
      <c r="C672" s="549"/>
      <c r="D672" s="561"/>
      <c r="E672" s="2653"/>
      <c r="F672" s="558"/>
      <c r="G672" s="558"/>
    </row>
    <row r="673" spans="2:7" x14ac:dyDescent="0.2">
      <c r="B673" s="560"/>
      <c r="C673" s="549"/>
      <c r="D673" s="561"/>
      <c r="E673" s="2653"/>
      <c r="F673" s="558"/>
      <c r="G673" s="558"/>
    </row>
    <row r="674" spans="2:7" x14ac:dyDescent="0.2">
      <c r="B674" s="560"/>
      <c r="C674" s="549"/>
      <c r="D674" s="561"/>
      <c r="E674" s="2653"/>
      <c r="F674" s="558"/>
      <c r="G674" s="558"/>
    </row>
    <row r="675" spans="2:7" x14ac:dyDescent="0.2">
      <c r="B675" s="560"/>
      <c r="C675" s="549"/>
      <c r="D675" s="561"/>
      <c r="E675" s="2653"/>
      <c r="F675" s="558"/>
      <c r="G675" s="558"/>
    </row>
    <row r="676" spans="2:7" x14ac:dyDescent="0.2">
      <c r="B676" s="560"/>
      <c r="C676" s="549"/>
      <c r="D676" s="561"/>
      <c r="E676" s="2653"/>
      <c r="F676" s="558"/>
      <c r="G676" s="558"/>
    </row>
    <row r="677" spans="2:7" x14ac:dyDescent="0.2">
      <c r="B677" s="560"/>
      <c r="C677" s="549"/>
      <c r="D677" s="561"/>
      <c r="E677" s="2653"/>
      <c r="F677" s="558"/>
      <c r="G677" s="558"/>
    </row>
    <row r="678" spans="2:7" x14ac:dyDescent="0.2">
      <c r="B678" s="560"/>
      <c r="C678" s="549"/>
      <c r="D678" s="561"/>
      <c r="E678" s="2653"/>
      <c r="F678" s="558"/>
      <c r="G678" s="558"/>
    </row>
    <row r="679" spans="2:7" x14ac:dyDescent="0.2">
      <c r="B679" s="560"/>
      <c r="C679" s="549"/>
      <c r="D679" s="561"/>
      <c r="E679" s="2653"/>
      <c r="F679" s="558"/>
      <c r="G679" s="558"/>
    </row>
    <row r="680" spans="2:7" x14ac:dyDescent="0.2">
      <c r="B680" s="560"/>
      <c r="C680" s="549"/>
      <c r="D680" s="561"/>
      <c r="E680" s="2653"/>
      <c r="F680" s="558"/>
      <c r="G680" s="558"/>
    </row>
    <row r="681" spans="2:7" x14ac:dyDescent="0.2">
      <c r="B681" s="560"/>
      <c r="C681" s="549"/>
      <c r="D681" s="561"/>
      <c r="E681" s="2653"/>
      <c r="F681" s="558"/>
      <c r="G681" s="558"/>
    </row>
    <row r="682" spans="2:7" x14ac:dyDescent="0.2">
      <c r="B682" s="560"/>
      <c r="C682" s="549"/>
      <c r="D682" s="561"/>
      <c r="E682" s="2653"/>
      <c r="F682" s="558"/>
      <c r="G682" s="558"/>
    </row>
    <row r="683" spans="2:7" x14ac:dyDescent="0.2">
      <c r="B683" s="560"/>
      <c r="C683" s="549"/>
      <c r="D683" s="561"/>
      <c r="E683" s="2653"/>
      <c r="F683" s="558"/>
      <c r="G683" s="558"/>
    </row>
    <row r="684" spans="2:7" x14ac:dyDescent="0.2">
      <c r="B684" s="560"/>
      <c r="C684" s="549"/>
      <c r="D684" s="561"/>
      <c r="E684" s="2653"/>
      <c r="F684" s="558"/>
      <c r="G684" s="558"/>
    </row>
    <row r="685" spans="2:7" x14ac:dyDescent="0.2">
      <c r="B685" s="560"/>
      <c r="C685" s="549"/>
      <c r="D685" s="561"/>
      <c r="E685" s="2653"/>
      <c r="F685" s="558"/>
      <c r="G685" s="558"/>
    </row>
    <row r="686" spans="2:7" x14ac:dyDescent="0.2">
      <c r="B686" s="560"/>
      <c r="C686" s="549"/>
      <c r="D686" s="561"/>
      <c r="E686" s="2653"/>
      <c r="F686" s="558"/>
      <c r="G686" s="558"/>
    </row>
    <row r="687" spans="2:7" x14ac:dyDescent="0.2">
      <c r="B687" s="560"/>
      <c r="C687" s="549"/>
      <c r="D687" s="561"/>
      <c r="E687" s="2653"/>
      <c r="F687" s="558"/>
      <c r="G687" s="558"/>
    </row>
    <row r="688" spans="2:7" x14ac:dyDescent="0.2">
      <c r="B688" s="560"/>
      <c r="C688" s="549"/>
      <c r="D688" s="561"/>
      <c r="E688" s="2653"/>
      <c r="F688" s="558"/>
      <c r="G688" s="558"/>
    </row>
    <row r="689" spans="2:7" x14ac:dyDescent="0.2">
      <c r="B689" s="560"/>
      <c r="C689" s="549"/>
      <c r="D689" s="561"/>
      <c r="E689" s="2653"/>
      <c r="F689" s="558"/>
      <c r="G689" s="558"/>
    </row>
    <row r="690" spans="2:7" x14ac:dyDescent="0.2">
      <c r="B690" s="560"/>
      <c r="C690" s="549"/>
      <c r="D690" s="561"/>
      <c r="E690" s="2653"/>
      <c r="F690" s="558"/>
      <c r="G690" s="558"/>
    </row>
    <row r="691" spans="2:7" x14ac:dyDescent="0.2">
      <c r="B691" s="560"/>
      <c r="C691" s="549"/>
      <c r="D691" s="561"/>
      <c r="E691" s="2653"/>
      <c r="F691" s="558"/>
      <c r="G691" s="558"/>
    </row>
    <row r="692" spans="2:7" x14ac:dyDescent="0.2">
      <c r="B692" s="560"/>
      <c r="C692" s="549"/>
      <c r="D692" s="561"/>
      <c r="E692" s="2653"/>
      <c r="F692" s="558"/>
      <c r="G692" s="558"/>
    </row>
    <row r="693" spans="2:7" x14ac:dyDescent="0.2">
      <c r="B693" s="560"/>
      <c r="C693" s="549"/>
      <c r="D693" s="561"/>
      <c r="E693" s="2653"/>
      <c r="F693" s="558"/>
      <c r="G693" s="558"/>
    </row>
    <row r="694" spans="2:7" x14ac:dyDescent="0.2">
      <c r="B694" s="560"/>
      <c r="C694" s="549"/>
      <c r="D694" s="561"/>
      <c r="E694" s="2653"/>
      <c r="F694" s="558"/>
      <c r="G694" s="558"/>
    </row>
    <row r="695" spans="2:7" x14ac:dyDescent="0.2">
      <c r="B695" s="560"/>
      <c r="C695" s="549"/>
      <c r="D695" s="561"/>
      <c r="E695" s="2653"/>
      <c r="F695" s="558"/>
      <c r="G695" s="558"/>
    </row>
    <row r="696" spans="2:7" x14ac:dyDescent="0.2">
      <c r="B696" s="560"/>
      <c r="C696" s="549"/>
      <c r="D696" s="561"/>
      <c r="E696" s="2653"/>
      <c r="F696" s="558"/>
      <c r="G696" s="558"/>
    </row>
    <row r="697" spans="2:7" x14ac:dyDescent="0.2">
      <c r="B697" s="560"/>
      <c r="C697" s="549"/>
      <c r="D697" s="561"/>
      <c r="E697" s="2653"/>
      <c r="F697" s="558"/>
      <c r="G697" s="558"/>
    </row>
    <row r="698" spans="2:7" x14ac:dyDescent="0.2">
      <c r="B698" s="560"/>
      <c r="C698" s="549"/>
      <c r="D698" s="561"/>
      <c r="E698" s="2653"/>
      <c r="F698" s="558"/>
      <c r="G698" s="558"/>
    </row>
    <row r="699" spans="2:7" x14ac:dyDescent="0.2">
      <c r="B699" s="560"/>
      <c r="C699" s="549"/>
      <c r="D699" s="561"/>
      <c r="E699" s="2653"/>
      <c r="F699" s="558"/>
      <c r="G699" s="558"/>
    </row>
    <row r="700" spans="2:7" x14ac:dyDescent="0.2">
      <c r="B700" s="560"/>
      <c r="C700" s="549"/>
      <c r="D700" s="561"/>
      <c r="E700" s="2653"/>
      <c r="F700" s="558"/>
      <c r="G700" s="558"/>
    </row>
    <row r="701" spans="2:7" x14ac:dyDescent="0.2">
      <c r="B701" s="560"/>
      <c r="C701" s="549"/>
      <c r="D701" s="561"/>
      <c r="E701" s="2653"/>
      <c r="F701" s="558"/>
      <c r="G701" s="558"/>
    </row>
    <row r="702" spans="2:7" x14ac:dyDescent="0.2">
      <c r="B702" s="560"/>
      <c r="C702" s="549"/>
      <c r="D702" s="561"/>
      <c r="E702" s="2653"/>
      <c r="F702" s="558"/>
      <c r="G702" s="558"/>
    </row>
    <row r="703" spans="2:7" x14ac:dyDescent="0.2">
      <c r="B703" s="560"/>
      <c r="C703" s="549"/>
      <c r="D703" s="561"/>
      <c r="E703" s="2653"/>
      <c r="F703" s="558"/>
      <c r="G703" s="558"/>
    </row>
    <row r="704" spans="2:7" x14ac:dyDescent="0.2">
      <c r="B704" s="560"/>
      <c r="C704" s="549"/>
      <c r="D704" s="561"/>
      <c r="E704" s="2653"/>
      <c r="F704" s="558"/>
      <c r="G704" s="558"/>
    </row>
    <row r="705" spans="2:7" x14ac:dyDescent="0.2">
      <c r="B705" s="560"/>
      <c r="C705" s="549"/>
      <c r="D705" s="561"/>
      <c r="E705" s="2653"/>
      <c r="F705" s="558"/>
      <c r="G705" s="558"/>
    </row>
    <row r="706" spans="2:7" x14ac:dyDescent="0.2">
      <c r="B706" s="560"/>
      <c r="C706" s="549"/>
      <c r="D706" s="561"/>
      <c r="E706" s="2653"/>
      <c r="F706" s="558"/>
      <c r="G706" s="558"/>
    </row>
    <row r="707" spans="2:7" x14ac:dyDescent="0.2">
      <c r="B707" s="560"/>
      <c r="C707" s="549"/>
      <c r="D707" s="561"/>
      <c r="E707" s="2653"/>
      <c r="F707" s="558"/>
      <c r="G707" s="558"/>
    </row>
    <row r="708" spans="2:7" x14ac:dyDescent="0.2">
      <c r="B708" s="560"/>
      <c r="C708" s="549"/>
      <c r="D708" s="561"/>
      <c r="E708" s="2653"/>
      <c r="F708" s="558"/>
      <c r="G708" s="558"/>
    </row>
    <row r="709" spans="2:7" x14ac:dyDescent="0.2">
      <c r="B709" s="560"/>
      <c r="C709" s="549"/>
      <c r="D709" s="561"/>
      <c r="E709" s="2653"/>
      <c r="F709" s="558"/>
      <c r="G709" s="558"/>
    </row>
    <row r="710" spans="2:7" x14ac:dyDescent="0.2">
      <c r="B710" s="560"/>
      <c r="C710" s="549"/>
      <c r="D710" s="561"/>
      <c r="E710" s="2653"/>
      <c r="F710" s="558"/>
      <c r="G710" s="558"/>
    </row>
    <row r="711" spans="2:7" x14ac:dyDescent="0.2">
      <c r="B711" s="560"/>
      <c r="C711" s="549"/>
      <c r="D711" s="561"/>
      <c r="E711" s="2653"/>
      <c r="F711" s="558"/>
      <c r="G711" s="558"/>
    </row>
    <row r="712" spans="2:7" x14ac:dyDescent="0.2">
      <c r="B712" s="560"/>
      <c r="C712" s="549"/>
      <c r="D712" s="561"/>
      <c r="E712" s="2653"/>
      <c r="F712" s="558"/>
      <c r="G712" s="558"/>
    </row>
    <row r="713" spans="2:7" x14ac:dyDescent="0.2">
      <c r="B713" s="560"/>
      <c r="C713" s="549"/>
      <c r="D713" s="561"/>
      <c r="E713" s="2653"/>
      <c r="F713" s="558"/>
      <c r="G713" s="558"/>
    </row>
    <row r="714" spans="2:7" x14ac:dyDescent="0.2">
      <c r="B714" s="560"/>
      <c r="C714" s="549"/>
      <c r="D714" s="561"/>
      <c r="E714" s="2653"/>
      <c r="F714" s="558"/>
      <c r="G714" s="558"/>
    </row>
    <row r="715" spans="2:7" x14ac:dyDescent="0.2">
      <c r="B715" s="560"/>
      <c r="C715" s="549"/>
      <c r="D715" s="561"/>
      <c r="E715" s="2653"/>
      <c r="F715" s="558"/>
      <c r="G715" s="558"/>
    </row>
    <row r="716" spans="2:7" x14ac:dyDescent="0.2">
      <c r="B716" s="560"/>
      <c r="C716" s="549"/>
      <c r="D716" s="561"/>
      <c r="E716" s="2653"/>
      <c r="F716" s="558"/>
      <c r="G716" s="558"/>
    </row>
    <row r="717" spans="2:7" x14ac:dyDescent="0.2">
      <c r="B717" s="560"/>
      <c r="C717" s="549"/>
      <c r="D717" s="561"/>
      <c r="E717" s="2653"/>
      <c r="F717" s="558"/>
      <c r="G717" s="558"/>
    </row>
    <row r="718" spans="2:7" x14ac:dyDescent="0.2">
      <c r="B718" s="560"/>
      <c r="C718" s="549"/>
      <c r="D718" s="561"/>
      <c r="E718" s="2653"/>
      <c r="F718" s="558"/>
      <c r="G718" s="558"/>
    </row>
    <row r="719" spans="2:7" x14ac:dyDescent="0.2">
      <c r="B719" s="560"/>
      <c r="C719" s="549"/>
      <c r="D719" s="561"/>
      <c r="E719" s="2653"/>
      <c r="F719" s="558"/>
      <c r="G719" s="558"/>
    </row>
    <row r="720" spans="2:7" x14ac:dyDescent="0.2">
      <c r="B720" s="560"/>
      <c r="C720" s="549"/>
      <c r="D720" s="561"/>
      <c r="E720" s="2653"/>
      <c r="F720" s="558"/>
      <c r="G720" s="558"/>
    </row>
    <row r="721" spans="2:7" x14ac:dyDescent="0.2">
      <c r="B721" s="560"/>
      <c r="C721" s="549"/>
      <c r="D721" s="561"/>
      <c r="E721" s="2653"/>
      <c r="F721" s="558"/>
      <c r="G721" s="558"/>
    </row>
    <row r="722" spans="2:7" x14ac:dyDescent="0.2">
      <c r="B722" s="560"/>
      <c r="C722" s="549"/>
      <c r="D722" s="561"/>
      <c r="E722" s="2653"/>
      <c r="F722" s="558"/>
      <c r="G722" s="558"/>
    </row>
    <row r="723" spans="2:7" x14ac:dyDescent="0.2">
      <c r="B723" s="560"/>
      <c r="C723" s="549"/>
      <c r="D723" s="561"/>
      <c r="E723" s="2653"/>
      <c r="F723" s="558"/>
      <c r="G723" s="558"/>
    </row>
    <row r="724" spans="2:7" x14ac:dyDescent="0.2">
      <c r="B724" s="560"/>
      <c r="C724" s="549"/>
      <c r="D724" s="561"/>
      <c r="E724" s="2653"/>
      <c r="F724" s="558"/>
      <c r="G724" s="558"/>
    </row>
    <row r="725" spans="2:7" x14ac:dyDescent="0.2">
      <c r="B725" s="560"/>
      <c r="C725" s="549"/>
      <c r="D725" s="561"/>
      <c r="E725" s="2653"/>
      <c r="F725" s="558"/>
      <c r="G725" s="558"/>
    </row>
    <row r="726" spans="2:7" x14ac:dyDescent="0.2">
      <c r="B726" s="560"/>
      <c r="C726" s="549"/>
      <c r="D726" s="561"/>
      <c r="E726" s="2653"/>
      <c r="F726" s="558"/>
      <c r="G726" s="558"/>
    </row>
    <row r="727" spans="2:7" x14ac:dyDescent="0.2">
      <c r="B727" s="560"/>
      <c r="C727" s="549"/>
      <c r="D727" s="561"/>
      <c r="E727" s="2653"/>
      <c r="F727" s="558"/>
      <c r="G727" s="558"/>
    </row>
    <row r="728" spans="2:7" x14ac:dyDescent="0.2">
      <c r="B728" s="560"/>
      <c r="C728" s="549"/>
      <c r="D728" s="561"/>
      <c r="E728" s="2653"/>
      <c r="F728" s="558"/>
      <c r="G728" s="558"/>
    </row>
  </sheetData>
  <mergeCells count="13">
    <mergeCell ref="B123:G123"/>
    <mergeCell ref="B117:G117"/>
    <mergeCell ref="B118:G118"/>
    <mergeCell ref="B119:G119"/>
    <mergeCell ref="B120:G120"/>
    <mergeCell ref="B121:G121"/>
    <mergeCell ref="B122:G122"/>
    <mergeCell ref="B116:G116"/>
    <mergeCell ref="C6:F6"/>
    <mergeCell ref="B49:G49"/>
    <mergeCell ref="B74:G74"/>
    <mergeCell ref="B75:G75"/>
    <mergeCell ref="B76:G76"/>
  </mergeCells>
  <phoneticPr fontId="40" type="noConversion"/>
  <pageMargins left="0.7" right="0.7" top="0.75" bottom="0.75" header="0.3" footer="0.3"/>
  <pageSetup paperSize="9" orientation="portrait" r:id="rId1"/>
  <headerFooter alignWithMargins="0"/>
  <rowBreaks count="3" manualBreakCount="3">
    <brk id="20" max="16383" man="1"/>
    <brk id="47" max="16383" man="1"/>
    <brk id="74"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4E31-B9A3-42F6-92FF-07AA63805807}">
  <sheetPr codeName="Sheet66">
    <tabColor rgb="FF0070C0"/>
  </sheetPr>
  <dimension ref="B1:S309"/>
  <sheetViews>
    <sheetView topLeftCell="A78" zoomScaleNormal="100" zoomScaleSheetLayoutView="85" workbookViewId="0">
      <selection activeCell="C91" sqref="C91"/>
    </sheetView>
  </sheetViews>
  <sheetFormatPr defaultColWidth="10.42578125" defaultRowHeight="12.75" x14ac:dyDescent="0.2"/>
  <cols>
    <col min="1" max="1" width="4.5703125" style="741" customWidth="1"/>
    <col min="2" max="2" width="7.42578125" style="739" customWidth="1"/>
    <col min="3" max="3" width="37.5703125" style="2904" customWidth="1"/>
    <col min="4" max="4" width="7.42578125" style="741" customWidth="1"/>
    <col min="5" max="5" width="12.85546875" style="2581" customWidth="1"/>
    <col min="6" max="6" width="13.28515625" style="2582" customWidth="1"/>
    <col min="7" max="7" width="16.5703125" style="2583"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7.4257812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7.4257812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7.4257812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7.4257812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7.4257812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7.4257812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7.4257812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7.4257812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7.4257812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7.4257812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7.4257812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7.4257812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7.4257812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7.4257812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7.4257812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7.4257812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7.4257812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7.4257812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7.4257812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7.4257812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7.4257812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7.4257812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7.4257812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7.4257812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7.4257812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7.4257812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7.4257812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7.4257812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7.4257812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7.4257812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7.4257812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7.4257812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7.4257812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7.4257812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7.4257812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7.4257812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7.4257812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7.4257812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7.4257812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7.4257812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7.4257812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7.4257812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7.4257812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7.4257812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7.4257812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7.4257812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7.4257812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7.4257812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7.4257812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7.4257812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7.4257812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7.4257812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7.4257812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7.4257812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7.4257812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7.4257812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7.4257812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7.4257812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7.4257812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7.4257812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7.4257812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7.4257812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7.4257812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2899"/>
      <c r="D1" s="130"/>
    </row>
    <row r="2" spans="2:8" s="121" customFormat="1" ht="24.75" customHeight="1" x14ac:dyDescent="0.2">
      <c r="B2" s="137"/>
      <c r="C2" s="354" t="s">
        <v>59</v>
      </c>
      <c r="D2" s="155"/>
      <c r="E2" s="156"/>
      <c r="F2" s="157"/>
      <c r="G2" s="355" t="s">
        <v>60</v>
      </c>
      <c r="H2" s="122"/>
    </row>
    <row r="3" spans="2:8" x14ac:dyDescent="0.2">
      <c r="B3" s="750"/>
      <c r="C3" s="2900"/>
      <c r="D3" s="752"/>
      <c r="E3" s="753"/>
      <c r="F3" s="754"/>
      <c r="G3" s="755"/>
    </row>
    <row r="4" spans="2:8" x14ac:dyDescent="0.2">
      <c r="B4" s="756" t="s">
        <v>7</v>
      </c>
      <c r="C4" s="2821" t="s">
        <v>1114</v>
      </c>
      <c r="D4" s="757"/>
      <c r="E4" s="758"/>
      <c r="F4" s="759"/>
      <c r="G4" s="760"/>
    </row>
    <row r="5" spans="2:8" x14ac:dyDescent="0.2">
      <c r="B5" s="761"/>
      <c r="C5" s="767"/>
      <c r="D5" s="763"/>
      <c r="E5" s="764"/>
      <c r="F5" s="765"/>
      <c r="G5" s="766"/>
    </row>
    <row r="6" spans="2:8" x14ac:dyDescent="0.2">
      <c r="B6" s="756" t="s">
        <v>80</v>
      </c>
      <c r="C6" s="3253" t="s">
        <v>1368</v>
      </c>
      <c r="D6" s="3230"/>
      <c r="E6" s="3230"/>
      <c r="F6" s="3230"/>
      <c r="G6" s="760"/>
    </row>
    <row r="7" spans="2:8" ht="15" customHeight="1" x14ac:dyDescent="0.2">
      <c r="B7" s="761"/>
      <c r="C7" s="767"/>
      <c r="D7" s="768"/>
      <c r="E7" s="769"/>
      <c r="F7" s="770"/>
      <c r="G7" s="771"/>
    </row>
    <row r="8" spans="2:8" x14ac:dyDescent="0.2">
      <c r="B8" s="2865" t="s">
        <v>1</v>
      </c>
      <c r="C8" s="2901"/>
      <c r="D8" s="2867"/>
      <c r="E8" s="2867"/>
      <c r="F8" s="2867"/>
      <c r="G8" s="2868"/>
    </row>
    <row r="9" spans="2:8" x14ac:dyDescent="0.2">
      <c r="B9" s="2869" t="s">
        <v>2</v>
      </c>
      <c r="C9" s="2902"/>
      <c r="D9" s="2871"/>
      <c r="E9" s="2872"/>
      <c r="F9" s="2872"/>
      <c r="G9" s="2871"/>
    </row>
    <row r="10" spans="2:8" x14ac:dyDescent="0.2">
      <c r="B10" s="2865" t="s">
        <v>3</v>
      </c>
      <c r="C10" s="2901"/>
      <c r="D10" s="2867"/>
      <c r="E10" s="2867"/>
      <c r="F10" s="2867"/>
      <c r="G10" s="2868"/>
    </row>
    <row r="11" spans="2:8" x14ac:dyDescent="0.2">
      <c r="B11" s="2869" t="s">
        <v>4</v>
      </c>
      <c r="C11" s="2902"/>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2883" t="s">
        <v>84</v>
      </c>
      <c r="D14" s="788"/>
      <c r="E14" s="789"/>
      <c r="F14" s="790"/>
      <c r="G14" s="791" t="s">
        <v>64</v>
      </c>
    </row>
    <row r="15" spans="2:8" x14ac:dyDescent="0.2">
      <c r="B15" s="792" t="s">
        <v>10</v>
      </c>
      <c r="C15" s="2884" t="s">
        <v>85</v>
      </c>
      <c r="D15" s="794"/>
      <c r="E15" s="795"/>
      <c r="F15" s="796"/>
      <c r="G15" s="1076">
        <f>G51</f>
        <v>0</v>
      </c>
    </row>
    <row r="16" spans="2:8" x14ac:dyDescent="0.2">
      <c r="B16" s="792" t="s">
        <v>12</v>
      </c>
      <c r="C16" s="2884" t="s">
        <v>86</v>
      </c>
      <c r="D16" s="794"/>
      <c r="E16" s="795"/>
      <c r="F16" s="796"/>
      <c r="G16" s="1076">
        <f>G100</f>
        <v>0</v>
      </c>
    </row>
    <row r="17" spans="2:18" x14ac:dyDescent="0.2">
      <c r="B17" s="792" t="s">
        <v>17</v>
      </c>
      <c r="C17" s="2884" t="s">
        <v>87</v>
      </c>
      <c r="D17" s="794"/>
      <c r="E17" s="795"/>
      <c r="F17" s="796"/>
      <c r="G17" s="1076">
        <f>G209</f>
        <v>0</v>
      </c>
    </row>
    <row r="18" spans="2:18" x14ac:dyDescent="0.2">
      <c r="B18" s="2830"/>
      <c r="C18" s="2885" t="s">
        <v>88</v>
      </c>
      <c r="D18" s="2832"/>
      <c r="E18" s="2833"/>
      <c r="F18" s="2834"/>
      <c r="G18" s="2882">
        <f>SUM(G15:G17)</f>
        <v>0</v>
      </c>
    </row>
    <row r="19" spans="2:18" x14ac:dyDescent="0.2">
      <c r="B19" s="798"/>
      <c r="C19" s="2903"/>
      <c r="D19" s="798"/>
      <c r="E19" s="2584"/>
      <c r="F19" s="2580"/>
      <c r="G19" s="2585"/>
    </row>
    <row r="20" spans="2:18" x14ac:dyDescent="0.2">
      <c r="G20" s="2586"/>
    </row>
    <row r="21" spans="2:18" ht="24" x14ac:dyDescent="0.2">
      <c r="B21" s="2841" t="s">
        <v>83</v>
      </c>
      <c r="C21" s="2886" t="s">
        <v>89</v>
      </c>
      <c r="D21" s="2843" t="s">
        <v>90</v>
      </c>
      <c r="E21" s="2838" t="s">
        <v>91</v>
      </c>
      <c r="F21" s="2839" t="s">
        <v>92</v>
      </c>
      <c r="G21" s="2840" t="s">
        <v>93</v>
      </c>
    </row>
    <row r="22" spans="2:18" x14ac:dyDescent="0.2">
      <c r="B22" s="811"/>
      <c r="C22" s="2234"/>
      <c r="D22" s="813"/>
      <c r="E22" s="814"/>
      <c r="F22" s="815"/>
      <c r="G22" s="816"/>
    </row>
    <row r="23" spans="2:18" ht="20.25" x14ac:dyDescent="0.2">
      <c r="B23" s="817" t="s">
        <v>10</v>
      </c>
      <c r="C23" s="2887" t="s">
        <v>85</v>
      </c>
      <c r="D23" s="819"/>
      <c r="E23" s="820"/>
      <c r="F23" s="821"/>
      <c r="G23" s="822"/>
    </row>
    <row r="24" spans="2:18" ht="20.25" x14ac:dyDescent="0.2">
      <c r="B24" s="823"/>
      <c r="C24" s="2888"/>
      <c r="D24" s="825"/>
      <c r="E24" s="826"/>
      <c r="F24" s="827"/>
      <c r="G24" s="828"/>
    </row>
    <row r="25" spans="2:18" s="130" customFormat="1" ht="38.25" x14ac:dyDescent="0.2">
      <c r="B25" s="829">
        <v>1.1000000000000001</v>
      </c>
      <c r="C25" s="2905" t="s">
        <v>94</v>
      </c>
      <c r="D25" s="831" t="s">
        <v>95</v>
      </c>
      <c r="E25" s="832">
        <v>2234</v>
      </c>
      <c r="F25" s="1077">
        <v>0</v>
      </c>
      <c r="G25" s="1078">
        <f>E25*F25</f>
        <v>0</v>
      </c>
    </row>
    <row r="26" spans="2:18" s="130" customFormat="1" x14ac:dyDescent="0.2">
      <c r="B26" s="829"/>
      <c r="C26" s="2905"/>
      <c r="D26" s="831"/>
      <c r="E26" s="832"/>
      <c r="F26" s="1077"/>
      <c r="G26" s="1078"/>
    </row>
    <row r="27" spans="2:18" ht="206.25" customHeight="1" x14ac:dyDescent="0.2">
      <c r="B27" s="835">
        <v>1.1000000000000001</v>
      </c>
      <c r="C27" s="2234" t="s">
        <v>99</v>
      </c>
      <c r="D27" s="837" t="s">
        <v>123</v>
      </c>
      <c r="E27" s="2232">
        <v>1</v>
      </c>
      <c r="F27" s="2228">
        <v>0</v>
      </c>
      <c r="G27" s="2228">
        <f>F27*E27</f>
        <v>0</v>
      </c>
    </row>
    <row r="28" spans="2:18" x14ac:dyDescent="0.2">
      <c r="B28" s="840"/>
      <c r="C28" s="2891"/>
      <c r="D28" s="842"/>
      <c r="E28" s="2227"/>
      <c r="F28" s="1078"/>
      <c r="G28" s="2228"/>
    </row>
    <row r="29" spans="2:18" ht="25.5" x14ac:dyDescent="0.2">
      <c r="B29" s="845">
        <v>1.2</v>
      </c>
      <c r="C29" s="2891" t="s">
        <v>1135</v>
      </c>
      <c r="D29" s="846" t="s">
        <v>95</v>
      </c>
      <c r="E29" s="2587">
        <v>2234</v>
      </c>
      <c r="F29" s="2228">
        <v>0</v>
      </c>
      <c r="G29" s="2228">
        <f>F29*E29</f>
        <v>0</v>
      </c>
    </row>
    <row r="30" spans="2:18" x14ac:dyDescent="0.2">
      <c r="B30" s="845"/>
      <c r="C30" s="2891"/>
      <c r="D30" s="846"/>
      <c r="E30" s="2227"/>
      <c r="F30" s="1078"/>
      <c r="G30" s="2228"/>
    </row>
    <row r="31" spans="2:18" x14ac:dyDescent="0.2">
      <c r="B31" s="845">
        <v>1.3</v>
      </c>
      <c r="C31" s="2891" t="s">
        <v>96</v>
      </c>
      <c r="D31" s="846" t="s">
        <v>123</v>
      </c>
      <c r="E31" s="2227">
        <v>100</v>
      </c>
      <c r="F31" s="2228">
        <v>0</v>
      </c>
      <c r="G31" s="2228">
        <f>F31*E31</f>
        <v>0</v>
      </c>
      <c r="M31" s="849"/>
      <c r="N31" s="850"/>
      <c r="O31" s="851"/>
      <c r="P31" s="1079"/>
      <c r="Q31" s="1080"/>
      <c r="R31" s="1081"/>
    </row>
    <row r="32" spans="2:18" x14ac:dyDescent="0.2">
      <c r="B32" s="855"/>
      <c r="C32" s="2891"/>
      <c r="D32" s="842"/>
      <c r="E32" s="2227"/>
      <c r="F32" s="1078"/>
      <c r="G32" s="2228"/>
    </row>
    <row r="33" spans="2:18" ht="80.25" customHeight="1" x14ac:dyDescent="0.2">
      <c r="B33" s="856" t="s">
        <v>641</v>
      </c>
      <c r="C33" s="2891" t="s">
        <v>97</v>
      </c>
      <c r="D33" s="846" t="s">
        <v>123</v>
      </c>
      <c r="E33" s="2227">
        <v>1</v>
      </c>
      <c r="F33" s="2228">
        <v>0</v>
      </c>
      <c r="G33" s="2228">
        <f>F33*E33</f>
        <v>0</v>
      </c>
    </row>
    <row r="34" spans="2:18" x14ac:dyDescent="0.2">
      <c r="B34" s="845"/>
      <c r="C34" s="2891"/>
      <c r="D34" s="857"/>
      <c r="E34" s="2227"/>
      <c r="F34" s="1078"/>
      <c r="G34" s="2228"/>
      <c r="M34" s="858"/>
      <c r="N34" s="859"/>
      <c r="O34" s="860"/>
      <c r="P34" s="1074"/>
      <c r="Q34" s="1080"/>
      <c r="R34" s="1081"/>
    </row>
    <row r="35" spans="2:18" ht="25.5" x14ac:dyDescent="0.2">
      <c r="B35" s="856" t="s">
        <v>664</v>
      </c>
      <c r="C35" s="2891" t="s">
        <v>1136</v>
      </c>
      <c r="D35" s="842" t="s">
        <v>123</v>
      </c>
      <c r="E35" s="2227">
        <v>1</v>
      </c>
      <c r="F35" s="2228">
        <v>0</v>
      </c>
      <c r="G35" s="2228">
        <f>F35*E35</f>
        <v>0</v>
      </c>
    </row>
    <row r="36" spans="2:18" x14ac:dyDescent="0.2">
      <c r="B36" s="856"/>
      <c r="C36" s="2891"/>
      <c r="D36" s="842"/>
      <c r="E36" s="2227"/>
      <c r="F36" s="1078"/>
      <c r="G36" s="2228"/>
    </row>
    <row r="37" spans="2:18" ht="38.25" x14ac:dyDescent="0.2">
      <c r="B37" s="861" t="s">
        <v>678</v>
      </c>
      <c r="C37" s="2906" t="s">
        <v>1137</v>
      </c>
      <c r="D37" s="863" t="s">
        <v>123</v>
      </c>
      <c r="E37" s="2232">
        <v>1</v>
      </c>
      <c r="F37" s="2228">
        <v>0</v>
      </c>
      <c r="G37" s="2228">
        <f>E37*F37</f>
        <v>0</v>
      </c>
    </row>
    <row r="38" spans="2:18" x14ac:dyDescent="0.2">
      <c r="B38" s="840"/>
      <c r="C38" s="2891"/>
      <c r="D38" s="842"/>
      <c r="E38" s="2227"/>
      <c r="F38" s="1078"/>
      <c r="G38" s="2228"/>
    </row>
    <row r="39" spans="2:18" ht="40.5" customHeight="1" x14ac:dyDescent="0.2">
      <c r="B39" s="856" t="s">
        <v>688</v>
      </c>
      <c r="C39" s="2891" t="s">
        <v>100</v>
      </c>
      <c r="D39" s="842" t="s">
        <v>123</v>
      </c>
      <c r="E39" s="2227">
        <v>1</v>
      </c>
      <c r="F39" s="2228">
        <v>0</v>
      </c>
      <c r="G39" s="2228">
        <f>F39*E39</f>
        <v>0</v>
      </c>
    </row>
    <row r="40" spans="2:18" ht="12" customHeight="1" x14ac:dyDescent="0.2">
      <c r="B40" s="856"/>
      <c r="C40" s="2891"/>
      <c r="D40" s="842"/>
      <c r="E40" s="2227"/>
      <c r="F40" s="1078"/>
      <c r="G40" s="2228"/>
    </row>
    <row r="41" spans="2:18" ht="39.75" customHeight="1" x14ac:dyDescent="0.2">
      <c r="B41" s="861" t="s">
        <v>688</v>
      </c>
      <c r="C41" s="3165" t="s">
        <v>2590</v>
      </c>
      <c r="D41" s="865" t="s">
        <v>95</v>
      </c>
      <c r="E41" s="832">
        <v>2454</v>
      </c>
      <c r="F41" s="2228">
        <v>0</v>
      </c>
      <c r="G41" s="2228">
        <f t="shared" ref="G41:G45" si="0">F41*E41</f>
        <v>0</v>
      </c>
    </row>
    <row r="42" spans="2:18" ht="11.25" customHeight="1" x14ac:dyDescent="0.2">
      <c r="B42" s="861"/>
      <c r="C42" s="864"/>
      <c r="D42" s="865"/>
      <c r="E42" s="832"/>
      <c r="F42" s="1078"/>
      <c r="G42" s="2228"/>
    </row>
    <row r="43" spans="2:18" ht="30" customHeight="1" x14ac:dyDescent="0.2">
      <c r="B43" s="861" t="s">
        <v>1199</v>
      </c>
      <c r="C43" s="3165" t="s">
        <v>2591</v>
      </c>
      <c r="D43" s="865" t="s">
        <v>98</v>
      </c>
      <c r="E43" s="832">
        <v>1</v>
      </c>
      <c r="F43" s="2228">
        <v>0</v>
      </c>
      <c r="G43" s="2228">
        <f t="shared" si="0"/>
        <v>0</v>
      </c>
    </row>
    <row r="44" spans="2:18" ht="9" customHeight="1" x14ac:dyDescent="0.2">
      <c r="B44" s="861"/>
      <c r="C44" s="2101"/>
      <c r="D44" s="865"/>
      <c r="E44" s="832"/>
      <c r="F44" s="1078"/>
      <c r="G44" s="2228"/>
    </row>
    <row r="45" spans="2:18" ht="30.75" customHeight="1" x14ac:dyDescent="0.2">
      <c r="B45" s="861" t="s">
        <v>1200</v>
      </c>
      <c r="C45" s="2101" t="s">
        <v>105</v>
      </c>
      <c r="D45" s="865" t="s">
        <v>98</v>
      </c>
      <c r="E45" s="832">
        <v>1</v>
      </c>
      <c r="F45" s="2228">
        <v>0</v>
      </c>
      <c r="G45" s="2228">
        <f t="shared" si="0"/>
        <v>0</v>
      </c>
    </row>
    <row r="46" spans="2:18" ht="13.5" customHeight="1" x14ac:dyDescent="0.2">
      <c r="B46" s="861"/>
      <c r="C46" s="2101"/>
      <c r="D46" s="865"/>
      <c r="E46" s="832"/>
      <c r="F46" s="1078"/>
      <c r="G46" s="2228"/>
    </row>
    <row r="47" spans="2:18" ht="72.75" customHeight="1" x14ac:dyDescent="0.2">
      <c r="B47" s="861" t="s">
        <v>1201</v>
      </c>
      <c r="C47" s="2101" t="s">
        <v>102</v>
      </c>
      <c r="D47" s="865" t="s">
        <v>98</v>
      </c>
      <c r="E47" s="832">
        <v>1</v>
      </c>
      <c r="F47" s="2228">
        <v>0</v>
      </c>
      <c r="G47" s="1078">
        <f>E47*F47</f>
        <v>0</v>
      </c>
    </row>
    <row r="48" spans="2:18" ht="15" customHeight="1" x14ac:dyDescent="0.2">
      <c r="B48" s="861"/>
      <c r="C48" s="2101"/>
      <c r="D48" s="865"/>
      <c r="E48" s="832"/>
      <c r="F48" s="1077"/>
      <c r="G48" s="1078"/>
    </row>
    <row r="49" spans="2:16" ht="60" x14ac:dyDescent="0.2">
      <c r="B49" s="861" t="s">
        <v>1202</v>
      </c>
      <c r="C49" s="3165" t="s">
        <v>2593</v>
      </c>
      <c r="D49" s="865" t="s">
        <v>149</v>
      </c>
      <c r="E49" s="832">
        <v>28</v>
      </c>
      <c r="F49" s="2228">
        <v>0</v>
      </c>
      <c r="G49" s="1078">
        <f>E49*F49</f>
        <v>0</v>
      </c>
    </row>
    <row r="50" spans="2:16" x14ac:dyDescent="0.2">
      <c r="B50" s="855"/>
      <c r="C50" s="2891"/>
      <c r="D50" s="842"/>
      <c r="E50" s="2588"/>
      <c r="F50" s="2589"/>
      <c r="G50" s="2228"/>
    </row>
    <row r="51" spans="2:16" x14ac:dyDescent="0.2">
      <c r="B51" s="872" t="s">
        <v>10</v>
      </c>
      <c r="C51" s="2889" t="s">
        <v>108</v>
      </c>
      <c r="D51" s="873"/>
      <c r="E51" s="874"/>
      <c r="F51" s="875"/>
      <c r="G51" s="1082">
        <f>SUM(G25:G50)</f>
        <v>0</v>
      </c>
    </row>
    <row r="54" spans="2:16" ht="24" x14ac:dyDescent="0.2">
      <c r="B54" s="805" t="s">
        <v>83</v>
      </c>
      <c r="C54" s="2890" t="s">
        <v>89</v>
      </c>
      <c r="D54" s="807" t="s">
        <v>90</v>
      </c>
      <c r="E54" s="808" t="s">
        <v>91</v>
      </c>
      <c r="F54" s="809" t="s">
        <v>92</v>
      </c>
      <c r="G54" s="810" t="s">
        <v>93</v>
      </c>
    </row>
    <row r="55" spans="2:16" x14ac:dyDescent="0.2">
      <c r="B55" s="811"/>
      <c r="C55" s="2234"/>
      <c r="D55" s="878"/>
      <c r="E55" s="814"/>
      <c r="F55" s="815"/>
      <c r="G55" s="816"/>
    </row>
    <row r="56" spans="2:16" ht="20.25" x14ac:dyDescent="0.2">
      <c r="B56" s="817" t="s">
        <v>12</v>
      </c>
      <c r="C56" s="2907" t="s">
        <v>109</v>
      </c>
      <c r="D56" s="880"/>
      <c r="E56" s="820"/>
      <c r="F56" s="821"/>
      <c r="G56" s="822"/>
    </row>
    <row r="57" spans="2:16" ht="72.75" customHeight="1" x14ac:dyDescent="0.2">
      <c r="B57" s="3233" t="s">
        <v>110</v>
      </c>
      <c r="C57" s="3234"/>
      <c r="D57" s="3234"/>
      <c r="E57" s="3234"/>
      <c r="F57" s="3234"/>
      <c r="G57" s="3235"/>
    </row>
    <row r="58" spans="2:16" ht="12.75" customHeight="1" x14ac:dyDescent="0.2">
      <c r="B58" s="802"/>
      <c r="C58" s="2903"/>
    </row>
    <row r="59" spans="2:16" ht="25.5" x14ac:dyDescent="0.2">
      <c r="B59" s="840" t="s">
        <v>1205</v>
      </c>
      <c r="C59" s="2891" t="s">
        <v>1206</v>
      </c>
      <c r="D59" s="653" t="s">
        <v>1207</v>
      </c>
      <c r="E59" s="2227">
        <v>20</v>
      </c>
      <c r="F59" s="1078">
        <v>0</v>
      </c>
      <c r="G59" s="2228">
        <f>F59*E59</f>
        <v>0</v>
      </c>
      <c r="J59" s="881"/>
      <c r="L59" s="744"/>
      <c r="N59" s="881"/>
      <c r="O59" s="881"/>
      <c r="P59" s="881"/>
    </row>
    <row r="60" spans="2:16" ht="13.5" customHeight="1" x14ac:dyDescent="0.2">
      <c r="B60" s="840"/>
      <c r="C60" s="2891"/>
      <c r="D60" s="653"/>
      <c r="E60" s="2227"/>
      <c r="F60" s="1078"/>
      <c r="G60" s="2228"/>
      <c r="J60" s="881"/>
    </row>
    <row r="61" spans="2:16" ht="64.5" customHeight="1" x14ac:dyDescent="0.2">
      <c r="B61" s="840">
        <v>2.2000000000000002</v>
      </c>
      <c r="C61" s="2891" t="s">
        <v>1208</v>
      </c>
      <c r="D61" s="2124" t="s">
        <v>1207</v>
      </c>
      <c r="E61" s="2227">
        <v>259.01</v>
      </c>
      <c r="F61" s="1078">
        <v>0</v>
      </c>
      <c r="G61" s="2228">
        <f>F61*E61</f>
        <v>0</v>
      </c>
    </row>
    <row r="62" spans="2:16" ht="12.75" customHeight="1" x14ac:dyDescent="0.2">
      <c r="B62" s="845"/>
      <c r="C62" s="2891"/>
      <c r="D62" s="2124"/>
      <c r="E62" s="2227"/>
      <c r="F62" s="1078"/>
      <c r="G62" s="2228"/>
    </row>
    <row r="63" spans="2:16" ht="51" x14ac:dyDescent="0.2">
      <c r="B63" s="840">
        <v>2.2999999999999998</v>
      </c>
      <c r="C63" s="2891" t="s">
        <v>1209</v>
      </c>
      <c r="D63" s="653" t="s">
        <v>112</v>
      </c>
      <c r="E63" s="2227">
        <v>2331.0700000000002</v>
      </c>
      <c r="F63" s="1078">
        <v>0</v>
      </c>
      <c r="G63" s="2228">
        <f>F63*E63</f>
        <v>0</v>
      </c>
      <c r="I63" s="744"/>
    </row>
    <row r="64" spans="2:16" x14ac:dyDescent="0.2">
      <c r="B64" s="840"/>
      <c r="C64" s="2891"/>
      <c r="D64" s="653"/>
      <c r="E64" s="2227"/>
      <c r="F64" s="1078"/>
      <c r="G64" s="2228"/>
      <c r="I64" s="744"/>
    </row>
    <row r="65" spans="2:16" ht="38.25" x14ac:dyDescent="0.2">
      <c r="B65" s="883" t="s">
        <v>1210</v>
      </c>
      <c r="C65" s="2892" t="s">
        <v>1211</v>
      </c>
      <c r="D65" s="2230" t="s">
        <v>117</v>
      </c>
      <c r="E65" s="2231">
        <v>2323.36</v>
      </c>
      <c r="F65" s="1078">
        <v>0</v>
      </c>
      <c r="G65" s="2228">
        <f>F65*E65</f>
        <v>0</v>
      </c>
    </row>
    <row r="66" spans="2:16" x14ac:dyDescent="0.2">
      <c r="B66" s="840"/>
      <c r="C66" s="2891"/>
      <c r="D66" s="653"/>
      <c r="E66" s="2227"/>
      <c r="F66" s="1078"/>
      <c r="G66" s="2228"/>
    </row>
    <row r="67" spans="2:16" ht="25.5" x14ac:dyDescent="0.2">
      <c r="B67" s="840">
        <v>2.5</v>
      </c>
      <c r="C67" s="2891" t="s">
        <v>1212</v>
      </c>
      <c r="D67" s="653" t="s">
        <v>1213</v>
      </c>
      <c r="E67" s="2227">
        <v>1787.2</v>
      </c>
      <c r="F67" s="1078">
        <v>0</v>
      </c>
      <c r="G67" s="2228">
        <f>F67*E67</f>
        <v>0</v>
      </c>
    </row>
    <row r="68" spans="2:16" x14ac:dyDescent="0.2">
      <c r="B68" s="840"/>
      <c r="C68" s="2891"/>
      <c r="D68" s="653"/>
      <c r="E68" s="2227"/>
      <c r="F68" s="1078"/>
      <c r="G68" s="2228"/>
    </row>
    <row r="69" spans="2:16" ht="25.5" x14ac:dyDescent="0.2">
      <c r="B69" s="883" t="s">
        <v>1214</v>
      </c>
      <c r="C69" s="2104" t="s">
        <v>1215</v>
      </c>
      <c r="D69" s="865" t="s">
        <v>1207</v>
      </c>
      <c r="E69" s="2232">
        <v>178.72</v>
      </c>
      <c r="F69" s="1078">
        <v>0</v>
      </c>
      <c r="G69" s="2228">
        <f>F69*E69</f>
        <v>0</v>
      </c>
    </row>
    <row r="70" spans="2:16" ht="12.75" customHeight="1" x14ac:dyDescent="0.2">
      <c r="B70" s="840"/>
      <c r="C70" s="2891"/>
      <c r="D70" s="653"/>
      <c r="E70" s="2227"/>
      <c r="F70" s="1078"/>
      <c r="G70" s="2228"/>
      <c r="J70" s="888"/>
      <c r="L70" s="889"/>
    </row>
    <row r="71" spans="2:16" ht="45" customHeight="1" x14ac:dyDescent="0.2">
      <c r="B71" s="840">
        <v>2.7</v>
      </c>
      <c r="C71" s="2891" t="s">
        <v>1216</v>
      </c>
      <c r="D71" s="653" t="s">
        <v>1207</v>
      </c>
      <c r="E71" s="2227">
        <v>1221.31</v>
      </c>
      <c r="F71" s="1078">
        <v>0</v>
      </c>
      <c r="G71" s="2228">
        <f>F71*E71</f>
        <v>0</v>
      </c>
      <c r="I71" s="744"/>
    </row>
    <row r="72" spans="2:16" ht="13.5" customHeight="1" x14ac:dyDescent="0.2">
      <c r="B72" s="840"/>
      <c r="C72" s="2891"/>
      <c r="D72" s="653"/>
      <c r="E72" s="2227"/>
      <c r="F72" s="1078"/>
      <c r="G72" s="2228"/>
      <c r="I72" s="744"/>
    </row>
    <row r="73" spans="2:16" ht="41.25" customHeight="1" x14ac:dyDescent="0.2">
      <c r="B73" s="835">
        <v>2.8</v>
      </c>
      <c r="C73" s="2891" t="s">
        <v>1217</v>
      </c>
      <c r="D73" s="653" t="s">
        <v>1207</v>
      </c>
      <c r="E73" s="2227">
        <v>526.79999999999995</v>
      </c>
      <c r="F73" s="1078">
        <v>0</v>
      </c>
      <c r="G73" s="2228">
        <f>F73*E73</f>
        <v>0</v>
      </c>
      <c r="P73" s="744"/>
    </row>
    <row r="74" spans="2:16" ht="13.5" customHeight="1" x14ac:dyDescent="0.2">
      <c r="B74" s="840"/>
      <c r="C74" s="2891"/>
      <c r="D74" s="653"/>
      <c r="E74" s="2227"/>
      <c r="F74" s="1078"/>
      <c r="G74" s="2228"/>
      <c r="P74" s="744"/>
    </row>
    <row r="75" spans="2:16" ht="68.25" customHeight="1" x14ac:dyDescent="0.2">
      <c r="B75" s="840">
        <v>2.9</v>
      </c>
      <c r="C75" s="2893" t="s">
        <v>1218</v>
      </c>
      <c r="D75" s="2100" t="s">
        <v>1219</v>
      </c>
      <c r="E75" s="2227">
        <v>663.25</v>
      </c>
      <c r="F75" s="1078">
        <v>0</v>
      </c>
      <c r="G75" s="2228">
        <f>E75*F75</f>
        <v>0</v>
      </c>
      <c r="P75" s="744"/>
    </row>
    <row r="76" spans="2:16" ht="15" customHeight="1" x14ac:dyDescent="0.2">
      <c r="B76" s="840"/>
      <c r="C76" s="2891"/>
      <c r="D76" s="653"/>
      <c r="E76" s="2227"/>
      <c r="F76" s="1078"/>
      <c r="G76" s="2228"/>
    </row>
    <row r="77" spans="2:16" x14ac:dyDescent="0.2">
      <c r="B77" s="892" t="s">
        <v>1220</v>
      </c>
      <c r="C77" s="2891" t="s">
        <v>1221</v>
      </c>
      <c r="D77" s="653" t="s">
        <v>112</v>
      </c>
      <c r="E77" s="2227">
        <v>1388.77</v>
      </c>
      <c r="F77" s="1078">
        <v>0</v>
      </c>
      <c r="G77" s="2228">
        <f>F77*E77</f>
        <v>0</v>
      </c>
      <c r="I77" s="888"/>
    </row>
    <row r="78" spans="2:16" x14ac:dyDescent="0.2">
      <c r="B78" s="840"/>
      <c r="C78" s="2891"/>
      <c r="D78" s="653"/>
      <c r="E78" s="2227"/>
      <c r="F78" s="1078"/>
      <c r="G78" s="2228"/>
    </row>
    <row r="79" spans="2:16" x14ac:dyDescent="0.2">
      <c r="B79" s="892" t="s">
        <v>1222</v>
      </c>
      <c r="C79" s="2891" t="s">
        <v>1223</v>
      </c>
      <c r="D79" s="653" t="s">
        <v>112</v>
      </c>
      <c r="E79" s="2227">
        <v>1385.65</v>
      </c>
      <c r="F79" s="1078">
        <v>0</v>
      </c>
      <c r="G79" s="2228">
        <f>F79*E79</f>
        <v>0</v>
      </c>
    </row>
    <row r="80" spans="2:16" x14ac:dyDescent="0.2">
      <c r="B80" s="892"/>
      <c r="C80" s="2891"/>
      <c r="D80" s="653"/>
      <c r="E80" s="2227"/>
      <c r="F80" s="1078"/>
      <c r="G80" s="2228"/>
    </row>
    <row r="81" spans="2:19" ht="28.5" customHeight="1" x14ac:dyDescent="0.2">
      <c r="B81" s="892" t="s">
        <v>1227</v>
      </c>
      <c r="C81" s="2891" t="s">
        <v>1228</v>
      </c>
      <c r="D81" s="2124" t="s">
        <v>1213</v>
      </c>
      <c r="E81" s="2227">
        <v>4985</v>
      </c>
      <c r="F81" s="1078">
        <v>0</v>
      </c>
      <c r="G81" s="2228">
        <f>F81*E81</f>
        <v>0</v>
      </c>
      <c r="L81" s="893"/>
      <c r="M81" s="894"/>
      <c r="N81" s="895"/>
      <c r="O81" s="896"/>
      <c r="P81" s="897"/>
      <c r="Q81" s="897"/>
      <c r="R81" s="897"/>
    </row>
    <row r="82" spans="2:19" x14ac:dyDescent="0.2">
      <c r="B82" s="845"/>
      <c r="C82" s="2891"/>
      <c r="D82" s="2126"/>
      <c r="E82" s="2227"/>
      <c r="F82" s="1078"/>
      <c r="G82" s="2228"/>
      <c r="L82" s="893"/>
      <c r="M82" s="894"/>
      <c r="N82" s="895"/>
      <c r="O82" s="896"/>
      <c r="P82" s="897"/>
      <c r="Q82" s="897"/>
      <c r="R82" s="897"/>
    </row>
    <row r="83" spans="2:19" ht="90.75" customHeight="1" x14ac:dyDescent="0.2">
      <c r="B83" s="892" t="s">
        <v>1229</v>
      </c>
      <c r="C83" s="2234" t="s">
        <v>1230</v>
      </c>
      <c r="D83" s="653" t="s">
        <v>1213</v>
      </c>
      <c r="E83" s="2227">
        <v>5000</v>
      </c>
      <c r="F83" s="1078">
        <v>0</v>
      </c>
      <c r="G83" s="2228">
        <f>E83*F83</f>
        <v>0</v>
      </c>
      <c r="L83" s="899"/>
      <c r="M83" s="900"/>
      <c r="N83" s="901"/>
      <c r="O83" s="902"/>
      <c r="P83" s="1083"/>
      <c r="Q83" s="1083"/>
      <c r="R83" s="1083"/>
    </row>
    <row r="84" spans="2:19" ht="12" customHeight="1" x14ac:dyDescent="0.2">
      <c r="B84" s="892"/>
      <c r="C84" s="2891"/>
      <c r="D84" s="2124"/>
      <c r="E84" s="2227"/>
      <c r="F84" s="1078"/>
      <c r="G84" s="2228"/>
      <c r="L84" s="899"/>
      <c r="M84" s="900"/>
      <c r="N84" s="901"/>
      <c r="O84" s="902"/>
      <c r="P84" s="1083"/>
      <c r="Q84" s="1083"/>
      <c r="R84" s="1083"/>
    </row>
    <row r="85" spans="2:19" ht="64.5" customHeight="1" x14ac:dyDescent="0.2">
      <c r="B85" s="892" t="s">
        <v>1231</v>
      </c>
      <c r="C85" s="2234" t="s">
        <v>1232</v>
      </c>
      <c r="D85" s="653" t="s">
        <v>1213</v>
      </c>
      <c r="E85" s="2227">
        <v>5000</v>
      </c>
      <c r="F85" s="1078">
        <v>0</v>
      </c>
      <c r="G85" s="2228">
        <f>E85*F85</f>
        <v>0</v>
      </c>
      <c r="L85" s="899"/>
      <c r="M85" s="900"/>
      <c r="N85" s="901"/>
      <c r="O85" s="902"/>
      <c r="P85" s="1083"/>
      <c r="Q85" s="1083"/>
      <c r="R85" s="1083"/>
    </row>
    <row r="86" spans="2:19" x14ac:dyDescent="0.2">
      <c r="B86" s="840"/>
      <c r="C86" s="2234"/>
      <c r="D86" s="653"/>
      <c r="E86" s="2227"/>
      <c r="F86" s="1078"/>
      <c r="G86" s="2228"/>
    </row>
    <row r="87" spans="2:19" ht="25.5" x14ac:dyDescent="0.2">
      <c r="B87" s="892" t="s">
        <v>1233</v>
      </c>
      <c r="C87" s="2891" t="s">
        <v>1234</v>
      </c>
      <c r="D87" s="653" t="s">
        <v>137</v>
      </c>
      <c r="E87" s="2227">
        <v>997</v>
      </c>
      <c r="F87" s="1078">
        <v>0</v>
      </c>
      <c r="G87" s="2228">
        <f>F87*E87</f>
        <v>0</v>
      </c>
    </row>
    <row r="88" spans="2:19" x14ac:dyDescent="0.2">
      <c r="B88" s="892"/>
      <c r="C88" s="2891"/>
      <c r="D88" s="653"/>
      <c r="E88" s="2227"/>
      <c r="F88" s="1078"/>
      <c r="G88" s="2228"/>
    </row>
    <row r="89" spans="2:19" ht="25.5" x14ac:dyDescent="0.2">
      <c r="B89" s="892" t="s">
        <v>1235</v>
      </c>
      <c r="C89" s="2891" t="s">
        <v>1236</v>
      </c>
      <c r="D89" s="2124" t="s">
        <v>117</v>
      </c>
      <c r="E89" s="2227">
        <v>1150</v>
      </c>
      <c r="F89" s="1078">
        <v>0</v>
      </c>
      <c r="G89" s="2228">
        <f>F89*E89</f>
        <v>0</v>
      </c>
    </row>
    <row r="90" spans="2:19" ht="15" customHeight="1" x14ac:dyDescent="0.2">
      <c r="B90" s="845"/>
      <c r="C90" s="2891"/>
      <c r="D90" s="2124"/>
      <c r="E90" s="2227"/>
      <c r="F90" s="1078"/>
      <c r="G90" s="2228"/>
      <c r="N90" s="906"/>
      <c r="O90" s="907"/>
      <c r="P90" s="908"/>
      <c r="Q90" s="1084"/>
      <c r="R90" s="1075"/>
      <c r="S90" s="1085"/>
    </row>
    <row r="91" spans="2:19" ht="63.75" x14ac:dyDescent="0.2">
      <c r="B91" s="861" t="s">
        <v>1237</v>
      </c>
      <c r="C91" s="2894" t="s">
        <v>139</v>
      </c>
      <c r="D91" s="912"/>
      <c r="E91" s="913"/>
      <c r="F91" s="1086"/>
      <c r="G91" s="1087"/>
    </row>
    <row r="92" spans="2:19" x14ac:dyDescent="0.2">
      <c r="B92" s="861"/>
      <c r="C92" s="2894" t="s">
        <v>712</v>
      </c>
      <c r="D92" s="912" t="s">
        <v>95</v>
      </c>
      <c r="E92" s="913">
        <v>16</v>
      </c>
      <c r="F92" s="1078">
        <v>0</v>
      </c>
      <c r="G92" s="1087">
        <f>E92*F92</f>
        <v>0</v>
      </c>
    </row>
    <row r="93" spans="2:19" x14ac:dyDescent="0.2">
      <c r="B93" s="845"/>
      <c r="C93" s="2894"/>
      <c r="D93" s="912"/>
      <c r="E93" s="913"/>
      <c r="F93" s="1086"/>
      <c r="G93" s="1087"/>
    </row>
    <row r="94" spans="2:19" ht="51.75" customHeight="1" x14ac:dyDescent="0.2">
      <c r="B94" s="892" t="s">
        <v>1239</v>
      </c>
      <c r="C94" s="922" t="s">
        <v>1240</v>
      </c>
      <c r="D94" s="2235" t="s">
        <v>112</v>
      </c>
      <c r="E94" s="2236">
        <v>20</v>
      </c>
      <c r="F94" s="1078">
        <v>0</v>
      </c>
      <c r="G94" s="2228">
        <f>E94*F94</f>
        <v>0</v>
      </c>
    </row>
    <row r="95" spans="2:19" x14ac:dyDescent="0.2">
      <c r="B95" s="921"/>
      <c r="C95" s="922"/>
      <c r="D95" s="2235"/>
      <c r="E95" s="2236"/>
      <c r="F95" s="2237"/>
      <c r="G95" s="2228"/>
    </row>
    <row r="96" spans="2:19" ht="36.75" customHeight="1" x14ac:dyDescent="0.2">
      <c r="B96" s="892" t="s">
        <v>1241</v>
      </c>
      <c r="C96" s="922" t="s">
        <v>1242</v>
      </c>
      <c r="D96" s="2235" t="s">
        <v>149</v>
      </c>
      <c r="E96" s="2236">
        <v>27</v>
      </c>
      <c r="F96" s="1078">
        <v>0</v>
      </c>
      <c r="G96" s="2228">
        <f>E96*F96</f>
        <v>0</v>
      </c>
      <c r="H96" s="923"/>
      <c r="I96" s="130"/>
    </row>
    <row r="97" spans="2:9" ht="13.5" customHeight="1" x14ac:dyDescent="0.2">
      <c r="B97" s="892"/>
      <c r="C97" s="922"/>
      <c r="D97" s="2235"/>
      <c r="E97" s="2236"/>
      <c r="F97" s="2237"/>
      <c r="G97" s="2228"/>
      <c r="H97" s="923"/>
      <c r="I97" s="130"/>
    </row>
    <row r="98" spans="2:9" ht="36.75" customHeight="1" x14ac:dyDescent="0.2">
      <c r="B98" s="892" t="s">
        <v>1243</v>
      </c>
      <c r="C98" s="924" t="s">
        <v>153</v>
      </c>
      <c r="D98" s="925" t="s">
        <v>112</v>
      </c>
      <c r="E98" s="926">
        <v>10</v>
      </c>
      <c r="F98" s="1078">
        <v>0</v>
      </c>
      <c r="G98" s="2228">
        <f>E98*F98</f>
        <v>0</v>
      </c>
      <c r="H98" s="923"/>
      <c r="I98" s="130"/>
    </row>
    <row r="99" spans="2:9" ht="16.5" customHeight="1" x14ac:dyDescent="0.2">
      <c r="B99" s="892"/>
      <c r="C99" s="2908"/>
      <c r="D99" s="1088"/>
      <c r="E99" s="2236"/>
      <c r="F99" s="2590"/>
      <c r="G99" s="2591"/>
    </row>
    <row r="100" spans="2:9" ht="13.5" customHeight="1" x14ac:dyDescent="0.2">
      <c r="B100" s="872" t="s">
        <v>12</v>
      </c>
      <c r="C100" s="2889" t="s">
        <v>157</v>
      </c>
      <c r="D100" s="872"/>
      <c r="E100" s="874"/>
      <c r="F100" s="875"/>
      <c r="G100" s="1082">
        <f>SUM(G59:G99)</f>
        <v>0</v>
      </c>
    </row>
    <row r="101" spans="2:9" ht="30" customHeight="1" x14ac:dyDescent="0.2"/>
    <row r="102" spans="2:9" ht="18" customHeight="1" x14ac:dyDescent="0.2">
      <c r="B102" s="805" t="s">
        <v>83</v>
      </c>
      <c r="C102" s="2890" t="s">
        <v>89</v>
      </c>
      <c r="D102" s="806" t="s">
        <v>90</v>
      </c>
      <c r="E102" s="808" t="s">
        <v>91</v>
      </c>
      <c r="F102" s="809" t="s">
        <v>92</v>
      </c>
      <c r="G102" s="810" t="s">
        <v>93</v>
      </c>
    </row>
    <row r="103" spans="2:9" ht="18" customHeight="1" x14ac:dyDescent="0.2">
      <c r="B103" s="811"/>
      <c r="C103" s="2234"/>
      <c r="D103" s="878"/>
      <c r="E103" s="814"/>
      <c r="F103" s="815"/>
      <c r="G103" s="816"/>
    </row>
    <row r="104" spans="2:9" ht="18" customHeight="1" x14ac:dyDescent="0.2">
      <c r="B104" s="930" t="s">
        <v>17</v>
      </c>
      <c r="C104" s="2907" t="s">
        <v>158</v>
      </c>
      <c r="D104" s="880"/>
      <c r="E104" s="820"/>
      <c r="F104" s="821"/>
      <c r="G104" s="822"/>
    </row>
    <row r="105" spans="2:9" ht="18" customHeight="1" x14ac:dyDescent="0.2">
      <c r="B105" s="2865" t="s">
        <v>1</v>
      </c>
      <c r="C105" s="2901"/>
      <c r="D105" s="2867"/>
      <c r="E105" s="2867"/>
      <c r="F105" s="2867"/>
      <c r="G105" s="2868"/>
    </row>
    <row r="106" spans="2:9" ht="15.75" customHeight="1" x14ac:dyDescent="0.2">
      <c r="B106" s="2869" t="s">
        <v>2</v>
      </c>
      <c r="C106" s="2902"/>
      <c r="D106" s="2871"/>
      <c r="E106" s="2872"/>
      <c r="F106" s="2872"/>
      <c r="G106" s="2871"/>
    </row>
    <row r="107" spans="2:9" ht="18" customHeight="1" x14ac:dyDescent="0.2">
      <c r="B107" s="2865" t="s">
        <v>3</v>
      </c>
      <c r="C107" s="2901"/>
      <c r="D107" s="2867"/>
      <c r="E107" s="2867"/>
      <c r="F107" s="2867"/>
      <c r="G107" s="2868"/>
    </row>
    <row r="108" spans="2:9" ht="18" customHeight="1" x14ac:dyDescent="0.2">
      <c r="B108" s="2869" t="s">
        <v>4</v>
      </c>
      <c r="C108" s="2902"/>
      <c r="D108" s="2872"/>
      <c r="E108" s="2872"/>
      <c r="F108" s="2872"/>
      <c r="G108" s="2871"/>
    </row>
    <row r="109" spans="2:9" ht="15.75" customHeight="1" x14ac:dyDescent="0.2">
      <c r="B109" s="3233" t="s">
        <v>159</v>
      </c>
      <c r="C109" s="3234"/>
      <c r="D109" s="3234"/>
      <c r="E109" s="3234"/>
      <c r="F109" s="3234"/>
      <c r="G109" s="3235"/>
    </row>
    <row r="110" spans="2:9" x14ac:dyDescent="0.2">
      <c r="B110" s="3233" t="s">
        <v>160</v>
      </c>
      <c r="C110" s="3234"/>
      <c r="D110" s="3234"/>
      <c r="E110" s="3234"/>
      <c r="F110" s="3234"/>
      <c r="G110" s="3235"/>
    </row>
    <row r="111" spans="2:9" ht="12.75" customHeight="1" x14ac:dyDescent="0.2">
      <c r="B111" s="3233" t="s">
        <v>161</v>
      </c>
      <c r="C111" s="3234"/>
      <c r="D111" s="3234"/>
      <c r="E111" s="3234"/>
      <c r="F111" s="3234"/>
      <c r="G111" s="3235"/>
    </row>
    <row r="112" spans="2:9" ht="12.75" customHeight="1" x14ac:dyDescent="0.2">
      <c r="B112" s="845"/>
      <c r="C112" s="2891"/>
      <c r="D112" s="857"/>
      <c r="E112" s="2232"/>
      <c r="F112" s="1078"/>
      <c r="G112" s="2228"/>
    </row>
    <row r="113" spans="2:10" ht="12.75" customHeight="1" x14ac:dyDescent="0.2">
      <c r="B113" s="829">
        <v>1</v>
      </c>
      <c r="C113" s="2909" t="s">
        <v>162</v>
      </c>
      <c r="D113" s="932"/>
      <c r="E113" s="2592"/>
      <c r="F113" s="2593"/>
      <c r="G113" s="2594"/>
    </row>
    <row r="114" spans="2:10" x14ac:dyDescent="0.2">
      <c r="B114" s="829"/>
      <c r="C114" s="936" t="s">
        <v>722</v>
      </c>
      <c r="D114" s="937" t="s">
        <v>95</v>
      </c>
      <c r="E114" s="938">
        <v>671</v>
      </c>
      <c r="F114" s="1086">
        <v>0</v>
      </c>
      <c r="G114" s="1087">
        <f>E114*F114</f>
        <v>0</v>
      </c>
      <c r="I114" s="940"/>
    </row>
    <row r="115" spans="2:10" ht="24.75" customHeight="1" x14ac:dyDescent="0.2">
      <c r="B115" s="829"/>
      <c r="C115" s="936" t="s">
        <v>1244</v>
      </c>
      <c r="D115" s="937" t="s">
        <v>95</v>
      </c>
      <c r="E115" s="938">
        <v>1563</v>
      </c>
      <c r="F115" s="1086">
        <v>0</v>
      </c>
      <c r="G115" s="1087">
        <f>E115*F115</f>
        <v>0</v>
      </c>
      <c r="I115" s="940"/>
    </row>
    <row r="116" spans="2:10" ht="24.75" customHeight="1" x14ac:dyDescent="0.2">
      <c r="B116" s="829"/>
      <c r="C116" s="2104" t="s">
        <v>1247</v>
      </c>
      <c r="D116" s="937" t="s">
        <v>95</v>
      </c>
      <c r="E116" s="938">
        <v>198</v>
      </c>
      <c r="F116" s="1086">
        <v>0</v>
      </c>
      <c r="G116" s="1087">
        <f>E116*F116</f>
        <v>0</v>
      </c>
      <c r="I116" s="940"/>
    </row>
    <row r="117" spans="2:10" ht="44.25" customHeight="1" x14ac:dyDescent="0.2">
      <c r="B117" s="829"/>
      <c r="C117" s="2104" t="s">
        <v>1248</v>
      </c>
      <c r="D117" s="937" t="s">
        <v>95</v>
      </c>
      <c r="E117" s="938">
        <v>22</v>
      </c>
      <c r="F117" s="1086">
        <v>0</v>
      </c>
      <c r="G117" s="1087">
        <f>E117*F117</f>
        <v>0</v>
      </c>
    </row>
    <row r="118" spans="2:10" ht="12.75" customHeight="1" x14ac:dyDescent="0.2">
      <c r="B118" s="829"/>
      <c r="C118" s="2104"/>
      <c r="D118" s="937"/>
      <c r="E118" s="938"/>
      <c r="F118" s="2595"/>
      <c r="G118" s="2596"/>
      <c r="J118" s="940"/>
    </row>
    <row r="119" spans="2:10" ht="67.5" customHeight="1" x14ac:dyDescent="0.2">
      <c r="B119" s="3251" t="s">
        <v>167</v>
      </c>
      <c r="C119" s="2910" t="s">
        <v>168</v>
      </c>
      <c r="D119" s="912"/>
      <c r="E119" s="913"/>
      <c r="F119" s="1086"/>
      <c r="G119" s="1087"/>
    </row>
    <row r="120" spans="2:10" ht="30" customHeight="1" x14ac:dyDescent="0.2">
      <c r="B120" s="3252"/>
      <c r="C120" s="2894" t="s">
        <v>171</v>
      </c>
      <c r="D120" s="912" t="s">
        <v>95</v>
      </c>
      <c r="E120" s="913">
        <v>55</v>
      </c>
      <c r="F120" s="1086">
        <v>0</v>
      </c>
      <c r="G120" s="1087">
        <f>E120*F120</f>
        <v>0</v>
      </c>
    </row>
    <row r="121" spans="2:10" ht="12" customHeight="1" x14ac:dyDescent="0.2">
      <c r="B121" s="829"/>
      <c r="C121" s="944"/>
      <c r="D121" s="937"/>
      <c r="E121" s="938"/>
      <c r="F121" s="2595"/>
      <c r="G121" s="2596"/>
    </row>
    <row r="122" spans="2:10" ht="61.5" customHeight="1" x14ac:dyDescent="0.2">
      <c r="B122" s="945">
        <v>2</v>
      </c>
      <c r="C122" s="2911" t="s">
        <v>172</v>
      </c>
      <c r="D122" s="2727" t="s">
        <v>95</v>
      </c>
      <c r="E122" s="947">
        <f>SUM(E114:E117)</f>
        <v>2454</v>
      </c>
      <c r="F122" s="1077">
        <v>0</v>
      </c>
      <c r="G122" s="1078">
        <f>E122*F122</f>
        <v>0</v>
      </c>
    </row>
    <row r="123" spans="2:10" ht="54" customHeight="1" x14ac:dyDescent="0.2">
      <c r="B123" s="948" t="s">
        <v>173</v>
      </c>
      <c r="C123" s="2911" t="s">
        <v>174</v>
      </c>
      <c r="D123" s="2727" t="s">
        <v>95</v>
      </c>
      <c r="E123" s="947">
        <f>E122</f>
        <v>2454</v>
      </c>
      <c r="F123" s="1077">
        <v>0</v>
      </c>
      <c r="G123" s="1078">
        <f>E123*F123</f>
        <v>0</v>
      </c>
    </row>
    <row r="124" spans="2:10" ht="36" customHeight="1" x14ac:dyDescent="0.2">
      <c r="B124" s="948" t="s">
        <v>175</v>
      </c>
      <c r="C124" s="2911" t="s">
        <v>176</v>
      </c>
      <c r="D124" s="2727" t="s">
        <v>95</v>
      </c>
      <c r="E124" s="947">
        <f>E122</f>
        <v>2454</v>
      </c>
      <c r="F124" s="1077">
        <v>0</v>
      </c>
      <c r="G124" s="1078">
        <f>E124*F124</f>
        <v>0</v>
      </c>
    </row>
    <row r="125" spans="2:10" ht="62.25" customHeight="1" x14ac:dyDescent="0.2">
      <c r="B125" s="948" t="s">
        <v>177</v>
      </c>
      <c r="C125" s="2911" t="s">
        <v>178</v>
      </c>
      <c r="D125" s="2727" t="s">
        <v>95</v>
      </c>
      <c r="E125" s="947">
        <f>E122</f>
        <v>2454</v>
      </c>
      <c r="F125" s="1077">
        <v>0</v>
      </c>
      <c r="G125" s="1078">
        <f>E125*F125</f>
        <v>0</v>
      </c>
    </row>
    <row r="126" spans="2:10" x14ac:dyDescent="0.2">
      <c r="B126" s="845"/>
      <c r="C126" s="2891"/>
      <c r="D126" s="846"/>
      <c r="E126" s="2232"/>
      <c r="F126" s="2597"/>
      <c r="G126" s="2228"/>
    </row>
    <row r="127" spans="2:10" ht="16.5" customHeight="1" x14ac:dyDescent="0.2">
      <c r="B127" s="2051" t="s">
        <v>1249</v>
      </c>
      <c r="C127" s="2895" t="s">
        <v>1254</v>
      </c>
      <c r="D127" s="2052"/>
      <c r="E127" s="2598"/>
      <c r="F127" s="2599"/>
      <c r="G127" s="2599"/>
      <c r="I127" s="723"/>
    </row>
    <row r="128" spans="2:10" x14ac:dyDescent="0.2">
      <c r="B128" s="2051"/>
      <c r="C128" s="2912" t="s">
        <v>1255</v>
      </c>
      <c r="D128" s="2057" t="s">
        <v>149</v>
      </c>
      <c r="E128" s="2044">
        <v>3</v>
      </c>
      <c r="F128" s="2238">
        <v>0</v>
      </c>
      <c r="G128" s="2239">
        <f t="shared" ref="G128:G142" si="1">E128*F128</f>
        <v>0</v>
      </c>
      <c r="I128" s="723"/>
    </row>
    <row r="129" spans="2:9" ht="25.5" x14ac:dyDescent="0.2">
      <c r="B129" s="2051"/>
      <c r="C129" s="2912" t="s">
        <v>342</v>
      </c>
      <c r="D129" s="2057" t="s">
        <v>149</v>
      </c>
      <c r="E129" s="2044">
        <v>6</v>
      </c>
      <c r="F129" s="2238">
        <v>0</v>
      </c>
      <c r="G129" s="2239">
        <f t="shared" si="1"/>
        <v>0</v>
      </c>
      <c r="I129" s="723"/>
    </row>
    <row r="130" spans="2:9" ht="33.75" customHeight="1" x14ac:dyDescent="0.2">
      <c r="B130" s="2051"/>
      <c r="C130" s="2912" t="s">
        <v>843</v>
      </c>
      <c r="D130" s="2057" t="s">
        <v>149</v>
      </c>
      <c r="E130" s="2044">
        <v>3</v>
      </c>
      <c r="F130" s="2238">
        <v>0</v>
      </c>
      <c r="G130" s="2239">
        <f t="shared" si="1"/>
        <v>0</v>
      </c>
      <c r="I130" s="723"/>
    </row>
    <row r="131" spans="2:9" x14ac:dyDescent="0.2">
      <c r="B131" s="2051"/>
      <c r="C131" s="2912" t="s">
        <v>210</v>
      </c>
      <c r="D131" s="2057" t="s">
        <v>149</v>
      </c>
      <c r="E131" s="2044">
        <v>3</v>
      </c>
      <c r="F131" s="2238">
        <v>0</v>
      </c>
      <c r="G131" s="2239">
        <f t="shared" si="1"/>
        <v>0</v>
      </c>
      <c r="I131" s="723"/>
    </row>
    <row r="132" spans="2:9" x14ac:dyDescent="0.2">
      <c r="B132" s="2051"/>
      <c r="C132" s="2912" t="s">
        <v>211</v>
      </c>
      <c r="D132" s="2057" t="s">
        <v>149</v>
      </c>
      <c r="E132" s="2044">
        <v>3</v>
      </c>
      <c r="F132" s="2238">
        <v>0</v>
      </c>
      <c r="G132" s="2239">
        <f t="shared" si="1"/>
        <v>0</v>
      </c>
      <c r="I132" s="723"/>
    </row>
    <row r="133" spans="2:9" x14ac:dyDescent="0.2">
      <c r="B133" s="2051"/>
      <c r="C133" s="2912" t="s">
        <v>212</v>
      </c>
      <c r="D133" s="2057" t="s">
        <v>149</v>
      </c>
      <c r="E133" s="2044">
        <v>3</v>
      </c>
      <c r="F133" s="2238">
        <v>0</v>
      </c>
      <c r="G133" s="2239">
        <f t="shared" si="1"/>
        <v>0</v>
      </c>
      <c r="I133" s="723"/>
    </row>
    <row r="134" spans="2:9" x14ac:dyDescent="0.2">
      <c r="B134" s="2051"/>
      <c r="C134" s="2912" t="s">
        <v>1104</v>
      </c>
      <c r="D134" s="2057" t="s">
        <v>149</v>
      </c>
      <c r="E134" s="2044">
        <v>3</v>
      </c>
      <c r="F134" s="2238">
        <v>0</v>
      </c>
      <c r="G134" s="2239">
        <f t="shared" si="1"/>
        <v>0</v>
      </c>
      <c r="I134" s="723"/>
    </row>
    <row r="135" spans="2:9" x14ac:dyDescent="0.2">
      <c r="B135" s="2051"/>
      <c r="C135" s="2912" t="s">
        <v>214</v>
      </c>
      <c r="D135" s="2057" t="s">
        <v>149</v>
      </c>
      <c r="E135" s="2044">
        <v>3</v>
      </c>
      <c r="F135" s="2238">
        <v>0</v>
      </c>
      <c r="G135" s="2239">
        <f t="shared" si="1"/>
        <v>0</v>
      </c>
      <c r="I135" s="723"/>
    </row>
    <row r="136" spans="2:9" x14ac:dyDescent="0.2">
      <c r="B136" s="2051"/>
      <c r="C136" s="2912" t="s">
        <v>215</v>
      </c>
      <c r="D136" s="2057" t="s">
        <v>149</v>
      </c>
      <c r="E136" s="2044">
        <v>3</v>
      </c>
      <c r="F136" s="2238">
        <v>0</v>
      </c>
      <c r="G136" s="2239">
        <f t="shared" si="1"/>
        <v>0</v>
      </c>
      <c r="I136" s="723"/>
    </row>
    <row r="137" spans="2:9" x14ac:dyDescent="0.2">
      <c r="B137" s="2051"/>
      <c r="C137" s="2896" t="s">
        <v>216</v>
      </c>
      <c r="D137" s="2057" t="s">
        <v>149</v>
      </c>
      <c r="E137" s="2044">
        <v>3</v>
      </c>
      <c r="F137" s="2238">
        <v>0</v>
      </c>
      <c r="G137" s="2239">
        <f t="shared" si="1"/>
        <v>0</v>
      </c>
      <c r="I137" s="723"/>
    </row>
    <row r="138" spans="2:9" x14ac:dyDescent="0.2">
      <c r="B138" s="2051"/>
      <c r="C138" s="2896" t="s">
        <v>329</v>
      </c>
      <c r="D138" s="2057" t="s">
        <v>149</v>
      </c>
      <c r="E138" s="2044">
        <v>3</v>
      </c>
      <c r="F138" s="2238">
        <v>0</v>
      </c>
      <c r="G138" s="2239">
        <f t="shared" si="1"/>
        <v>0</v>
      </c>
      <c r="I138" s="723"/>
    </row>
    <row r="139" spans="2:9" x14ac:dyDescent="0.2">
      <c r="B139" s="2051"/>
      <c r="C139" s="2896" t="s">
        <v>354</v>
      </c>
      <c r="D139" s="2057" t="s">
        <v>149</v>
      </c>
      <c r="E139" s="2044">
        <v>6</v>
      </c>
      <c r="F139" s="2238">
        <v>0</v>
      </c>
      <c r="G139" s="2239">
        <f t="shared" si="1"/>
        <v>0</v>
      </c>
      <c r="I139" s="723"/>
    </row>
    <row r="140" spans="2:9" x14ac:dyDescent="0.2">
      <c r="B140" s="2051"/>
      <c r="C140" s="2896" t="s">
        <v>219</v>
      </c>
      <c r="D140" s="2057" t="s">
        <v>149</v>
      </c>
      <c r="E140" s="2044">
        <v>3</v>
      </c>
      <c r="F140" s="2238">
        <v>0</v>
      </c>
      <c r="G140" s="2239">
        <f t="shared" si="1"/>
        <v>0</v>
      </c>
      <c r="I140" s="723"/>
    </row>
    <row r="141" spans="2:9" x14ac:dyDescent="0.2">
      <c r="B141" s="2051"/>
      <c r="C141" s="2896" t="s">
        <v>227</v>
      </c>
      <c r="D141" s="2057" t="s">
        <v>149</v>
      </c>
      <c r="E141" s="2044">
        <v>9</v>
      </c>
      <c r="F141" s="2238">
        <v>0</v>
      </c>
      <c r="G141" s="2239">
        <f t="shared" si="1"/>
        <v>0</v>
      </c>
      <c r="I141" s="723"/>
    </row>
    <row r="142" spans="2:9" ht="25.5" x14ac:dyDescent="0.2">
      <c r="B142" s="2051"/>
      <c r="C142" s="2896" t="s">
        <v>1196</v>
      </c>
      <c r="D142" s="2057" t="s">
        <v>149</v>
      </c>
      <c r="E142" s="2044">
        <v>3</v>
      </c>
      <c r="F142" s="2238">
        <v>0</v>
      </c>
      <c r="G142" s="2239">
        <f t="shared" si="1"/>
        <v>0</v>
      </c>
      <c r="I142" s="723"/>
    </row>
    <row r="143" spans="2:9" ht="13.5" customHeight="1" x14ac:dyDescent="0.2">
      <c r="B143" s="950"/>
      <c r="C143" s="2891"/>
      <c r="D143" s="857"/>
      <c r="E143" s="2232"/>
      <c r="F143" s="1078"/>
      <c r="G143" s="2228"/>
      <c r="H143" s="1089"/>
      <c r="I143" s="723"/>
    </row>
    <row r="144" spans="2:9" ht="14.25" customHeight="1" x14ac:dyDescent="0.2">
      <c r="B144" s="2051" t="s">
        <v>1253</v>
      </c>
      <c r="C144" s="2895" t="s">
        <v>1257</v>
      </c>
      <c r="D144" s="2052"/>
      <c r="E144" s="2598"/>
      <c r="F144" s="2599"/>
      <c r="G144" s="2599"/>
      <c r="H144" s="1089"/>
      <c r="I144" s="723"/>
    </row>
    <row r="145" spans="2:13" ht="14.25" customHeight="1" x14ac:dyDescent="0.2">
      <c r="B145" s="2051"/>
      <c r="C145" s="2912" t="s">
        <v>1258</v>
      </c>
      <c r="D145" s="2057" t="s">
        <v>149</v>
      </c>
      <c r="E145" s="2044">
        <v>4</v>
      </c>
      <c r="F145" s="2238">
        <v>0</v>
      </c>
      <c r="G145" s="2239">
        <f t="shared" ref="G145:G151" si="2">E145*F145</f>
        <v>0</v>
      </c>
      <c r="H145" s="1089"/>
      <c r="I145" s="723"/>
    </row>
    <row r="146" spans="2:13" ht="54" customHeight="1" x14ac:dyDescent="0.2">
      <c r="B146" s="2051"/>
      <c r="C146" s="2912" t="s">
        <v>192</v>
      </c>
      <c r="D146" s="2057" t="s">
        <v>149</v>
      </c>
      <c r="E146" s="2044">
        <v>4</v>
      </c>
      <c r="F146" s="2238">
        <v>0</v>
      </c>
      <c r="G146" s="2239">
        <f t="shared" si="2"/>
        <v>0</v>
      </c>
      <c r="H146" s="1089"/>
      <c r="I146" s="723"/>
    </row>
    <row r="147" spans="2:13" ht="14.25" customHeight="1" x14ac:dyDescent="0.2">
      <c r="B147" s="2051"/>
      <c r="C147" s="2912" t="s">
        <v>193</v>
      </c>
      <c r="D147" s="2057" t="s">
        <v>149</v>
      </c>
      <c r="E147" s="2044">
        <v>4</v>
      </c>
      <c r="F147" s="2238">
        <v>0</v>
      </c>
      <c r="G147" s="2239">
        <f t="shared" si="2"/>
        <v>0</v>
      </c>
      <c r="H147" s="1089"/>
      <c r="I147" s="723"/>
    </row>
    <row r="148" spans="2:13" ht="14.25" customHeight="1" x14ac:dyDescent="0.2">
      <c r="B148" s="2051"/>
      <c r="C148" s="2912" t="s">
        <v>194</v>
      </c>
      <c r="D148" s="2057" t="s">
        <v>149</v>
      </c>
      <c r="E148" s="2044">
        <v>4</v>
      </c>
      <c r="F148" s="2238">
        <v>0</v>
      </c>
      <c r="G148" s="2239">
        <f t="shared" si="2"/>
        <v>0</v>
      </c>
      <c r="H148" s="1089"/>
      <c r="I148" s="723"/>
    </row>
    <row r="149" spans="2:13" ht="23.25" customHeight="1" x14ac:dyDescent="0.2">
      <c r="B149" s="2051"/>
      <c r="C149" s="2896" t="s">
        <v>354</v>
      </c>
      <c r="D149" s="2057" t="s">
        <v>149</v>
      </c>
      <c r="E149" s="2044">
        <v>8</v>
      </c>
      <c r="F149" s="2238">
        <v>0</v>
      </c>
      <c r="G149" s="2239">
        <f t="shared" si="2"/>
        <v>0</v>
      </c>
      <c r="H149" s="1089"/>
      <c r="I149" s="723"/>
    </row>
    <row r="150" spans="2:13" ht="30" customHeight="1" x14ac:dyDescent="0.2">
      <c r="B150" s="2051"/>
      <c r="C150" s="2896" t="s">
        <v>197</v>
      </c>
      <c r="D150" s="2057" t="s">
        <v>149</v>
      </c>
      <c r="E150" s="2044">
        <v>4</v>
      </c>
      <c r="F150" s="2238">
        <v>0</v>
      </c>
      <c r="G150" s="2239">
        <f t="shared" si="2"/>
        <v>0</v>
      </c>
      <c r="H150" s="1089"/>
      <c r="I150" s="723"/>
    </row>
    <row r="151" spans="2:13" ht="27.75" customHeight="1" x14ac:dyDescent="0.2">
      <c r="B151" s="2051"/>
      <c r="C151" s="2896" t="s">
        <v>1196</v>
      </c>
      <c r="D151" s="2057" t="s">
        <v>149</v>
      </c>
      <c r="E151" s="2044">
        <v>4</v>
      </c>
      <c r="F151" s="2238">
        <v>0</v>
      </c>
      <c r="G151" s="2239">
        <f t="shared" si="2"/>
        <v>0</v>
      </c>
      <c r="H151" s="1089"/>
      <c r="I151" s="723"/>
    </row>
    <row r="152" spans="2:13" ht="18.75" customHeight="1" x14ac:dyDescent="0.2">
      <c r="B152" s="950"/>
      <c r="C152" s="2913"/>
      <c r="D152" s="951"/>
      <c r="E152" s="2600"/>
      <c r="F152" s="2601"/>
      <c r="G152" s="2601"/>
      <c r="H152" s="1089"/>
      <c r="I152" s="964"/>
      <c r="J152" s="723"/>
      <c r="K152" s="723"/>
      <c r="L152" s="723"/>
    </row>
    <row r="153" spans="2:13" ht="30" customHeight="1" x14ac:dyDescent="0.2">
      <c r="B153" s="2051" t="s">
        <v>1256</v>
      </c>
      <c r="C153" s="2895" t="s">
        <v>1260</v>
      </c>
      <c r="D153" s="2052"/>
      <c r="E153" s="2598"/>
      <c r="F153" s="2599"/>
      <c r="G153" s="2599"/>
      <c r="H153" s="1089"/>
      <c r="I153" s="964"/>
      <c r="J153" s="723"/>
      <c r="K153" s="723"/>
      <c r="L153" s="723"/>
    </row>
    <row r="154" spans="2:13" ht="15" customHeight="1" x14ac:dyDescent="0.2">
      <c r="B154" s="2051"/>
      <c r="C154" s="2912" t="s">
        <v>1255</v>
      </c>
      <c r="D154" s="2057" t="s">
        <v>149</v>
      </c>
      <c r="E154" s="2044">
        <v>7</v>
      </c>
      <c r="F154" s="2238">
        <v>0</v>
      </c>
      <c r="G154" s="2239">
        <f t="shared" ref="G154:G163" si="3">E154*F154</f>
        <v>0</v>
      </c>
      <c r="H154" s="1089"/>
      <c r="I154" s="964"/>
      <c r="J154" s="723"/>
      <c r="K154" s="723"/>
      <c r="L154" s="723"/>
    </row>
    <row r="155" spans="2:13" ht="45" customHeight="1" x14ac:dyDescent="0.2">
      <c r="B155" s="2051"/>
      <c r="C155" s="2912" t="s">
        <v>223</v>
      </c>
      <c r="D155" s="2057" t="s">
        <v>149</v>
      </c>
      <c r="E155" s="2044">
        <v>7</v>
      </c>
      <c r="F155" s="2238">
        <v>0</v>
      </c>
      <c r="G155" s="2239">
        <f t="shared" si="3"/>
        <v>0</v>
      </c>
      <c r="H155" s="1089"/>
      <c r="I155" s="964"/>
      <c r="J155" s="723"/>
      <c r="K155" s="723"/>
      <c r="L155" s="723"/>
    </row>
    <row r="156" spans="2:13" ht="27.75" customHeight="1" x14ac:dyDescent="0.2">
      <c r="B156" s="2051"/>
      <c r="C156" s="2912" t="s">
        <v>213</v>
      </c>
      <c r="D156" s="2057" t="s">
        <v>149</v>
      </c>
      <c r="E156" s="2044">
        <v>7</v>
      </c>
      <c r="F156" s="2238">
        <v>0</v>
      </c>
      <c r="G156" s="2239">
        <f t="shared" si="3"/>
        <v>0</v>
      </c>
      <c r="H156" s="1089"/>
      <c r="I156" s="964"/>
      <c r="J156" s="723"/>
      <c r="K156" s="723"/>
      <c r="L156" s="723"/>
    </row>
    <row r="157" spans="2:13" ht="18.75" customHeight="1" x14ac:dyDescent="0.2">
      <c r="B157" s="2051"/>
      <c r="C157" s="2912" t="s">
        <v>224</v>
      </c>
      <c r="D157" s="2057" t="s">
        <v>149</v>
      </c>
      <c r="E157" s="2044">
        <v>7</v>
      </c>
      <c r="F157" s="2238">
        <v>0</v>
      </c>
      <c r="G157" s="2239">
        <f t="shared" si="3"/>
        <v>0</v>
      </c>
      <c r="H157" s="1089"/>
      <c r="I157" s="964"/>
      <c r="J157" s="723"/>
      <c r="K157" s="723"/>
      <c r="L157" s="723"/>
    </row>
    <row r="158" spans="2:13" ht="18.75" customHeight="1" x14ac:dyDescent="0.2">
      <c r="B158" s="2051"/>
      <c r="C158" s="2912" t="s">
        <v>225</v>
      </c>
      <c r="D158" s="2057" t="s">
        <v>149</v>
      </c>
      <c r="E158" s="2044">
        <v>7</v>
      </c>
      <c r="F158" s="2238">
        <v>0</v>
      </c>
      <c r="G158" s="2239">
        <f t="shared" si="3"/>
        <v>0</v>
      </c>
      <c r="H158" s="1089"/>
      <c r="I158" s="964"/>
      <c r="J158" s="723"/>
      <c r="K158" s="723"/>
      <c r="L158" s="723"/>
    </row>
    <row r="159" spans="2:13" ht="28.5" customHeight="1" x14ac:dyDescent="0.2">
      <c r="B159" s="2051"/>
      <c r="C159" s="2896" t="s">
        <v>226</v>
      </c>
      <c r="D159" s="2057" t="s">
        <v>149</v>
      </c>
      <c r="E159" s="2044">
        <v>7</v>
      </c>
      <c r="F159" s="2238">
        <v>0</v>
      </c>
      <c r="G159" s="2239">
        <f t="shared" si="3"/>
        <v>0</v>
      </c>
      <c r="H159" s="1089"/>
      <c r="I159" s="964"/>
      <c r="J159" s="723"/>
      <c r="K159" s="723"/>
      <c r="L159" s="723"/>
      <c r="M159" s="723"/>
    </row>
    <row r="160" spans="2:13" ht="21" customHeight="1" x14ac:dyDescent="0.2">
      <c r="B160" s="2051"/>
      <c r="C160" s="2896" t="s">
        <v>217</v>
      </c>
      <c r="D160" s="2057" t="s">
        <v>149</v>
      </c>
      <c r="E160" s="2044">
        <v>7</v>
      </c>
      <c r="F160" s="2238">
        <v>0</v>
      </c>
      <c r="G160" s="2239">
        <f t="shared" si="3"/>
        <v>0</v>
      </c>
      <c r="H160" s="1089"/>
      <c r="I160" s="964"/>
      <c r="J160" s="723"/>
      <c r="K160" s="723"/>
      <c r="L160" s="723"/>
      <c r="M160" s="723"/>
    </row>
    <row r="161" spans="2:13" ht="20.45" customHeight="1" x14ac:dyDescent="0.2">
      <c r="B161" s="2051"/>
      <c r="C161" s="2896" t="s">
        <v>354</v>
      </c>
      <c r="D161" s="2057" t="s">
        <v>149</v>
      </c>
      <c r="E161" s="2044">
        <v>14</v>
      </c>
      <c r="F161" s="2238">
        <v>0</v>
      </c>
      <c r="G161" s="2239">
        <f t="shared" si="3"/>
        <v>0</v>
      </c>
      <c r="H161" s="1089"/>
      <c r="I161" s="964"/>
      <c r="J161" s="723"/>
      <c r="K161" s="723"/>
      <c r="L161" s="723"/>
      <c r="M161" s="723"/>
    </row>
    <row r="162" spans="2:13" ht="30.75" customHeight="1" x14ac:dyDescent="0.2">
      <c r="B162" s="2051"/>
      <c r="C162" s="2896" t="s">
        <v>227</v>
      </c>
      <c r="D162" s="2057" t="s">
        <v>149</v>
      </c>
      <c r="E162" s="2044">
        <v>7</v>
      </c>
      <c r="F162" s="2238">
        <v>0</v>
      </c>
      <c r="G162" s="2239">
        <f t="shared" si="3"/>
        <v>0</v>
      </c>
      <c r="H162" s="1089"/>
      <c r="I162" s="964"/>
      <c r="J162" s="723"/>
      <c r="K162" s="723"/>
      <c r="L162" s="723"/>
      <c r="M162" s="723"/>
    </row>
    <row r="163" spans="2:13" ht="32.450000000000003" customHeight="1" x14ac:dyDescent="0.2">
      <c r="B163" s="2051"/>
      <c r="C163" s="2896" t="s">
        <v>1196</v>
      </c>
      <c r="D163" s="2057" t="s">
        <v>149</v>
      </c>
      <c r="E163" s="2044">
        <v>7</v>
      </c>
      <c r="F163" s="2238">
        <v>0</v>
      </c>
      <c r="G163" s="2239">
        <f t="shared" si="3"/>
        <v>0</v>
      </c>
      <c r="H163" s="1089"/>
      <c r="I163" s="964"/>
      <c r="J163" s="723"/>
      <c r="K163" s="723"/>
      <c r="L163" s="723"/>
      <c r="M163" s="723"/>
    </row>
    <row r="164" spans="2:13" s="723" customFormat="1" ht="14.25" customHeight="1" x14ac:dyDescent="0.2">
      <c r="B164" s="950"/>
      <c r="C164" s="2914"/>
      <c r="D164" s="956"/>
      <c r="E164" s="2602"/>
      <c r="F164" s="2603"/>
      <c r="G164" s="2603"/>
      <c r="H164" s="1089"/>
      <c r="I164" s="965"/>
      <c r="J164" s="1075"/>
    </row>
    <row r="165" spans="2:13" s="723" customFormat="1" ht="27.75" customHeight="1" x14ac:dyDescent="0.2">
      <c r="B165" s="2051" t="s">
        <v>1259</v>
      </c>
      <c r="C165" s="2895" t="s">
        <v>1369</v>
      </c>
      <c r="D165" s="2070"/>
      <c r="E165" s="2604"/>
      <c r="F165" s="2605"/>
      <c r="G165" s="2605"/>
      <c r="H165" s="1089"/>
      <c r="I165" s="965"/>
      <c r="J165" s="1075"/>
    </row>
    <row r="166" spans="2:13" s="723" customFormat="1" ht="35.25" customHeight="1" x14ac:dyDescent="0.2">
      <c r="B166" s="2051"/>
      <c r="C166" s="2912" t="s">
        <v>1266</v>
      </c>
      <c r="D166" s="2057" t="s">
        <v>149</v>
      </c>
      <c r="E166" s="2044">
        <v>2</v>
      </c>
      <c r="F166" s="2238">
        <v>0</v>
      </c>
      <c r="G166" s="2239">
        <f t="shared" ref="G166:G173" si="4">E166*F166</f>
        <v>0</v>
      </c>
      <c r="H166" s="1089"/>
      <c r="I166" s="965"/>
      <c r="J166" s="1075"/>
    </row>
    <row r="167" spans="2:13" s="723" customFormat="1" ht="21.75" customHeight="1" x14ac:dyDescent="0.2">
      <c r="B167" s="2051"/>
      <c r="C167" s="2896" t="s">
        <v>354</v>
      </c>
      <c r="D167" s="2057" t="s">
        <v>149</v>
      </c>
      <c r="E167" s="2044">
        <v>4</v>
      </c>
      <c r="F167" s="2238">
        <v>0</v>
      </c>
      <c r="G167" s="2239">
        <f t="shared" si="4"/>
        <v>0</v>
      </c>
      <c r="H167" s="1089"/>
      <c r="I167" s="965"/>
      <c r="J167" s="1075"/>
    </row>
    <row r="168" spans="2:13" s="723" customFormat="1" ht="30" customHeight="1" x14ac:dyDescent="0.2">
      <c r="B168" s="2051"/>
      <c r="C168" s="2896" t="s">
        <v>239</v>
      </c>
      <c r="D168" s="2057" t="s">
        <v>149</v>
      </c>
      <c r="E168" s="2044">
        <v>2</v>
      </c>
      <c r="F168" s="2238">
        <v>0</v>
      </c>
      <c r="G168" s="2239">
        <f t="shared" si="4"/>
        <v>0</v>
      </c>
      <c r="H168" s="1089"/>
      <c r="I168" s="965"/>
      <c r="J168" s="1075"/>
    </row>
    <row r="169" spans="2:13" s="723" customFormat="1" ht="39" customHeight="1" x14ac:dyDescent="0.2">
      <c r="B169" s="2051"/>
      <c r="C169" s="2896" t="s">
        <v>1267</v>
      </c>
      <c r="D169" s="2057" t="s">
        <v>149</v>
      </c>
      <c r="E169" s="2044">
        <v>2</v>
      </c>
      <c r="F169" s="2238">
        <v>0</v>
      </c>
      <c r="G169" s="2239">
        <f t="shared" si="4"/>
        <v>0</v>
      </c>
      <c r="H169" s="1089"/>
      <c r="I169" s="965"/>
      <c r="J169" s="1075"/>
    </row>
    <row r="170" spans="2:13" s="723" customFormat="1" ht="24" customHeight="1" x14ac:dyDescent="0.2">
      <c r="B170" s="2051"/>
      <c r="C170" s="2896" t="s">
        <v>1268</v>
      </c>
      <c r="D170" s="2057" t="s">
        <v>149</v>
      </c>
      <c r="E170" s="2044">
        <v>2</v>
      </c>
      <c r="F170" s="2238">
        <v>0</v>
      </c>
      <c r="G170" s="2239">
        <f t="shared" si="4"/>
        <v>0</v>
      </c>
      <c r="H170" s="1089"/>
      <c r="I170" s="965"/>
      <c r="J170" s="1075"/>
    </row>
    <row r="171" spans="2:13" s="723" customFormat="1" ht="36.75" customHeight="1" x14ac:dyDescent="0.2">
      <c r="B171" s="2051"/>
      <c r="C171" s="2896" t="s">
        <v>1269</v>
      </c>
      <c r="D171" s="2057" t="s">
        <v>149</v>
      </c>
      <c r="E171" s="2044">
        <v>2</v>
      </c>
      <c r="F171" s="2238">
        <v>0</v>
      </c>
      <c r="G171" s="2239">
        <f t="shared" si="4"/>
        <v>0</v>
      </c>
      <c r="H171" s="1089"/>
      <c r="I171" s="965"/>
      <c r="J171" s="1075"/>
    </row>
    <row r="172" spans="2:13" s="723" customFormat="1" ht="28.5" customHeight="1" x14ac:dyDescent="0.2">
      <c r="B172" s="2051"/>
      <c r="C172" s="2896" t="s">
        <v>227</v>
      </c>
      <c r="D172" s="2057" t="s">
        <v>149</v>
      </c>
      <c r="E172" s="2044">
        <v>2</v>
      </c>
      <c r="F172" s="2238">
        <v>0</v>
      </c>
      <c r="G172" s="2239">
        <f t="shared" si="4"/>
        <v>0</v>
      </c>
      <c r="H172" s="1089"/>
      <c r="I172" s="965"/>
      <c r="J172" s="1075"/>
    </row>
    <row r="173" spans="2:13" s="723" customFormat="1" ht="34.5" customHeight="1" x14ac:dyDescent="0.2">
      <c r="B173" s="2051"/>
      <c r="C173" s="2896" t="s">
        <v>1196</v>
      </c>
      <c r="D173" s="2057" t="s">
        <v>149</v>
      </c>
      <c r="E173" s="2044">
        <v>2</v>
      </c>
      <c r="F173" s="2238">
        <v>0</v>
      </c>
      <c r="G173" s="2239">
        <f t="shared" si="4"/>
        <v>0</v>
      </c>
      <c r="H173" s="1089"/>
      <c r="I173" s="965"/>
      <c r="J173" s="1075"/>
    </row>
    <row r="174" spans="2:13" s="723" customFormat="1" ht="14.25" customHeight="1" x14ac:dyDescent="0.2">
      <c r="B174" s="950"/>
      <c r="C174" s="2914"/>
      <c r="D174" s="956"/>
      <c r="E174" s="2602"/>
      <c r="F174" s="2603"/>
      <c r="G174" s="2603"/>
      <c r="H174" s="1089"/>
      <c r="I174" s="965"/>
      <c r="J174" s="1075"/>
    </row>
    <row r="175" spans="2:13" s="723" customFormat="1" ht="27" customHeight="1" x14ac:dyDescent="0.2">
      <c r="B175" s="2051" t="s">
        <v>1261</v>
      </c>
      <c r="C175" s="2895" t="s">
        <v>1369</v>
      </c>
      <c r="D175" s="2070"/>
      <c r="E175" s="2604"/>
      <c r="F175" s="2605"/>
      <c r="G175" s="2605"/>
      <c r="H175" s="1089"/>
      <c r="I175" s="965"/>
      <c r="J175" s="1075"/>
    </row>
    <row r="176" spans="2:13" s="723" customFormat="1" ht="26.25" customHeight="1" x14ac:dyDescent="0.2">
      <c r="B176" s="2051"/>
      <c r="C176" s="2912" t="s">
        <v>1097</v>
      </c>
      <c r="D176" s="2240" t="s">
        <v>149</v>
      </c>
      <c r="E176" s="2241">
        <v>1</v>
      </c>
      <c r="F176" s="2238">
        <v>0</v>
      </c>
      <c r="G176" s="2239">
        <f t="shared" ref="G176:G181" si="5">E176*F176</f>
        <v>0</v>
      </c>
      <c r="H176" s="1089"/>
      <c r="I176" s="965"/>
      <c r="J176" s="1075"/>
    </row>
    <row r="177" spans="2:15" s="723" customFormat="1" ht="39.75" customHeight="1" x14ac:dyDescent="0.2">
      <c r="B177" s="2051"/>
      <c r="C177" s="2896" t="s">
        <v>354</v>
      </c>
      <c r="D177" s="2240" t="s">
        <v>149</v>
      </c>
      <c r="E177" s="2241">
        <v>2</v>
      </c>
      <c r="F177" s="2238">
        <v>0</v>
      </c>
      <c r="G177" s="2239">
        <f t="shared" si="5"/>
        <v>0</v>
      </c>
      <c r="H177" s="1089"/>
      <c r="I177" s="965"/>
      <c r="J177" s="1075"/>
    </row>
    <row r="178" spans="2:15" s="723" customFormat="1" ht="39.75" customHeight="1" x14ac:dyDescent="0.2">
      <c r="B178" s="2051"/>
      <c r="C178" s="2896" t="s">
        <v>235</v>
      </c>
      <c r="D178" s="2240" t="s">
        <v>149</v>
      </c>
      <c r="E178" s="2241">
        <v>1</v>
      </c>
      <c r="F178" s="2238">
        <v>0</v>
      </c>
      <c r="G178" s="2239">
        <f t="shared" si="5"/>
        <v>0</v>
      </c>
      <c r="H178" s="1089"/>
      <c r="I178" s="965"/>
      <c r="J178" s="1075"/>
    </row>
    <row r="179" spans="2:15" s="723" customFormat="1" ht="30" customHeight="1" x14ac:dyDescent="0.2">
      <c r="B179" s="2051"/>
      <c r="C179" s="2896" t="s">
        <v>1294</v>
      </c>
      <c r="D179" s="2240" t="s">
        <v>149</v>
      </c>
      <c r="E179" s="2241">
        <v>1</v>
      </c>
      <c r="F179" s="2238">
        <v>0</v>
      </c>
      <c r="G179" s="2239">
        <f t="shared" si="5"/>
        <v>0</v>
      </c>
      <c r="H179" s="1089"/>
      <c r="I179" s="965"/>
      <c r="J179" s="1075"/>
    </row>
    <row r="180" spans="2:15" s="723" customFormat="1" ht="31.5" customHeight="1" x14ac:dyDescent="0.2">
      <c r="B180" s="2051"/>
      <c r="C180" s="2896" t="s">
        <v>227</v>
      </c>
      <c r="D180" s="2240" t="s">
        <v>149</v>
      </c>
      <c r="E180" s="2241">
        <v>1</v>
      </c>
      <c r="F180" s="2238">
        <v>0</v>
      </c>
      <c r="G180" s="2239">
        <f t="shared" si="5"/>
        <v>0</v>
      </c>
      <c r="H180" s="1089"/>
      <c r="I180" s="965"/>
      <c r="J180" s="1075"/>
    </row>
    <row r="181" spans="2:15" s="723" customFormat="1" ht="32.25" customHeight="1" x14ac:dyDescent="0.2">
      <c r="B181" s="2051"/>
      <c r="C181" s="2896" t="s">
        <v>1196</v>
      </c>
      <c r="D181" s="2240" t="s">
        <v>149</v>
      </c>
      <c r="E181" s="2241">
        <v>1</v>
      </c>
      <c r="F181" s="2238">
        <v>0</v>
      </c>
      <c r="G181" s="2239">
        <f t="shared" si="5"/>
        <v>0</v>
      </c>
      <c r="H181" s="1089"/>
      <c r="I181" s="965"/>
      <c r="J181" s="1075"/>
    </row>
    <row r="182" spans="2:15" s="723" customFormat="1" ht="14.25" customHeight="1" x14ac:dyDescent="0.2">
      <c r="B182" s="950"/>
      <c r="C182" s="2914"/>
      <c r="D182" s="956"/>
      <c r="E182" s="2602"/>
      <c r="F182" s="2603"/>
      <c r="G182" s="2603"/>
      <c r="H182" s="1089"/>
      <c r="I182" s="965"/>
      <c r="J182" s="1075"/>
    </row>
    <row r="183" spans="2:15" s="723" customFormat="1" ht="20.25" customHeight="1" x14ac:dyDescent="0.2">
      <c r="B183" s="2051" t="s">
        <v>1261</v>
      </c>
      <c r="C183" s="2895" t="s">
        <v>1370</v>
      </c>
      <c r="D183" s="2070"/>
      <c r="E183" s="2604"/>
      <c r="F183" s="2605"/>
      <c r="G183" s="2605"/>
      <c r="H183" s="1089"/>
      <c r="I183" s="965"/>
      <c r="J183" s="1075"/>
    </row>
    <row r="184" spans="2:15" s="723" customFormat="1" ht="27.75" customHeight="1" x14ac:dyDescent="0.2">
      <c r="B184" s="2051"/>
      <c r="C184" s="2912" t="s">
        <v>1097</v>
      </c>
      <c r="D184" s="2057" t="s">
        <v>149</v>
      </c>
      <c r="E184" s="2044">
        <v>1</v>
      </c>
      <c r="F184" s="2238">
        <v>0</v>
      </c>
      <c r="G184" s="2239">
        <f t="shared" ref="G184:G189" si="6">E184*F184</f>
        <v>0</v>
      </c>
      <c r="H184" s="1089"/>
      <c r="I184" s="965"/>
      <c r="J184" s="1075"/>
    </row>
    <row r="185" spans="2:15" s="723" customFormat="1" ht="24.75" customHeight="1" x14ac:dyDescent="0.2">
      <c r="B185" s="2051"/>
      <c r="C185" s="2896" t="s">
        <v>354</v>
      </c>
      <c r="D185" s="2057" t="s">
        <v>149</v>
      </c>
      <c r="E185" s="2044">
        <v>2</v>
      </c>
      <c r="F185" s="2238">
        <v>0</v>
      </c>
      <c r="G185" s="2239">
        <f t="shared" si="6"/>
        <v>0</v>
      </c>
      <c r="H185" s="1089"/>
      <c r="I185" s="965"/>
      <c r="J185" s="1075"/>
    </row>
    <row r="186" spans="2:15" s="723" customFormat="1" ht="34.5" customHeight="1" x14ac:dyDescent="0.2">
      <c r="B186" s="2051"/>
      <c r="C186" s="2896" t="s">
        <v>235</v>
      </c>
      <c r="D186" s="2057" t="s">
        <v>149</v>
      </c>
      <c r="E186" s="2044">
        <v>1</v>
      </c>
      <c r="F186" s="2238">
        <v>0</v>
      </c>
      <c r="G186" s="2239">
        <f t="shared" si="6"/>
        <v>0</v>
      </c>
      <c r="H186" s="1089"/>
      <c r="I186" s="965"/>
      <c r="J186" s="1075"/>
    </row>
    <row r="187" spans="2:15" s="723" customFormat="1" ht="30" customHeight="1" x14ac:dyDescent="0.2">
      <c r="B187" s="2051"/>
      <c r="C187" s="2896" t="s">
        <v>1294</v>
      </c>
      <c r="D187" s="2057" t="s">
        <v>149</v>
      </c>
      <c r="E187" s="2044">
        <v>1</v>
      </c>
      <c r="F187" s="2238">
        <v>0</v>
      </c>
      <c r="G187" s="2239">
        <f t="shared" si="6"/>
        <v>0</v>
      </c>
      <c r="H187" s="1089"/>
      <c r="I187" s="965"/>
      <c r="J187" s="1075"/>
    </row>
    <row r="188" spans="2:15" s="723" customFormat="1" ht="33" customHeight="1" x14ac:dyDescent="0.2">
      <c r="B188" s="2051"/>
      <c r="C188" s="2896" t="s">
        <v>227</v>
      </c>
      <c r="D188" s="2057" t="s">
        <v>149</v>
      </c>
      <c r="E188" s="2044">
        <v>1</v>
      </c>
      <c r="F188" s="2238">
        <v>0</v>
      </c>
      <c r="G188" s="2239">
        <f t="shared" si="6"/>
        <v>0</v>
      </c>
      <c r="H188" s="1089"/>
      <c r="I188" s="965"/>
      <c r="J188" s="1075"/>
    </row>
    <row r="189" spans="2:15" s="723" customFormat="1" ht="33.75" customHeight="1" x14ac:dyDescent="0.2">
      <c r="B189" s="2051"/>
      <c r="C189" s="2896" t="s">
        <v>1196</v>
      </c>
      <c r="D189" s="2057" t="s">
        <v>149</v>
      </c>
      <c r="E189" s="2044">
        <v>1</v>
      </c>
      <c r="F189" s="2238">
        <v>0</v>
      </c>
      <c r="G189" s="2239">
        <f t="shared" si="6"/>
        <v>0</v>
      </c>
      <c r="H189" s="1089"/>
      <c r="I189" s="965"/>
      <c r="J189" s="1075"/>
    </row>
    <row r="190" spans="2:15" s="723" customFormat="1" ht="14.25" customHeight="1" x14ac:dyDescent="0.2">
      <c r="B190" s="950"/>
      <c r="C190" s="2914"/>
      <c r="D190" s="956"/>
      <c r="E190" s="2602"/>
      <c r="F190" s="2603"/>
      <c r="G190" s="2603"/>
      <c r="H190" s="1089"/>
      <c r="I190" s="965"/>
      <c r="J190" s="1075"/>
    </row>
    <row r="191" spans="2:15" ht="38.25" x14ac:dyDescent="0.2">
      <c r="B191" s="950" t="s">
        <v>1308</v>
      </c>
      <c r="C191" s="2915" t="s">
        <v>229</v>
      </c>
      <c r="D191" s="1091" t="s">
        <v>149</v>
      </c>
      <c r="E191" s="1092">
        <v>10</v>
      </c>
      <c r="F191" s="1077">
        <v>0</v>
      </c>
      <c r="G191" s="1078">
        <f>E191*F191</f>
        <v>0</v>
      </c>
      <c r="H191" s="1094"/>
      <c r="I191" s="964"/>
      <c r="J191" s="723"/>
      <c r="K191" s="723"/>
      <c r="L191" s="723"/>
      <c r="M191" s="723"/>
      <c r="N191" s="723"/>
      <c r="O191" s="723"/>
    </row>
    <row r="192" spans="2:15" x14ac:dyDescent="0.2">
      <c r="B192" s="950"/>
      <c r="C192" s="2915"/>
      <c r="D192" s="1091"/>
      <c r="E192" s="1092"/>
      <c r="F192" s="1093"/>
      <c r="G192" s="1095"/>
      <c r="H192" s="1094"/>
      <c r="I192" s="964"/>
      <c r="J192" s="723"/>
      <c r="K192" s="723"/>
      <c r="L192" s="723"/>
      <c r="M192" s="723"/>
      <c r="N192" s="723"/>
      <c r="O192" s="723"/>
    </row>
    <row r="193" spans="2:11" s="723" customFormat="1" x14ac:dyDescent="0.2">
      <c r="B193" s="950" t="s">
        <v>1270</v>
      </c>
      <c r="C193" s="2913" t="s">
        <v>1271</v>
      </c>
      <c r="D193" s="951"/>
      <c r="E193" s="2600"/>
      <c r="F193" s="2601"/>
      <c r="G193" s="2601"/>
      <c r="H193" s="1089"/>
      <c r="I193" s="964"/>
      <c r="J193" s="1075"/>
      <c r="K193" s="1075"/>
    </row>
    <row r="194" spans="2:11" s="723" customFormat="1" x14ac:dyDescent="0.2">
      <c r="B194" s="950"/>
      <c r="C194" s="2897" t="s">
        <v>1272</v>
      </c>
      <c r="D194" s="966" t="s">
        <v>149</v>
      </c>
      <c r="E194" s="913">
        <v>10</v>
      </c>
      <c r="F194" s="1077">
        <v>0</v>
      </c>
      <c r="G194" s="1078">
        <f>E194*F194</f>
        <v>0</v>
      </c>
      <c r="H194" s="1089"/>
      <c r="I194" s="965"/>
      <c r="J194" s="1075"/>
      <c r="K194" s="1075"/>
    </row>
    <row r="195" spans="2:11" s="723" customFormat="1" x14ac:dyDescent="0.2">
      <c r="B195" s="950"/>
      <c r="C195" s="2897" t="s">
        <v>1273</v>
      </c>
      <c r="D195" s="966" t="s">
        <v>149</v>
      </c>
      <c r="E195" s="913">
        <v>10</v>
      </c>
      <c r="F195" s="1077">
        <v>0</v>
      </c>
      <c r="G195" s="1078">
        <f>E195*F195</f>
        <v>0</v>
      </c>
      <c r="H195" s="1089"/>
      <c r="I195" s="964"/>
      <c r="K195" s="1075"/>
    </row>
    <row r="196" spans="2:11" s="723" customFormat="1" x14ac:dyDescent="0.2">
      <c r="B196" s="950"/>
      <c r="C196" s="2897" t="s">
        <v>1263</v>
      </c>
      <c r="D196" s="966" t="s">
        <v>149</v>
      </c>
      <c r="E196" s="913">
        <v>10</v>
      </c>
      <c r="F196" s="1077">
        <v>0</v>
      </c>
      <c r="G196" s="1078">
        <f>E196*F196</f>
        <v>0</v>
      </c>
      <c r="H196" s="1089"/>
      <c r="I196" s="964"/>
      <c r="K196" s="1075"/>
    </row>
    <row r="197" spans="2:11" s="723" customFormat="1" x14ac:dyDescent="0.2">
      <c r="B197" s="950"/>
      <c r="C197" s="2897" t="s">
        <v>341</v>
      </c>
      <c r="D197" s="966" t="s">
        <v>149</v>
      </c>
      <c r="E197" s="913">
        <v>10</v>
      </c>
      <c r="F197" s="1077">
        <v>0</v>
      </c>
      <c r="G197" s="1078">
        <f>E197*F197</f>
        <v>0</v>
      </c>
      <c r="H197" s="1089"/>
      <c r="I197" s="964"/>
      <c r="K197" s="1075"/>
    </row>
    <row r="198" spans="2:11" s="723" customFormat="1" x14ac:dyDescent="0.2">
      <c r="B198" s="950"/>
      <c r="C198" s="2897" t="s">
        <v>1274</v>
      </c>
      <c r="D198" s="966" t="s">
        <v>149</v>
      </c>
      <c r="E198" s="913">
        <v>80</v>
      </c>
      <c r="F198" s="1077">
        <v>0</v>
      </c>
      <c r="G198" s="1078">
        <f>E198*F198</f>
        <v>0</v>
      </c>
      <c r="H198" s="1089"/>
      <c r="I198" s="964"/>
      <c r="K198" s="1075"/>
    </row>
    <row r="199" spans="2:11" s="723" customFormat="1" x14ac:dyDescent="0.2">
      <c r="B199" s="950"/>
      <c r="C199" s="2914"/>
      <c r="D199" s="956"/>
      <c r="E199" s="2602"/>
      <c r="F199" s="2603"/>
      <c r="G199" s="2603"/>
      <c r="H199" s="1089"/>
      <c r="I199" s="965"/>
      <c r="J199" s="1075"/>
      <c r="K199" s="1075"/>
    </row>
    <row r="200" spans="2:11" s="723" customFormat="1" x14ac:dyDescent="0.2">
      <c r="B200" s="950" t="s">
        <v>1275</v>
      </c>
      <c r="C200" s="2916" t="s">
        <v>244</v>
      </c>
      <c r="D200" s="967"/>
      <c r="E200" s="2602"/>
      <c r="F200" s="2603"/>
      <c r="G200" s="2603"/>
      <c r="H200" s="1089"/>
      <c r="I200" s="965"/>
      <c r="J200" s="1075"/>
      <c r="K200" s="1075"/>
    </row>
    <row r="201" spans="2:11" s="723" customFormat="1" x14ac:dyDescent="0.2">
      <c r="B201" s="950"/>
      <c r="C201" s="2916" t="s">
        <v>1371</v>
      </c>
      <c r="D201" s="960"/>
      <c r="E201" s="961"/>
      <c r="F201" s="968"/>
      <c r="G201" s="969"/>
      <c r="H201" s="1089"/>
      <c r="I201" s="965"/>
      <c r="J201" s="1075"/>
      <c r="K201" s="1075"/>
    </row>
    <row r="202" spans="2:11" s="723" customFormat="1" ht="38.25" x14ac:dyDescent="0.2">
      <c r="B202" s="970"/>
      <c r="C202" s="2915" t="s">
        <v>1372</v>
      </c>
      <c r="D202" s="960" t="s">
        <v>149</v>
      </c>
      <c r="E202" s="961">
        <v>28</v>
      </c>
      <c r="F202" s="1077">
        <v>0</v>
      </c>
      <c r="G202" s="1078">
        <f>E202*F202</f>
        <v>0</v>
      </c>
      <c r="H202" s="1089"/>
      <c r="I202" s="965"/>
      <c r="J202" s="1075"/>
      <c r="K202" s="1075"/>
    </row>
    <row r="203" spans="2:11" s="723" customFormat="1" ht="25.5" x14ac:dyDescent="0.2">
      <c r="B203" s="950"/>
      <c r="C203" s="2897" t="s">
        <v>247</v>
      </c>
      <c r="D203" s="960" t="s">
        <v>149</v>
      </c>
      <c r="E203" s="961">
        <v>28</v>
      </c>
      <c r="F203" s="1077">
        <v>0</v>
      </c>
      <c r="G203" s="1087">
        <f>E203*F203</f>
        <v>0</v>
      </c>
      <c r="H203" s="1089"/>
      <c r="I203" s="965"/>
      <c r="J203" s="1075"/>
      <c r="K203" s="1075"/>
    </row>
    <row r="204" spans="2:11" s="723" customFormat="1" ht="25.5" x14ac:dyDescent="0.2">
      <c r="B204" s="950"/>
      <c r="C204" s="2897" t="s">
        <v>1196</v>
      </c>
      <c r="D204" s="960" t="s">
        <v>149</v>
      </c>
      <c r="E204" s="961">
        <v>28</v>
      </c>
      <c r="F204" s="1077">
        <v>0</v>
      </c>
      <c r="G204" s="1087">
        <f>E204*F204</f>
        <v>0</v>
      </c>
      <c r="H204" s="1089"/>
      <c r="I204" s="965"/>
      <c r="J204" s="1075"/>
      <c r="K204" s="1075"/>
    </row>
    <row r="205" spans="2:11" s="723" customFormat="1" x14ac:dyDescent="0.2">
      <c r="B205" s="950"/>
      <c r="C205" s="2914"/>
      <c r="D205" s="956"/>
      <c r="E205" s="2602"/>
      <c r="F205" s="2603"/>
      <c r="G205" s="2603"/>
      <c r="H205" s="1089"/>
      <c r="I205" s="965"/>
      <c r="J205" s="1075"/>
      <c r="K205" s="1075"/>
    </row>
    <row r="206" spans="2:11" s="723" customFormat="1" x14ac:dyDescent="0.2">
      <c r="B206" s="970" t="s">
        <v>199</v>
      </c>
      <c r="C206" s="2916" t="s">
        <v>300</v>
      </c>
      <c r="D206" s="973"/>
      <c r="E206" s="974"/>
      <c r="F206" s="975"/>
      <c r="G206" s="1095"/>
      <c r="H206" s="1089"/>
      <c r="I206" s="965"/>
      <c r="J206" s="1075"/>
      <c r="K206" s="1075"/>
    </row>
    <row r="207" spans="2:11" s="723" customFormat="1" ht="93" customHeight="1" x14ac:dyDescent="0.2">
      <c r="B207" s="977"/>
      <c r="C207" s="2915" t="s">
        <v>301</v>
      </c>
      <c r="D207" s="960" t="s">
        <v>149</v>
      </c>
      <c r="E207" s="961">
        <v>28</v>
      </c>
      <c r="F207" s="1096">
        <v>0</v>
      </c>
      <c r="G207" s="1087">
        <f>E207*F207</f>
        <v>0</v>
      </c>
      <c r="H207" s="1089"/>
      <c r="I207" s="965"/>
      <c r="J207" s="1075"/>
      <c r="K207" s="1075"/>
    </row>
    <row r="208" spans="2:11" s="723" customFormat="1" x14ac:dyDescent="0.2">
      <c r="B208" s="978"/>
      <c r="C208" s="2917"/>
      <c r="D208" s="980"/>
      <c r="E208" s="2606"/>
      <c r="F208" s="2607"/>
      <c r="G208" s="2608"/>
      <c r="H208" s="744"/>
      <c r="J208" s="1075"/>
    </row>
    <row r="209" spans="2:10" s="723" customFormat="1" x14ac:dyDescent="0.2">
      <c r="B209" s="984" t="s">
        <v>17</v>
      </c>
      <c r="C209" s="2898" t="s">
        <v>302</v>
      </c>
      <c r="D209" s="986"/>
      <c r="E209" s="987"/>
      <c r="F209" s="988"/>
      <c r="G209" s="1082">
        <f>SUM(G114:G207)</f>
        <v>0</v>
      </c>
      <c r="H209" s="744"/>
      <c r="J209" s="1075"/>
    </row>
    <row r="210" spans="2:10" s="723" customFormat="1" x14ac:dyDescent="0.2">
      <c r="B210" s="908"/>
      <c r="C210" s="2904"/>
      <c r="D210" s="908"/>
      <c r="E210" s="2581"/>
      <c r="F210" s="2582"/>
      <c r="G210" s="2583"/>
      <c r="H210" s="744"/>
      <c r="J210" s="1075"/>
    </row>
    <row r="211" spans="2:10" s="723" customFormat="1" x14ac:dyDescent="0.2">
      <c r="B211" s="739"/>
      <c r="C211" s="2904"/>
      <c r="D211" s="741"/>
      <c r="E211" s="2581"/>
      <c r="F211" s="2582"/>
      <c r="G211" s="2583"/>
      <c r="H211" s="991"/>
      <c r="J211" s="1075"/>
    </row>
    <row r="212" spans="2:10" s="723" customFormat="1" x14ac:dyDescent="0.2">
      <c r="B212" s="739"/>
      <c r="C212" s="2904"/>
      <c r="D212" s="741"/>
      <c r="E212" s="2581"/>
      <c r="F212" s="2582"/>
      <c r="G212" s="2583"/>
      <c r="H212" s="991"/>
      <c r="J212" s="1075"/>
    </row>
    <row r="213" spans="2:10" s="723" customFormat="1" x14ac:dyDescent="0.2">
      <c r="B213" s="739"/>
      <c r="C213" s="2904"/>
      <c r="D213" s="741"/>
      <c r="E213" s="2581"/>
      <c r="F213" s="2582"/>
      <c r="G213" s="2583"/>
      <c r="H213" s="744"/>
      <c r="J213" s="1075"/>
    </row>
    <row r="214" spans="2:10" s="723" customFormat="1" x14ac:dyDescent="0.2">
      <c r="B214" s="739"/>
      <c r="C214" s="2904"/>
      <c r="D214" s="741"/>
      <c r="E214" s="2581"/>
      <c r="F214" s="2582"/>
      <c r="G214" s="2583"/>
      <c r="H214" s="744"/>
      <c r="J214" s="1075"/>
    </row>
    <row r="215" spans="2:10" s="723" customFormat="1" x14ac:dyDescent="0.2">
      <c r="B215" s="739"/>
      <c r="C215" s="2904"/>
      <c r="D215" s="741"/>
      <c r="E215" s="2581"/>
      <c r="F215" s="2582"/>
      <c r="G215" s="2583"/>
      <c r="H215" s="744"/>
      <c r="J215" s="1075"/>
    </row>
    <row r="216" spans="2:10" s="723" customFormat="1" ht="15" customHeight="1" x14ac:dyDescent="0.2">
      <c r="B216" s="739"/>
      <c r="C216" s="2904"/>
      <c r="D216" s="741"/>
      <c r="E216" s="2581"/>
      <c r="F216" s="2582"/>
      <c r="G216" s="2583"/>
      <c r="H216" s="744"/>
      <c r="J216" s="1075"/>
    </row>
    <row r="217" spans="2:10" s="723" customFormat="1" x14ac:dyDescent="0.2">
      <c r="B217" s="739"/>
      <c r="C217" s="2904"/>
      <c r="D217" s="741"/>
      <c r="E217" s="2581"/>
      <c r="F217" s="2582"/>
      <c r="G217" s="2583"/>
      <c r="H217" s="744"/>
      <c r="J217" s="1075"/>
    </row>
    <row r="218" spans="2:10" s="723" customFormat="1" ht="16.5" customHeight="1" x14ac:dyDescent="0.2">
      <c r="B218" s="739"/>
      <c r="C218" s="2904"/>
      <c r="D218" s="741"/>
      <c r="E218" s="2581"/>
      <c r="F218" s="2582"/>
      <c r="G218" s="2583"/>
      <c r="H218" s="744"/>
    </row>
    <row r="219" spans="2:10" s="723" customFormat="1" x14ac:dyDescent="0.2">
      <c r="B219" s="739"/>
      <c r="C219" s="2904"/>
      <c r="D219" s="741"/>
      <c r="E219" s="2581"/>
      <c r="F219" s="2582"/>
      <c r="G219" s="2583"/>
      <c r="H219" s="744"/>
    </row>
    <row r="220" spans="2:10" s="723" customFormat="1" x14ac:dyDescent="0.2">
      <c r="B220" s="739"/>
      <c r="C220" s="2904"/>
      <c r="D220" s="741"/>
      <c r="E220" s="2581"/>
      <c r="F220" s="2582"/>
      <c r="G220" s="2583"/>
      <c r="H220" s="744"/>
    </row>
    <row r="221" spans="2:10" s="723" customFormat="1" x14ac:dyDescent="0.2">
      <c r="B221" s="739"/>
      <c r="C221" s="2904"/>
      <c r="D221" s="741"/>
      <c r="E221" s="2581"/>
      <c r="F221" s="2582"/>
      <c r="G221" s="2583"/>
      <c r="H221" s="744"/>
    </row>
    <row r="222" spans="2:10" s="723" customFormat="1" x14ac:dyDescent="0.2">
      <c r="B222" s="739"/>
      <c r="C222" s="2904"/>
      <c r="D222" s="741"/>
      <c r="E222" s="2581"/>
      <c r="F222" s="2582"/>
      <c r="G222" s="2583"/>
      <c r="H222" s="744"/>
      <c r="J222" s="1075"/>
    </row>
    <row r="223" spans="2:10" s="723" customFormat="1" x14ac:dyDescent="0.2">
      <c r="B223" s="739"/>
      <c r="C223" s="2904"/>
      <c r="D223" s="741"/>
      <c r="E223" s="2581"/>
      <c r="F223" s="2582"/>
      <c r="G223" s="2583"/>
      <c r="H223" s="744"/>
      <c r="J223" s="1075"/>
    </row>
    <row r="224" spans="2:10" s="723" customFormat="1" x14ac:dyDescent="0.2">
      <c r="B224" s="739"/>
      <c r="C224" s="2904"/>
      <c r="D224" s="741"/>
      <c r="E224" s="2581"/>
      <c r="F224" s="2582"/>
      <c r="G224" s="2583"/>
      <c r="H224" s="744"/>
      <c r="J224" s="1075"/>
    </row>
    <row r="225" spans="2:10" s="723" customFormat="1" x14ac:dyDescent="0.2">
      <c r="B225" s="739"/>
      <c r="C225" s="2904"/>
      <c r="D225" s="741"/>
      <c r="E225" s="2581"/>
      <c r="F225" s="2582"/>
      <c r="G225" s="2583"/>
      <c r="H225" s="744"/>
      <c r="J225" s="1075"/>
    </row>
    <row r="226" spans="2:10" s="723" customFormat="1" x14ac:dyDescent="0.2">
      <c r="B226" s="739"/>
      <c r="C226" s="2904"/>
      <c r="D226" s="741"/>
      <c r="E226" s="2581"/>
      <c r="F226" s="2582"/>
      <c r="G226" s="2583"/>
      <c r="H226" s="744"/>
      <c r="J226" s="1075"/>
    </row>
    <row r="227" spans="2:10" s="723" customFormat="1" x14ac:dyDescent="0.2">
      <c r="B227" s="739"/>
      <c r="C227" s="2904"/>
      <c r="D227" s="741"/>
      <c r="E227" s="2581"/>
      <c r="F227" s="2582"/>
      <c r="G227" s="2583"/>
      <c r="H227" s="744"/>
      <c r="J227" s="1075"/>
    </row>
    <row r="228" spans="2:10" s="723" customFormat="1" x14ac:dyDescent="0.2">
      <c r="B228" s="739"/>
      <c r="C228" s="2904"/>
      <c r="D228" s="741"/>
      <c r="E228" s="2581"/>
      <c r="F228" s="2582"/>
      <c r="G228" s="2583"/>
      <c r="H228" s="744"/>
    </row>
    <row r="229" spans="2:10" s="723" customFormat="1" x14ac:dyDescent="0.2">
      <c r="B229" s="739"/>
      <c r="C229" s="2904"/>
      <c r="D229" s="741"/>
      <c r="E229" s="2581"/>
      <c r="F229" s="2582"/>
      <c r="G229" s="2583"/>
      <c r="H229" s="744"/>
    </row>
    <row r="230" spans="2:10" s="723" customFormat="1" x14ac:dyDescent="0.2">
      <c r="B230" s="739"/>
      <c r="C230" s="2904"/>
      <c r="D230" s="741"/>
      <c r="E230" s="2581"/>
      <c r="F230" s="2582"/>
      <c r="G230" s="2583"/>
      <c r="H230" s="744"/>
    </row>
    <row r="231" spans="2:10" s="723" customFormat="1" x14ac:dyDescent="0.2">
      <c r="B231" s="739"/>
      <c r="C231" s="2904"/>
      <c r="D231" s="741"/>
      <c r="E231" s="2581"/>
      <c r="F231" s="2582"/>
      <c r="G231" s="2583"/>
      <c r="H231" s="744"/>
    </row>
    <row r="232" spans="2:10" s="723" customFormat="1" x14ac:dyDescent="0.2">
      <c r="B232" s="739"/>
      <c r="C232" s="2904"/>
      <c r="D232" s="741"/>
      <c r="E232" s="2581"/>
      <c r="F232" s="2582"/>
      <c r="G232" s="2583"/>
      <c r="H232" s="744"/>
      <c r="J232" s="1075"/>
    </row>
    <row r="233" spans="2:10" s="723" customFormat="1" x14ac:dyDescent="0.2">
      <c r="B233" s="739"/>
      <c r="C233" s="2904"/>
      <c r="D233" s="741"/>
      <c r="E233" s="2581"/>
      <c r="F233" s="2582"/>
      <c r="G233" s="2583"/>
      <c r="H233" s="744"/>
      <c r="J233" s="1075"/>
    </row>
    <row r="234" spans="2:10" s="723" customFormat="1" x14ac:dyDescent="0.2">
      <c r="B234" s="739"/>
      <c r="C234" s="2904"/>
      <c r="D234" s="741"/>
      <c r="E234" s="2581"/>
      <c r="F234" s="2582"/>
      <c r="G234" s="2583"/>
      <c r="H234" s="744"/>
    </row>
    <row r="235" spans="2:10" s="723" customFormat="1" x14ac:dyDescent="0.2">
      <c r="B235" s="739"/>
      <c r="C235" s="2904"/>
      <c r="D235" s="741"/>
      <c r="E235" s="2581"/>
      <c r="F235" s="2582"/>
      <c r="G235" s="2583"/>
      <c r="H235" s="744"/>
      <c r="I235" s="741"/>
    </row>
    <row r="236" spans="2:10" s="723" customFormat="1" x14ac:dyDescent="0.2">
      <c r="B236" s="739"/>
      <c r="C236" s="2904"/>
      <c r="D236" s="741"/>
      <c r="E236" s="2581"/>
      <c r="F236" s="2582"/>
      <c r="G236" s="2583"/>
      <c r="H236" s="744"/>
      <c r="I236" s="741"/>
    </row>
    <row r="237" spans="2:10" s="723" customFormat="1" x14ac:dyDescent="0.2">
      <c r="B237" s="739"/>
      <c r="C237" s="2904"/>
      <c r="D237" s="741"/>
      <c r="E237" s="2581"/>
      <c r="F237" s="2582"/>
      <c r="G237" s="2583"/>
      <c r="H237" s="744"/>
      <c r="I237" s="741"/>
    </row>
    <row r="238" spans="2:10" s="723" customFormat="1" x14ac:dyDescent="0.2">
      <c r="B238" s="739"/>
      <c r="C238" s="2904"/>
      <c r="D238" s="741"/>
      <c r="E238" s="2581"/>
      <c r="F238" s="2582"/>
      <c r="G238" s="2583"/>
      <c r="H238" s="744"/>
      <c r="I238" s="741"/>
    </row>
    <row r="239" spans="2:10" s="723" customFormat="1" x14ac:dyDescent="0.2">
      <c r="B239" s="739"/>
      <c r="C239" s="2904"/>
      <c r="D239" s="741"/>
      <c r="E239" s="2581"/>
      <c r="F239" s="2582"/>
      <c r="G239" s="2583"/>
      <c r="H239" s="744"/>
      <c r="I239" s="741"/>
    </row>
    <row r="240" spans="2:10" s="723" customFormat="1" x14ac:dyDescent="0.2">
      <c r="B240" s="739"/>
      <c r="C240" s="2904"/>
      <c r="D240" s="741"/>
      <c r="E240" s="2581"/>
      <c r="F240" s="2582"/>
      <c r="G240" s="2583"/>
      <c r="H240" s="744"/>
      <c r="I240" s="741"/>
    </row>
    <row r="241" spans="2:9" s="723" customFormat="1" x14ac:dyDescent="0.2">
      <c r="B241" s="739"/>
      <c r="C241" s="2904"/>
      <c r="D241" s="741"/>
      <c r="E241" s="2581"/>
      <c r="F241" s="2582"/>
      <c r="G241" s="2583"/>
      <c r="H241" s="744"/>
      <c r="I241" s="741"/>
    </row>
    <row r="242" spans="2:9" s="723" customFormat="1" x14ac:dyDescent="0.2">
      <c r="B242" s="739"/>
      <c r="C242" s="2904"/>
      <c r="D242" s="741"/>
      <c r="E242" s="2581"/>
      <c r="F242" s="2582"/>
      <c r="G242" s="2583"/>
      <c r="H242" s="744"/>
      <c r="I242" s="741"/>
    </row>
    <row r="243" spans="2:9" s="723" customFormat="1" x14ac:dyDescent="0.2">
      <c r="B243" s="739"/>
      <c r="C243" s="2904"/>
      <c r="D243" s="741"/>
      <c r="E243" s="2581"/>
      <c r="F243" s="2582"/>
      <c r="G243" s="2583"/>
      <c r="H243" s="744"/>
      <c r="I243" s="741"/>
    </row>
    <row r="244" spans="2:9" s="723" customFormat="1" x14ac:dyDescent="0.2">
      <c r="B244" s="739"/>
      <c r="C244" s="2904"/>
      <c r="D244" s="741"/>
      <c r="E244" s="2581"/>
      <c r="F244" s="2582"/>
      <c r="G244" s="2583"/>
      <c r="H244" s="744"/>
      <c r="I244" s="741"/>
    </row>
    <row r="245" spans="2:9" s="723" customFormat="1" x14ac:dyDescent="0.2">
      <c r="B245" s="739"/>
      <c r="C245" s="2904"/>
      <c r="D245" s="741"/>
      <c r="E245" s="2581"/>
      <c r="F245" s="2582"/>
      <c r="G245" s="2583"/>
      <c r="H245" s="744"/>
      <c r="I245" s="741"/>
    </row>
    <row r="246" spans="2:9" s="723" customFormat="1" x14ac:dyDescent="0.2">
      <c r="B246" s="739"/>
      <c r="C246" s="2904"/>
      <c r="D246" s="741"/>
      <c r="E246" s="2581"/>
      <c r="F246" s="2582"/>
      <c r="G246" s="2583"/>
      <c r="H246" s="744"/>
      <c r="I246" s="741"/>
    </row>
    <row r="247" spans="2:9" s="723" customFormat="1" x14ac:dyDescent="0.2">
      <c r="B247" s="739"/>
      <c r="C247" s="2904"/>
      <c r="D247" s="741"/>
      <c r="E247" s="2581"/>
      <c r="F247" s="2582"/>
      <c r="G247" s="2583"/>
      <c r="H247" s="744"/>
      <c r="I247" s="741"/>
    </row>
    <row r="248" spans="2:9" s="723" customFormat="1" ht="12.75" customHeight="1" x14ac:dyDescent="0.2">
      <c r="B248" s="739"/>
      <c r="C248" s="2904"/>
      <c r="D248" s="741"/>
      <c r="E248" s="2581"/>
      <c r="F248" s="2582"/>
      <c r="G248" s="2583"/>
      <c r="H248" s="744"/>
      <c r="I248" s="992"/>
    </row>
    <row r="249" spans="2:9" s="723" customFormat="1" x14ac:dyDescent="0.2">
      <c r="B249" s="739"/>
      <c r="C249" s="2904"/>
      <c r="D249" s="741"/>
      <c r="E249" s="2581"/>
      <c r="F249" s="2582"/>
      <c r="G249" s="2583"/>
      <c r="H249" s="744"/>
      <c r="I249" s="992"/>
    </row>
    <row r="250" spans="2:9" s="723" customFormat="1" x14ac:dyDescent="0.2">
      <c r="B250" s="739"/>
      <c r="C250" s="2904"/>
      <c r="D250" s="741"/>
      <c r="E250" s="2581"/>
      <c r="F250" s="2582"/>
      <c r="G250" s="2583"/>
      <c r="H250" s="744"/>
      <c r="I250" s="741"/>
    </row>
    <row r="251" spans="2:9" s="723" customFormat="1" x14ac:dyDescent="0.2">
      <c r="B251" s="739"/>
      <c r="C251" s="2904"/>
      <c r="D251" s="741"/>
      <c r="E251" s="2581"/>
      <c r="F251" s="2582"/>
      <c r="G251" s="2583"/>
      <c r="H251" s="744"/>
      <c r="I251" s="741"/>
    </row>
    <row r="252" spans="2:9" s="723" customFormat="1" x14ac:dyDescent="0.2">
      <c r="B252" s="739"/>
      <c r="C252" s="2904"/>
      <c r="D252" s="741"/>
      <c r="E252" s="2581"/>
      <c r="F252" s="2582"/>
      <c r="G252" s="2583"/>
      <c r="H252" s="744"/>
      <c r="I252" s="741"/>
    </row>
    <row r="253" spans="2:9" s="723" customFormat="1" x14ac:dyDescent="0.2">
      <c r="B253" s="739"/>
      <c r="C253" s="2904"/>
      <c r="D253" s="741"/>
      <c r="E253" s="2581"/>
      <c r="F253" s="2582"/>
      <c r="G253" s="2583"/>
      <c r="H253" s="744"/>
      <c r="I253" s="741"/>
    </row>
    <row r="254" spans="2:9" s="723" customFormat="1" x14ac:dyDescent="0.2">
      <c r="B254" s="739"/>
      <c r="C254" s="2904"/>
      <c r="D254" s="741"/>
      <c r="E254" s="2581"/>
      <c r="F254" s="2582"/>
      <c r="G254" s="2583"/>
      <c r="H254" s="744"/>
      <c r="I254" s="741"/>
    </row>
    <row r="255" spans="2:9" s="723" customFormat="1" x14ac:dyDescent="0.2">
      <c r="B255" s="739"/>
      <c r="C255" s="2904"/>
      <c r="D255" s="741"/>
      <c r="E255" s="2581"/>
      <c r="F255" s="2582"/>
      <c r="G255" s="2583"/>
      <c r="H255" s="744"/>
      <c r="I255" s="741"/>
    </row>
    <row r="256" spans="2:9" s="723" customFormat="1" x14ac:dyDescent="0.2">
      <c r="B256" s="739"/>
      <c r="C256" s="2904"/>
      <c r="D256" s="741"/>
      <c r="E256" s="2581"/>
      <c r="F256" s="2582"/>
      <c r="G256" s="2583"/>
      <c r="H256" s="744"/>
      <c r="I256" s="741"/>
    </row>
    <row r="257" spans="2:10" s="723" customFormat="1" x14ac:dyDescent="0.2">
      <c r="B257" s="739"/>
      <c r="C257" s="2904"/>
      <c r="D257" s="741"/>
      <c r="E257" s="2581"/>
      <c r="F257" s="2582"/>
      <c r="G257" s="2583"/>
      <c r="H257" s="744"/>
      <c r="I257" s="741"/>
    </row>
    <row r="258" spans="2:10" s="723" customFormat="1" ht="12.75" customHeight="1" x14ac:dyDescent="0.2">
      <c r="B258" s="739"/>
      <c r="C258" s="2904"/>
      <c r="D258" s="741"/>
      <c r="E258" s="2581"/>
      <c r="F258" s="2582"/>
      <c r="G258" s="2583"/>
      <c r="H258" s="744"/>
      <c r="I258" s="741"/>
    </row>
    <row r="259" spans="2:10" s="723" customFormat="1" x14ac:dyDescent="0.2">
      <c r="B259" s="739"/>
      <c r="C259" s="2904"/>
      <c r="D259" s="741"/>
      <c r="E259" s="2581"/>
      <c r="F259" s="2582"/>
      <c r="G259" s="2583"/>
      <c r="H259" s="744"/>
      <c r="I259" s="741"/>
    </row>
    <row r="260" spans="2:10" s="723" customFormat="1" x14ac:dyDescent="0.2">
      <c r="B260" s="739"/>
      <c r="C260" s="2904"/>
      <c r="D260" s="741"/>
      <c r="E260" s="2581"/>
      <c r="F260" s="2582"/>
      <c r="G260" s="2583"/>
      <c r="H260" s="744"/>
      <c r="I260" s="741"/>
    </row>
    <row r="261" spans="2:10" s="723" customFormat="1" x14ac:dyDescent="0.2">
      <c r="B261" s="739"/>
      <c r="C261" s="2904"/>
      <c r="D261" s="741"/>
      <c r="E261" s="2581"/>
      <c r="F261" s="2582"/>
      <c r="G261" s="2583"/>
      <c r="H261" s="744"/>
      <c r="I261" s="741"/>
    </row>
    <row r="262" spans="2:10" s="723" customFormat="1" x14ac:dyDescent="0.2">
      <c r="B262" s="739"/>
      <c r="C262" s="2904"/>
      <c r="D262" s="741"/>
      <c r="E262" s="2581"/>
      <c r="F262" s="2582"/>
      <c r="G262" s="2583"/>
      <c r="H262" s="744"/>
      <c r="I262" s="741"/>
    </row>
    <row r="263" spans="2:10" s="723" customFormat="1" x14ac:dyDescent="0.2">
      <c r="B263" s="739"/>
      <c r="C263" s="2904"/>
      <c r="D263" s="741"/>
      <c r="E263" s="2581"/>
      <c r="F263" s="2582"/>
      <c r="G263" s="2583"/>
      <c r="H263" s="744"/>
      <c r="I263" s="741"/>
      <c r="J263" s="741"/>
    </row>
    <row r="264" spans="2:10" s="723" customFormat="1" x14ac:dyDescent="0.2">
      <c r="B264" s="739"/>
      <c r="C264" s="2904"/>
      <c r="D264" s="741"/>
      <c r="E264" s="2581"/>
      <c r="F264" s="2582"/>
      <c r="G264" s="2583"/>
      <c r="H264" s="744"/>
      <c r="I264" s="741"/>
      <c r="J264" s="741"/>
    </row>
    <row r="265" spans="2:10" s="723" customFormat="1" x14ac:dyDescent="0.2">
      <c r="B265" s="739"/>
      <c r="C265" s="2904"/>
      <c r="D265" s="741"/>
      <c r="E265" s="2581"/>
      <c r="F265" s="2582"/>
      <c r="G265" s="2583"/>
      <c r="H265" s="744"/>
      <c r="I265" s="741"/>
      <c r="J265" s="741"/>
    </row>
    <row r="266" spans="2:10" s="723" customFormat="1" x14ac:dyDescent="0.2">
      <c r="B266" s="739"/>
      <c r="C266" s="2904"/>
      <c r="D266" s="741"/>
      <c r="E266" s="2581"/>
      <c r="F266" s="2582"/>
      <c r="G266" s="2583"/>
      <c r="H266" s="744"/>
      <c r="I266" s="741"/>
      <c r="J266" s="741"/>
    </row>
    <row r="267" spans="2:10" s="723" customFormat="1" x14ac:dyDescent="0.2">
      <c r="B267" s="739"/>
      <c r="C267" s="2904"/>
      <c r="D267" s="741"/>
      <c r="E267" s="2581"/>
      <c r="F267" s="2582"/>
      <c r="G267" s="2583"/>
      <c r="H267" s="744"/>
      <c r="I267" s="741"/>
      <c r="J267" s="741"/>
    </row>
    <row r="268" spans="2:10" s="723" customFormat="1" x14ac:dyDescent="0.2">
      <c r="B268" s="739"/>
      <c r="C268" s="2904"/>
      <c r="D268" s="741"/>
      <c r="E268" s="2581"/>
      <c r="F268" s="2582"/>
      <c r="G268" s="2583"/>
      <c r="H268" s="744"/>
      <c r="I268" s="741"/>
      <c r="J268" s="741"/>
    </row>
    <row r="269" spans="2:10" s="723" customFormat="1" x14ac:dyDescent="0.2">
      <c r="B269" s="739"/>
      <c r="C269" s="2904"/>
      <c r="D269" s="741"/>
      <c r="E269" s="2581"/>
      <c r="F269" s="2582"/>
      <c r="G269" s="2583"/>
      <c r="H269" s="744"/>
      <c r="I269" s="741"/>
      <c r="J269" s="741"/>
    </row>
    <row r="270" spans="2:10" s="723" customFormat="1" x14ac:dyDescent="0.2">
      <c r="B270" s="739"/>
      <c r="C270" s="2904"/>
      <c r="D270" s="741"/>
      <c r="E270" s="2581"/>
      <c r="F270" s="2582"/>
      <c r="G270" s="2583"/>
      <c r="H270" s="744"/>
      <c r="I270" s="741"/>
      <c r="J270" s="741"/>
    </row>
    <row r="271" spans="2:10" s="723" customFormat="1" x14ac:dyDescent="0.2">
      <c r="B271" s="739"/>
      <c r="C271" s="2904"/>
      <c r="D271" s="741"/>
      <c r="E271" s="2581"/>
      <c r="F271" s="2582"/>
      <c r="G271" s="2583"/>
      <c r="H271" s="744"/>
      <c r="I271" s="741"/>
      <c r="J271" s="741"/>
    </row>
    <row r="272" spans="2:10" s="723" customFormat="1" x14ac:dyDescent="0.2">
      <c r="B272" s="739"/>
      <c r="C272" s="2904"/>
      <c r="D272" s="741"/>
      <c r="E272" s="2581"/>
      <c r="F272" s="2582"/>
      <c r="G272" s="2583"/>
      <c r="H272" s="744"/>
      <c r="I272" s="741"/>
      <c r="J272" s="741"/>
    </row>
    <row r="273" spans="2:13" s="723" customFormat="1" x14ac:dyDescent="0.2">
      <c r="B273" s="739"/>
      <c r="C273" s="2904"/>
      <c r="D273" s="741"/>
      <c r="E273" s="2581"/>
      <c r="F273" s="2582"/>
      <c r="G273" s="2583"/>
      <c r="H273" s="744"/>
      <c r="I273" s="741"/>
      <c r="J273" s="741"/>
    </row>
    <row r="274" spans="2:13" s="723" customFormat="1" x14ac:dyDescent="0.2">
      <c r="B274" s="739"/>
      <c r="C274" s="2904"/>
      <c r="D274" s="741"/>
      <c r="E274" s="2581"/>
      <c r="F274" s="2582"/>
      <c r="G274" s="2583"/>
      <c r="H274" s="744"/>
      <c r="I274" s="741"/>
      <c r="J274" s="741"/>
    </row>
    <row r="275" spans="2:13" s="723" customFormat="1" x14ac:dyDescent="0.2">
      <c r="B275" s="739"/>
      <c r="C275" s="2904"/>
      <c r="D275" s="741"/>
      <c r="E275" s="2581"/>
      <c r="F275" s="2582"/>
      <c r="G275" s="2583"/>
      <c r="H275" s="744"/>
      <c r="I275" s="741"/>
      <c r="J275" s="741"/>
    </row>
    <row r="276" spans="2:13" s="723" customFormat="1" x14ac:dyDescent="0.2">
      <c r="B276" s="739"/>
      <c r="C276" s="2904"/>
      <c r="D276" s="741"/>
      <c r="E276" s="2581"/>
      <c r="F276" s="2582"/>
      <c r="G276" s="2583"/>
      <c r="H276" s="744"/>
      <c r="I276" s="741"/>
      <c r="J276" s="992"/>
    </row>
    <row r="277" spans="2:13" s="723" customFormat="1" x14ac:dyDescent="0.2">
      <c r="B277" s="739"/>
      <c r="C277" s="2904"/>
      <c r="D277" s="741"/>
      <c r="E277" s="2581"/>
      <c r="F277" s="2582"/>
      <c r="G277" s="2583"/>
      <c r="H277" s="744"/>
      <c r="I277" s="741"/>
      <c r="J277" s="992"/>
    </row>
    <row r="278" spans="2:13" s="723" customFormat="1" x14ac:dyDescent="0.2">
      <c r="B278" s="739"/>
      <c r="C278" s="2904"/>
      <c r="D278" s="741"/>
      <c r="E278" s="2581"/>
      <c r="F278" s="2582"/>
      <c r="G278" s="2583"/>
      <c r="H278" s="744"/>
      <c r="I278" s="741"/>
      <c r="J278" s="741"/>
    </row>
    <row r="279" spans="2:13" s="723" customFormat="1" x14ac:dyDescent="0.2">
      <c r="B279" s="739"/>
      <c r="C279" s="2904"/>
      <c r="D279" s="741"/>
      <c r="E279" s="2581"/>
      <c r="F279" s="2582"/>
      <c r="G279" s="2583"/>
      <c r="H279" s="744"/>
      <c r="I279" s="741"/>
      <c r="J279" s="741"/>
    </row>
    <row r="280" spans="2:13" s="723" customFormat="1" x14ac:dyDescent="0.2">
      <c r="B280" s="739"/>
      <c r="C280" s="2904"/>
      <c r="D280" s="741"/>
      <c r="E280" s="2581"/>
      <c r="F280" s="2582"/>
      <c r="G280" s="2583"/>
      <c r="H280" s="744"/>
      <c r="I280" s="741"/>
      <c r="J280" s="741"/>
    </row>
    <row r="281" spans="2:13" s="723" customFormat="1" x14ac:dyDescent="0.2">
      <c r="B281" s="739"/>
      <c r="C281" s="2904"/>
      <c r="D281" s="741"/>
      <c r="E281" s="2581"/>
      <c r="F281" s="2582"/>
      <c r="G281" s="2583"/>
      <c r="H281" s="744"/>
      <c r="I281" s="741"/>
      <c r="J281" s="741"/>
    </row>
    <row r="282" spans="2:13" s="723" customFormat="1" x14ac:dyDescent="0.2">
      <c r="B282" s="739"/>
      <c r="C282" s="2904"/>
      <c r="D282" s="741"/>
      <c r="E282" s="2581"/>
      <c r="F282" s="2582"/>
      <c r="G282" s="2583"/>
      <c r="H282" s="744"/>
      <c r="I282" s="741"/>
      <c r="J282" s="741"/>
    </row>
    <row r="283" spans="2:13" s="723" customFormat="1" x14ac:dyDescent="0.2">
      <c r="B283" s="739"/>
      <c r="C283" s="2904"/>
      <c r="D283" s="741"/>
      <c r="E283" s="2581"/>
      <c r="F283" s="2582"/>
      <c r="G283" s="2583"/>
      <c r="H283" s="744"/>
      <c r="I283" s="741"/>
      <c r="J283" s="741"/>
      <c r="K283" s="741"/>
      <c r="L283" s="741"/>
    </row>
    <row r="284" spans="2:13" s="723" customFormat="1" x14ac:dyDescent="0.2">
      <c r="B284" s="739"/>
      <c r="C284" s="2904"/>
      <c r="D284" s="741"/>
      <c r="E284" s="2581"/>
      <c r="F284" s="2582"/>
      <c r="G284" s="2583"/>
      <c r="H284" s="744"/>
      <c r="I284" s="741"/>
      <c r="J284" s="741"/>
      <c r="K284" s="741"/>
      <c r="L284" s="741"/>
    </row>
    <row r="285" spans="2:13" s="723" customFormat="1" x14ac:dyDescent="0.2">
      <c r="B285" s="739"/>
      <c r="C285" s="2904"/>
      <c r="D285" s="741"/>
      <c r="E285" s="2581"/>
      <c r="F285" s="2582"/>
      <c r="G285" s="2583"/>
      <c r="H285" s="744"/>
      <c r="I285" s="741"/>
      <c r="J285" s="741"/>
      <c r="K285" s="741"/>
      <c r="L285" s="741"/>
    </row>
    <row r="286" spans="2:13" s="723" customFormat="1" x14ac:dyDescent="0.2">
      <c r="B286" s="739"/>
      <c r="C286" s="2904"/>
      <c r="D286" s="741"/>
      <c r="E286" s="2581"/>
      <c r="F286" s="2582"/>
      <c r="G286" s="2583"/>
      <c r="H286" s="744"/>
      <c r="I286" s="741"/>
      <c r="J286" s="741"/>
      <c r="K286" s="741"/>
      <c r="L286" s="741"/>
    </row>
    <row r="287" spans="2:13" s="723" customFormat="1" x14ac:dyDescent="0.2">
      <c r="B287" s="739"/>
      <c r="C287" s="2904"/>
      <c r="D287" s="741"/>
      <c r="E287" s="2581"/>
      <c r="F287" s="2582"/>
      <c r="G287" s="2583"/>
      <c r="H287" s="744"/>
      <c r="I287" s="741"/>
      <c r="J287" s="741"/>
      <c r="K287" s="741"/>
      <c r="L287" s="741"/>
      <c r="M287" s="741"/>
    </row>
    <row r="288" spans="2:13" s="723" customFormat="1" x14ac:dyDescent="0.2">
      <c r="B288" s="739"/>
      <c r="C288" s="2904"/>
      <c r="D288" s="741"/>
      <c r="E288" s="2581"/>
      <c r="F288" s="2582"/>
      <c r="G288" s="2583"/>
      <c r="H288" s="744"/>
      <c r="I288" s="741"/>
      <c r="J288" s="741"/>
      <c r="K288" s="741"/>
      <c r="L288" s="741"/>
      <c r="M288" s="741"/>
    </row>
    <row r="289" spans="2:15" s="723" customFormat="1" x14ac:dyDescent="0.2">
      <c r="B289" s="739"/>
      <c r="C289" s="2904"/>
      <c r="D289" s="741"/>
      <c r="E289" s="2581"/>
      <c r="F289" s="2582"/>
      <c r="G289" s="2583"/>
      <c r="H289" s="744"/>
      <c r="I289" s="741"/>
      <c r="J289" s="741"/>
      <c r="K289" s="741"/>
      <c r="L289" s="741"/>
      <c r="M289" s="741"/>
      <c r="N289" s="741"/>
      <c r="O289" s="741"/>
    </row>
    <row r="296" spans="2:15" x14ac:dyDescent="0.2">
      <c r="K296" s="992"/>
      <c r="L296" s="992"/>
    </row>
    <row r="297" spans="2:15" x14ac:dyDescent="0.2">
      <c r="K297" s="992"/>
      <c r="L297" s="992"/>
    </row>
    <row r="300" spans="2:15" x14ac:dyDescent="0.2">
      <c r="M300" s="992"/>
    </row>
    <row r="301" spans="2:15" x14ac:dyDescent="0.2">
      <c r="M301" s="992"/>
    </row>
    <row r="302" spans="2:15" x14ac:dyDescent="0.2">
      <c r="N302" s="992"/>
      <c r="O302" s="992"/>
    </row>
    <row r="303" spans="2:15" s="992" customFormat="1" x14ac:dyDescent="0.2">
      <c r="B303" s="739"/>
      <c r="C303" s="2904"/>
      <c r="D303" s="741"/>
      <c r="E303" s="2581"/>
      <c r="F303" s="2582"/>
      <c r="G303" s="2583"/>
      <c r="H303" s="744"/>
      <c r="I303" s="741"/>
      <c r="J303" s="741"/>
      <c r="K303" s="741"/>
      <c r="L303" s="741"/>
      <c r="M303" s="741"/>
    </row>
    <row r="304" spans="2:15" s="992" customFormat="1" x14ac:dyDescent="0.2">
      <c r="B304" s="739"/>
      <c r="C304" s="2904"/>
      <c r="D304" s="741"/>
      <c r="E304" s="2581"/>
      <c r="F304" s="2582"/>
      <c r="G304" s="2583"/>
      <c r="H304" s="744"/>
      <c r="I304" s="741"/>
      <c r="J304" s="741"/>
      <c r="K304" s="741"/>
      <c r="L304" s="741"/>
      <c r="M304" s="741"/>
      <c r="N304" s="741"/>
      <c r="O304" s="741"/>
    </row>
    <row r="309" ht="43.5" customHeight="1" x14ac:dyDescent="0.2"/>
  </sheetData>
  <mergeCells count="6">
    <mergeCell ref="B119:B120"/>
    <mergeCell ref="C6:F6"/>
    <mergeCell ref="B57:G57"/>
    <mergeCell ref="B109:G109"/>
    <mergeCell ref="B110:G110"/>
    <mergeCell ref="B111:G111"/>
  </mergeCells>
  <pageMargins left="0.7" right="0.7" top="0.75" bottom="0.75" header="0.3" footer="0.3"/>
  <pageSetup paperSize="9" orientation="portrait" r:id="rId1"/>
  <headerFooter alignWithMargins="0"/>
  <rowBreaks count="4" manualBreakCount="4">
    <brk id="19" max="16383" man="1"/>
    <brk id="55" max="16383" man="1"/>
    <brk id="109" max="16383" man="1"/>
    <brk id="15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D5637-57BA-4B6E-B932-ED3A2BCBAC8A}">
  <sheetPr codeName="Sheet67">
    <tabColor rgb="FF0070C0"/>
  </sheetPr>
  <dimension ref="B1:S503"/>
  <sheetViews>
    <sheetView topLeftCell="A75" zoomScaleNormal="100" zoomScaleSheetLayoutView="85" workbookViewId="0">
      <selection activeCell="C89" sqref="C89"/>
    </sheetView>
  </sheetViews>
  <sheetFormatPr defaultColWidth="10.42578125" defaultRowHeight="12.75" x14ac:dyDescent="0.2"/>
  <cols>
    <col min="1" max="1" width="5.5703125" style="741" customWidth="1"/>
    <col min="2" max="2" width="7.42578125" style="739" customWidth="1"/>
    <col min="3" max="3" width="30.5703125" style="740" customWidth="1"/>
    <col min="4" max="4" width="7.42578125" style="741" customWidth="1"/>
    <col min="5" max="5" width="12.85546875" style="2560" customWidth="1"/>
    <col min="6" max="6" width="13.28515625" style="1218" customWidth="1"/>
    <col min="7" max="7" width="16.5703125" style="117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7.4257812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7.4257812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7.4257812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7.4257812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7.4257812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7.4257812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7.4257812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7.4257812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7.4257812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7.4257812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7.4257812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7.4257812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7.4257812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7.4257812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7.4257812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7.4257812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7.4257812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7.4257812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7.4257812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7.4257812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7.4257812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7.4257812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7.4257812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7.4257812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7.4257812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7.4257812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7.4257812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7.4257812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7.4257812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7.4257812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7.4257812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7.4257812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7.4257812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7.4257812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7.4257812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7.4257812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7.4257812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7.4257812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7.4257812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7.4257812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7.4257812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7.4257812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7.4257812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7.4257812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7.4257812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7.4257812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7.4257812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7.4257812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7.4257812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7.4257812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7.4257812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7.4257812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7.4257812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7.4257812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7.4257812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7.4257812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7.4257812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7.4257812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7.4257812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7.4257812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7.4257812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7.4257812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7.4257812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53" t="s">
        <v>1373</v>
      </c>
      <c r="D6" s="3230"/>
      <c r="E6" s="3230"/>
      <c r="F6" s="3230"/>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G51</f>
        <v>0</v>
      </c>
    </row>
    <row r="16" spans="2:8" ht="25.5" x14ac:dyDescent="0.2">
      <c r="B16" s="792" t="s">
        <v>12</v>
      </c>
      <c r="C16" s="793" t="s">
        <v>86</v>
      </c>
      <c r="D16" s="794"/>
      <c r="E16" s="795"/>
      <c r="F16" s="796"/>
      <c r="G16" s="797">
        <f>G99</f>
        <v>0</v>
      </c>
    </row>
    <row r="17" spans="2:18" x14ac:dyDescent="0.2">
      <c r="B17" s="792" t="s">
        <v>17</v>
      </c>
      <c r="C17" s="793" t="s">
        <v>87</v>
      </c>
      <c r="D17" s="794"/>
      <c r="E17" s="795"/>
      <c r="F17" s="796"/>
      <c r="G17" s="797">
        <f>G403</f>
        <v>0</v>
      </c>
    </row>
    <row r="18" spans="2:18" ht="22.5" customHeight="1" x14ac:dyDescent="0.2">
      <c r="B18" s="2830"/>
      <c r="C18" s="2831" t="s">
        <v>88</v>
      </c>
      <c r="D18" s="2832"/>
      <c r="E18" s="2833"/>
      <c r="F18" s="2834"/>
      <c r="G18" s="2844">
        <f>SUM(G15:G17)</f>
        <v>0</v>
      </c>
    </row>
    <row r="19" spans="2:18" x14ac:dyDescent="0.2">
      <c r="B19" s="798"/>
      <c r="C19" s="799"/>
      <c r="D19" s="798"/>
      <c r="E19" s="2574"/>
      <c r="F19" s="2445"/>
      <c r="G19" s="2446"/>
    </row>
    <row r="20" spans="2:18" x14ac:dyDescent="0.2">
      <c r="G20" s="2562"/>
    </row>
    <row r="21" spans="2:18" ht="24" x14ac:dyDescent="0.2">
      <c r="B21" s="2841" t="s">
        <v>83</v>
      </c>
      <c r="C21" s="2842" t="s">
        <v>89</v>
      </c>
      <c r="D21" s="2843" t="s">
        <v>90</v>
      </c>
      <c r="E21" s="2838" t="s">
        <v>91</v>
      </c>
      <c r="F21" s="2839" t="s">
        <v>92</v>
      </c>
      <c r="G21" s="2840" t="s">
        <v>93</v>
      </c>
    </row>
    <row r="22" spans="2:18" x14ac:dyDescent="0.2">
      <c r="B22" s="811"/>
      <c r="C22" s="812"/>
      <c r="D22" s="813"/>
      <c r="E22" s="814"/>
      <c r="F22" s="815"/>
      <c r="G22" s="816"/>
    </row>
    <row r="23" spans="2:18" ht="20.25" x14ac:dyDescent="0.2">
      <c r="B23" s="817" t="s">
        <v>10</v>
      </c>
      <c r="C23" s="818" t="s">
        <v>85</v>
      </c>
      <c r="D23" s="819"/>
      <c r="E23" s="820"/>
      <c r="F23" s="821"/>
      <c r="G23" s="822"/>
    </row>
    <row r="24" spans="2:18" ht="20.25" x14ac:dyDescent="0.2">
      <c r="B24" s="823"/>
      <c r="C24" s="824"/>
      <c r="D24" s="825"/>
      <c r="E24" s="826"/>
      <c r="F24" s="827"/>
      <c r="G24" s="828"/>
    </row>
    <row r="25" spans="2:18" s="130" customFormat="1" ht="38.25" x14ac:dyDescent="0.2">
      <c r="B25" s="829">
        <v>1.1000000000000001</v>
      </c>
      <c r="C25" s="830" t="s">
        <v>94</v>
      </c>
      <c r="D25" s="831" t="s">
        <v>95</v>
      </c>
      <c r="E25" s="832">
        <v>9933</v>
      </c>
      <c r="F25" s="833">
        <v>0</v>
      </c>
      <c r="G25" s="834">
        <f>E25*F25</f>
        <v>0</v>
      </c>
    </row>
    <row r="26" spans="2:18" s="130" customFormat="1" x14ac:dyDescent="0.2">
      <c r="B26" s="829"/>
      <c r="C26" s="830"/>
      <c r="D26" s="831"/>
      <c r="E26" s="832"/>
      <c r="F26" s="833"/>
      <c r="G26" s="834"/>
    </row>
    <row r="27" spans="2:18" ht="174.75" customHeight="1" x14ac:dyDescent="0.2">
      <c r="B27" s="835">
        <v>1.1000000000000001</v>
      </c>
      <c r="C27" s="898" t="s">
        <v>99</v>
      </c>
      <c r="D27" s="2121" t="s">
        <v>123</v>
      </c>
      <c r="E27" s="2242">
        <v>1</v>
      </c>
      <c r="F27" s="833">
        <v>0</v>
      </c>
      <c r="G27" s="834">
        <f>E27*F27</f>
        <v>0</v>
      </c>
    </row>
    <row r="28" spans="2:18" x14ac:dyDescent="0.2">
      <c r="B28" s="840"/>
      <c r="C28" s="841"/>
      <c r="D28" s="842"/>
      <c r="E28" s="2244"/>
      <c r="F28" s="834"/>
      <c r="G28" s="2522"/>
    </row>
    <row r="29" spans="2:18" ht="38.25" x14ac:dyDescent="0.2">
      <c r="B29" s="845">
        <v>1.2</v>
      </c>
      <c r="C29" s="841" t="s">
        <v>1135</v>
      </c>
      <c r="D29" s="2124" t="s">
        <v>95</v>
      </c>
      <c r="E29" s="2243">
        <v>9933</v>
      </c>
      <c r="F29" s="833">
        <v>0</v>
      </c>
      <c r="G29" s="834">
        <f>E29*F29</f>
        <v>0</v>
      </c>
    </row>
    <row r="30" spans="2:18" x14ac:dyDescent="0.2">
      <c r="B30" s="845"/>
      <c r="C30" s="848"/>
      <c r="D30" s="2124"/>
      <c r="E30" s="2244"/>
      <c r="F30" s="834"/>
      <c r="G30" s="2522"/>
    </row>
    <row r="31" spans="2:18" ht="25.5" x14ac:dyDescent="0.2">
      <c r="B31" s="845">
        <v>1.3</v>
      </c>
      <c r="C31" s="841" t="s">
        <v>96</v>
      </c>
      <c r="D31" s="2124" t="s">
        <v>123</v>
      </c>
      <c r="E31" s="2244">
        <v>395</v>
      </c>
      <c r="F31" s="833">
        <v>0</v>
      </c>
      <c r="G31" s="834">
        <f>E31*F31</f>
        <v>0</v>
      </c>
      <c r="M31" s="849"/>
      <c r="N31" s="850"/>
      <c r="O31" s="851"/>
      <c r="P31" s="852"/>
      <c r="Q31" s="853"/>
      <c r="R31" s="854"/>
    </row>
    <row r="32" spans="2:18" x14ac:dyDescent="0.2">
      <c r="B32" s="855"/>
      <c r="C32" s="841"/>
      <c r="D32" s="842"/>
      <c r="E32" s="2244"/>
      <c r="F32" s="834"/>
      <c r="G32" s="2522"/>
    </row>
    <row r="33" spans="2:18" ht="80.25" customHeight="1" x14ac:dyDescent="0.2">
      <c r="B33" s="856" t="s">
        <v>641</v>
      </c>
      <c r="C33" s="841" t="s">
        <v>97</v>
      </c>
      <c r="D33" s="2124" t="s">
        <v>123</v>
      </c>
      <c r="E33" s="2244">
        <v>1</v>
      </c>
      <c r="F33" s="833">
        <v>0</v>
      </c>
      <c r="G33" s="834">
        <f>E33*F33</f>
        <v>0</v>
      </c>
    </row>
    <row r="34" spans="2:18" x14ac:dyDescent="0.2">
      <c r="B34" s="845"/>
      <c r="C34" s="848"/>
      <c r="D34" s="2126"/>
      <c r="E34" s="2244"/>
      <c r="F34" s="834"/>
      <c r="G34" s="2522"/>
      <c r="M34" s="858"/>
      <c r="N34" s="859"/>
      <c r="O34" s="860"/>
      <c r="P34" s="742"/>
      <c r="Q34" s="853"/>
      <c r="R34" s="854"/>
    </row>
    <row r="35" spans="2:18" ht="25.5" x14ac:dyDescent="0.2">
      <c r="B35" s="856" t="s">
        <v>664</v>
      </c>
      <c r="C35" s="841" t="s">
        <v>1136</v>
      </c>
      <c r="D35" s="653" t="s">
        <v>123</v>
      </c>
      <c r="E35" s="2244">
        <v>1</v>
      </c>
      <c r="F35" s="833">
        <v>0</v>
      </c>
      <c r="G35" s="834">
        <f>E35*F35</f>
        <v>0</v>
      </c>
    </row>
    <row r="36" spans="2:18" x14ac:dyDescent="0.2">
      <c r="B36" s="856"/>
      <c r="C36" s="841"/>
      <c r="D36" s="653"/>
      <c r="E36" s="2244"/>
      <c r="F36" s="834"/>
      <c r="G36" s="2522"/>
    </row>
    <row r="37" spans="2:18" ht="51" x14ac:dyDescent="0.2">
      <c r="B37" s="861" t="s">
        <v>678</v>
      </c>
      <c r="C37" s="862" t="s">
        <v>1137</v>
      </c>
      <c r="D37" s="865" t="s">
        <v>123</v>
      </c>
      <c r="E37" s="2242">
        <v>1</v>
      </c>
      <c r="F37" s="833">
        <v>0</v>
      </c>
      <c r="G37" s="834">
        <f>E37*F37</f>
        <v>0</v>
      </c>
    </row>
    <row r="38" spans="2:18" x14ac:dyDescent="0.2">
      <c r="B38" s="840"/>
      <c r="C38" s="841"/>
      <c r="D38" s="653"/>
      <c r="E38" s="2244"/>
      <c r="F38" s="834"/>
      <c r="G38" s="2522"/>
    </row>
    <row r="39" spans="2:18" ht="40.5" customHeight="1" x14ac:dyDescent="0.2">
      <c r="B39" s="856" t="s">
        <v>688</v>
      </c>
      <c r="C39" s="841" t="s">
        <v>100</v>
      </c>
      <c r="D39" s="653" t="s">
        <v>123</v>
      </c>
      <c r="E39" s="2244">
        <v>1</v>
      </c>
      <c r="F39" s="833">
        <v>0</v>
      </c>
      <c r="G39" s="834">
        <f>E39*F39</f>
        <v>0</v>
      </c>
    </row>
    <row r="40" spans="2:18" ht="12" customHeight="1" x14ac:dyDescent="0.2">
      <c r="B40" s="856"/>
      <c r="C40" s="841"/>
      <c r="D40" s="653"/>
      <c r="E40" s="2244"/>
      <c r="F40" s="834"/>
      <c r="G40" s="2522"/>
    </row>
    <row r="41" spans="2:18" ht="48.75" customHeight="1" x14ac:dyDescent="0.2">
      <c r="B41" s="861" t="s">
        <v>688</v>
      </c>
      <c r="C41" s="3165" t="s">
        <v>2590</v>
      </c>
      <c r="D41" s="865" t="s">
        <v>95</v>
      </c>
      <c r="E41" s="832">
        <v>13311</v>
      </c>
      <c r="F41" s="833">
        <v>0</v>
      </c>
      <c r="G41" s="834">
        <f>E41*F41</f>
        <v>0</v>
      </c>
    </row>
    <row r="42" spans="2:18" ht="11.25" customHeight="1" x14ac:dyDescent="0.2">
      <c r="B42" s="861"/>
      <c r="C42" s="864"/>
      <c r="D42" s="865"/>
      <c r="E42" s="832"/>
      <c r="F42" s="834"/>
      <c r="G42" s="2522"/>
    </row>
    <row r="43" spans="2:18" ht="40.5" customHeight="1" x14ac:dyDescent="0.2">
      <c r="B43" s="861" t="s">
        <v>1199</v>
      </c>
      <c r="C43" s="3165" t="s">
        <v>2591</v>
      </c>
      <c r="D43" s="865" t="s">
        <v>98</v>
      </c>
      <c r="E43" s="832">
        <v>1</v>
      </c>
      <c r="F43" s="833">
        <v>0</v>
      </c>
      <c r="G43" s="834">
        <f>E43*F43</f>
        <v>0</v>
      </c>
    </row>
    <row r="44" spans="2:18" ht="16.5" customHeight="1" x14ac:dyDescent="0.2">
      <c r="B44" s="861"/>
      <c r="C44" s="864"/>
      <c r="D44" s="865"/>
      <c r="E44" s="832"/>
      <c r="F44" s="834"/>
      <c r="G44" s="2522"/>
    </row>
    <row r="45" spans="2:18" ht="30.75" customHeight="1" x14ac:dyDescent="0.2">
      <c r="B45" s="861" t="s">
        <v>1200</v>
      </c>
      <c r="C45" s="864" t="s">
        <v>105</v>
      </c>
      <c r="D45" s="865" t="s">
        <v>98</v>
      </c>
      <c r="E45" s="832">
        <v>1</v>
      </c>
      <c r="F45" s="833">
        <v>0</v>
      </c>
      <c r="G45" s="834">
        <f>E45*F45</f>
        <v>0</v>
      </c>
    </row>
    <row r="46" spans="2:18" ht="13.5" customHeight="1" x14ac:dyDescent="0.2">
      <c r="B46" s="861"/>
      <c r="C46" s="864"/>
      <c r="D46" s="865"/>
      <c r="E46" s="832"/>
      <c r="F46" s="834"/>
      <c r="G46" s="2522"/>
    </row>
    <row r="47" spans="2:18" ht="72.75" customHeight="1" x14ac:dyDescent="0.2">
      <c r="B47" s="861" t="s">
        <v>1201</v>
      </c>
      <c r="C47" s="864" t="s">
        <v>102</v>
      </c>
      <c r="D47" s="210" t="s">
        <v>98</v>
      </c>
      <c r="E47" s="814">
        <v>1</v>
      </c>
      <c r="F47" s="833">
        <v>0</v>
      </c>
      <c r="G47" s="834">
        <f>E47*F47</f>
        <v>0</v>
      </c>
    </row>
    <row r="48" spans="2:18" ht="15" customHeight="1" x14ac:dyDescent="0.2">
      <c r="B48" s="861"/>
      <c r="C48" s="868"/>
      <c r="D48" s="210"/>
      <c r="E48" s="814"/>
      <c r="F48" s="866"/>
      <c r="G48" s="867"/>
    </row>
    <row r="49" spans="2:16" ht="72" x14ac:dyDescent="0.2">
      <c r="B49" s="861" t="s">
        <v>1202</v>
      </c>
      <c r="C49" s="3165" t="s">
        <v>2593</v>
      </c>
      <c r="D49" s="210" t="s">
        <v>149</v>
      </c>
      <c r="E49" s="814">
        <v>375</v>
      </c>
      <c r="F49" s="833">
        <v>0</v>
      </c>
      <c r="G49" s="834">
        <f>E49*F49</f>
        <v>0</v>
      </c>
    </row>
    <row r="50" spans="2:16" x14ac:dyDescent="0.2">
      <c r="B50" s="855"/>
      <c r="C50" s="841"/>
      <c r="D50" s="842"/>
      <c r="E50" s="2559"/>
      <c r="F50" s="2575"/>
      <c r="G50" s="2522"/>
    </row>
    <row r="51" spans="2:16" x14ac:dyDescent="0.2">
      <c r="B51" s="872" t="s">
        <v>10</v>
      </c>
      <c r="C51" s="873" t="s">
        <v>108</v>
      </c>
      <c r="D51" s="873"/>
      <c r="E51" s="874"/>
      <c r="F51" s="875"/>
      <c r="G51" s="876">
        <f>SUM(G25:G50)</f>
        <v>0</v>
      </c>
    </row>
    <row r="54" spans="2:16" ht="24" x14ac:dyDescent="0.2">
      <c r="B54" s="805" t="s">
        <v>83</v>
      </c>
      <c r="C54" s="806" t="s">
        <v>89</v>
      </c>
      <c r="D54" s="807" t="s">
        <v>90</v>
      </c>
      <c r="E54" s="808" t="s">
        <v>91</v>
      </c>
      <c r="F54" s="809" t="s">
        <v>92</v>
      </c>
      <c r="G54" s="810" t="s">
        <v>93</v>
      </c>
    </row>
    <row r="55" spans="2:16" x14ac:dyDescent="0.2">
      <c r="B55" s="811"/>
      <c r="C55" s="877"/>
      <c r="D55" s="878"/>
      <c r="E55" s="814"/>
      <c r="F55" s="815"/>
      <c r="G55" s="816"/>
    </row>
    <row r="56" spans="2:16" ht="20.25" x14ac:dyDescent="0.3">
      <c r="B56" s="817" t="s">
        <v>12</v>
      </c>
      <c r="C56" s="879" t="s">
        <v>109</v>
      </c>
      <c r="D56" s="880"/>
      <c r="E56" s="820"/>
      <c r="F56" s="821"/>
      <c r="G56" s="822"/>
    </row>
    <row r="57" spans="2:16" ht="87" customHeight="1" x14ac:dyDescent="0.2">
      <c r="B57" s="3233" t="s">
        <v>110</v>
      </c>
      <c r="C57" s="3234"/>
      <c r="D57" s="3234"/>
      <c r="E57" s="3234"/>
      <c r="F57" s="3234"/>
      <c r="G57" s="3235"/>
    </row>
    <row r="58" spans="2:16" ht="12.75" customHeight="1" x14ac:dyDescent="0.2">
      <c r="B58" s="802"/>
      <c r="C58" s="799"/>
    </row>
    <row r="59" spans="2:16" ht="38.25" x14ac:dyDescent="0.2">
      <c r="B59" s="840" t="s">
        <v>1205</v>
      </c>
      <c r="C59" s="841" t="s">
        <v>1206</v>
      </c>
      <c r="D59" s="842" t="s">
        <v>1207</v>
      </c>
      <c r="E59" s="2244">
        <v>125</v>
      </c>
      <c r="F59" s="833">
        <v>0</v>
      </c>
      <c r="G59" s="834">
        <f>E59*F59</f>
        <v>0</v>
      </c>
      <c r="J59" s="881"/>
      <c r="L59" s="744"/>
      <c r="N59" s="881"/>
      <c r="O59" s="881"/>
      <c r="P59" s="881"/>
    </row>
    <row r="60" spans="2:16" ht="13.5" customHeight="1" x14ac:dyDescent="0.2">
      <c r="B60" s="840"/>
      <c r="C60" s="841"/>
      <c r="D60" s="842"/>
      <c r="E60" s="2244"/>
      <c r="F60" s="834"/>
      <c r="G60" s="2522"/>
      <c r="J60" s="881"/>
    </row>
    <row r="61" spans="2:16" ht="64.5" customHeight="1" x14ac:dyDescent="0.2">
      <c r="B61" s="840">
        <v>2.2000000000000002</v>
      </c>
      <c r="C61" s="841" t="s">
        <v>1208</v>
      </c>
      <c r="D61" s="846" t="s">
        <v>1207</v>
      </c>
      <c r="E61" s="2244">
        <v>1247.6199999999999</v>
      </c>
      <c r="F61" s="833">
        <v>0</v>
      </c>
      <c r="G61" s="834">
        <f>E61*F61</f>
        <v>0</v>
      </c>
    </row>
    <row r="62" spans="2:16" ht="12.75" customHeight="1" x14ac:dyDescent="0.2">
      <c r="B62" s="845"/>
      <c r="C62" s="882"/>
      <c r="D62" s="846"/>
      <c r="E62" s="2244"/>
      <c r="F62" s="834"/>
      <c r="G62" s="2522"/>
    </row>
    <row r="63" spans="2:16" ht="63.75" x14ac:dyDescent="0.2">
      <c r="B63" s="840">
        <v>2.2999999999999998</v>
      </c>
      <c r="C63" s="841" t="s">
        <v>1209</v>
      </c>
      <c r="D63" s="842" t="s">
        <v>112</v>
      </c>
      <c r="E63" s="2244">
        <v>11228.54</v>
      </c>
      <c r="F63" s="833">
        <v>0</v>
      </c>
      <c r="G63" s="834">
        <f>E63*F63</f>
        <v>0</v>
      </c>
      <c r="I63" s="744"/>
    </row>
    <row r="64" spans="2:16" x14ac:dyDescent="0.2">
      <c r="B64" s="840"/>
      <c r="C64" s="841"/>
      <c r="D64" s="842"/>
      <c r="E64" s="2244"/>
      <c r="F64" s="834"/>
      <c r="G64" s="2522"/>
      <c r="I64" s="744"/>
    </row>
    <row r="65" spans="2:18" ht="38.25" x14ac:dyDescent="0.2">
      <c r="B65" s="883" t="s">
        <v>1210</v>
      </c>
      <c r="C65" s="884" t="s">
        <v>1211</v>
      </c>
      <c r="D65" s="885" t="s">
        <v>117</v>
      </c>
      <c r="E65" s="2524">
        <v>10330.32</v>
      </c>
      <c r="F65" s="833">
        <v>0</v>
      </c>
      <c r="G65" s="834">
        <f>E65*F65</f>
        <v>0</v>
      </c>
    </row>
    <row r="66" spans="2:18" x14ac:dyDescent="0.2">
      <c r="B66" s="840"/>
      <c r="C66" s="841"/>
      <c r="D66" s="842"/>
      <c r="E66" s="2244"/>
      <c r="F66" s="834"/>
      <c r="G66" s="2522"/>
    </row>
    <row r="67" spans="2:18" ht="38.25" x14ac:dyDescent="0.2">
      <c r="B67" s="840">
        <v>2.5</v>
      </c>
      <c r="C67" s="841" t="s">
        <v>1212</v>
      </c>
      <c r="D67" s="842" t="s">
        <v>1213</v>
      </c>
      <c r="E67" s="2244">
        <v>7946.4</v>
      </c>
      <c r="F67" s="833">
        <v>0</v>
      </c>
      <c r="G67" s="834">
        <f>E67*F67</f>
        <v>0</v>
      </c>
    </row>
    <row r="68" spans="2:18" ht="12.75" customHeight="1" x14ac:dyDescent="0.2">
      <c r="B68" s="840"/>
      <c r="C68" s="841"/>
      <c r="D68" s="842"/>
      <c r="E68" s="2244"/>
      <c r="F68" s="834"/>
      <c r="G68" s="2522"/>
      <c r="J68" s="888"/>
      <c r="L68" s="889"/>
    </row>
    <row r="69" spans="2:18" ht="45" customHeight="1" x14ac:dyDescent="0.2">
      <c r="B69" s="840">
        <v>2.7</v>
      </c>
      <c r="C69" s="841" t="s">
        <v>1216</v>
      </c>
      <c r="D69" s="842" t="s">
        <v>1207</v>
      </c>
      <c r="E69" s="2244">
        <v>6770.25</v>
      </c>
      <c r="F69" s="833">
        <v>0</v>
      </c>
      <c r="G69" s="834">
        <f>E69*F69</f>
        <v>0</v>
      </c>
      <c r="I69" s="744"/>
    </row>
    <row r="70" spans="2:18" ht="13.5" customHeight="1" x14ac:dyDescent="0.2">
      <c r="B70" s="840"/>
      <c r="C70" s="841"/>
      <c r="D70" s="842"/>
      <c r="E70" s="2244"/>
      <c r="F70" s="834"/>
      <c r="G70" s="2522"/>
      <c r="I70" s="744"/>
    </row>
    <row r="71" spans="2:18" ht="41.25" customHeight="1" x14ac:dyDescent="0.2">
      <c r="B71" s="835">
        <v>2.8</v>
      </c>
      <c r="C71" s="841" t="s">
        <v>1217</v>
      </c>
      <c r="D71" s="842" t="s">
        <v>1207</v>
      </c>
      <c r="E71" s="2244">
        <v>2363.7600000000002</v>
      </c>
      <c r="F71" s="833">
        <v>0</v>
      </c>
      <c r="G71" s="834">
        <f>E71*F71</f>
        <v>0</v>
      </c>
      <c r="P71" s="744"/>
    </row>
    <row r="72" spans="2:18" ht="13.5" customHeight="1" x14ac:dyDescent="0.2">
      <c r="B72" s="840"/>
      <c r="C72" s="841"/>
      <c r="D72" s="842"/>
      <c r="E72" s="2244"/>
      <c r="F72" s="834"/>
      <c r="G72" s="2522"/>
      <c r="P72" s="744"/>
    </row>
    <row r="73" spans="2:18" ht="68.25" customHeight="1" x14ac:dyDescent="0.2">
      <c r="B73" s="840">
        <v>2.9</v>
      </c>
      <c r="C73" s="890" t="s">
        <v>1218</v>
      </c>
      <c r="D73" s="891" t="s">
        <v>1219</v>
      </c>
      <c r="E73" s="2244">
        <v>3342.15</v>
      </c>
      <c r="F73" s="833">
        <v>0</v>
      </c>
      <c r="G73" s="834">
        <f>E73*F73</f>
        <v>0</v>
      </c>
      <c r="P73" s="744"/>
    </row>
    <row r="74" spans="2:18" ht="15" customHeight="1" x14ac:dyDescent="0.2">
      <c r="B74" s="840"/>
      <c r="C74" s="841"/>
      <c r="D74" s="842"/>
      <c r="E74" s="2244"/>
      <c r="F74" s="834"/>
      <c r="G74" s="2522"/>
    </row>
    <row r="75" spans="2:18" ht="25.5" x14ac:dyDescent="0.2">
      <c r="B75" s="892" t="s">
        <v>1220</v>
      </c>
      <c r="C75" s="841" t="s">
        <v>1221</v>
      </c>
      <c r="D75" s="842" t="s">
        <v>112</v>
      </c>
      <c r="E75" s="2244">
        <v>5830.91</v>
      </c>
      <c r="F75" s="833">
        <v>0</v>
      </c>
      <c r="G75" s="834">
        <f>E75*F75</f>
        <v>0</v>
      </c>
      <c r="I75" s="888"/>
    </row>
    <row r="76" spans="2:18" x14ac:dyDescent="0.2">
      <c r="B76" s="840"/>
      <c r="C76" s="841"/>
      <c r="D76" s="842"/>
      <c r="E76" s="2244"/>
      <c r="F76" s="834"/>
      <c r="G76" s="2522"/>
    </row>
    <row r="77" spans="2:18" ht="25.5" x14ac:dyDescent="0.2">
      <c r="B77" s="892" t="s">
        <v>1222</v>
      </c>
      <c r="C77" s="841" t="s">
        <v>1223</v>
      </c>
      <c r="D77" s="842" t="s">
        <v>112</v>
      </c>
      <c r="E77" s="2244">
        <v>5830.91</v>
      </c>
      <c r="F77" s="833">
        <v>0</v>
      </c>
      <c r="G77" s="834">
        <f>E77*F77</f>
        <v>0</v>
      </c>
    </row>
    <row r="78" spans="2:18" x14ac:dyDescent="0.2">
      <c r="B78" s="892"/>
      <c r="C78" s="841"/>
      <c r="D78" s="842"/>
      <c r="E78" s="2244"/>
      <c r="F78" s="834"/>
      <c r="G78" s="2522"/>
    </row>
    <row r="79" spans="2:18" ht="28.5" customHeight="1" x14ac:dyDescent="0.2">
      <c r="B79" s="892" t="s">
        <v>1227</v>
      </c>
      <c r="C79" s="841" t="s">
        <v>1228</v>
      </c>
      <c r="D79" s="846" t="s">
        <v>1213</v>
      </c>
      <c r="E79" s="2244">
        <v>25975</v>
      </c>
      <c r="F79" s="833">
        <v>0</v>
      </c>
      <c r="G79" s="834">
        <f>E79*F79</f>
        <v>0</v>
      </c>
      <c r="L79" s="893"/>
      <c r="M79" s="894"/>
      <c r="N79" s="895"/>
      <c r="O79" s="896"/>
      <c r="P79" s="897"/>
      <c r="Q79" s="897"/>
      <c r="R79" s="897"/>
    </row>
    <row r="80" spans="2:18" x14ac:dyDescent="0.2">
      <c r="B80" s="845"/>
      <c r="C80" s="840"/>
      <c r="D80" s="857"/>
      <c r="E80" s="2244"/>
      <c r="F80" s="834"/>
      <c r="G80" s="2522"/>
      <c r="L80" s="893"/>
      <c r="M80" s="894"/>
      <c r="N80" s="895"/>
      <c r="O80" s="896"/>
      <c r="P80" s="897"/>
      <c r="Q80" s="897"/>
      <c r="R80" s="897"/>
    </row>
    <row r="81" spans="2:19" ht="90.75" customHeight="1" x14ac:dyDescent="0.2">
      <c r="B81" s="892" t="s">
        <v>1229</v>
      </c>
      <c r="C81" s="898" t="s">
        <v>1230</v>
      </c>
      <c r="D81" s="842" t="s">
        <v>1213</v>
      </c>
      <c r="E81" s="2244">
        <v>29250</v>
      </c>
      <c r="F81" s="833">
        <v>0</v>
      </c>
      <c r="G81" s="834">
        <f>E81*F81</f>
        <v>0</v>
      </c>
      <c r="L81" s="899"/>
      <c r="M81" s="900"/>
      <c r="N81" s="901"/>
      <c r="O81" s="902"/>
      <c r="P81" s="903"/>
      <c r="Q81" s="903"/>
      <c r="R81" s="903"/>
    </row>
    <row r="82" spans="2:19" ht="12" customHeight="1" x14ac:dyDescent="0.2">
      <c r="B82" s="892"/>
      <c r="C82" s="882"/>
      <c r="D82" s="846"/>
      <c r="E82" s="2244"/>
      <c r="F82" s="834"/>
      <c r="G82" s="2522"/>
      <c r="L82" s="899"/>
      <c r="M82" s="900"/>
      <c r="N82" s="901"/>
      <c r="O82" s="902"/>
      <c r="P82" s="903"/>
      <c r="Q82" s="903"/>
      <c r="R82" s="903"/>
    </row>
    <row r="83" spans="2:19" ht="64.5" customHeight="1" x14ac:dyDescent="0.2">
      <c r="B83" s="892" t="s">
        <v>1231</v>
      </c>
      <c r="C83" s="898" t="s">
        <v>1232</v>
      </c>
      <c r="D83" s="842" t="s">
        <v>1213</v>
      </c>
      <c r="E83" s="2244">
        <v>29250</v>
      </c>
      <c r="F83" s="833">
        <v>0</v>
      </c>
      <c r="G83" s="834">
        <f>E83*F83</f>
        <v>0</v>
      </c>
      <c r="L83" s="899"/>
      <c r="M83" s="900"/>
      <c r="N83" s="901"/>
      <c r="O83" s="902"/>
      <c r="P83" s="903"/>
      <c r="Q83" s="903"/>
      <c r="R83" s="903"/>
    </row>
    <row r="84" spans="2:19" x14ac:dyDescent="0.2">
      <c r="B84" s="840"/>
      <c r="C84" s="898"/>
      <c r="D84" s="842"/>
      <c r="E84" s="2244"/>
      <c r="F84" s="834"/>
      <c r="G84" s="2522"/>
    </row>
    <row r="85" spans="2:19" ht="25.5" x14ac:dyDescent="0.2">
      <c r="B85" s="892" t="s">
        <v>1233</v>
      </c>
      <c r="C85" s="841" t="s">
        <v>1234</v>
      </c>
      <c r="D85" s="842" t="s">
        <v>137</v>
      </c>
      <c r="E85" s="2244">
        <v>5195</v>
      </c>
      <c r="F85" s="833">
        <v>0</v>
      </c>
      <c r="G85" s="834">
        <f>E85*F85</f>
        <v>0</v>
      </c>
    </row>
    <row r="86" spans="2:19" x14ac:dyDescent="0.2">
      <c r="B86" s="892"/>
      <c r="C86" s="841"/>
      <c r="D86" s="842"/>
      <c r="E86" s="2244"/>
      <c r="F86" s="834"/>
      <c r="G86" s="2522"/>
    </row>
    <row r="87" spans="2:19" ht="38.25" x14ac:dyDescent="0.2">
      <c r="B87" s="892" t="s">
        <v>1235</v>
      </c>
      <c r="C87" s="841" t="s">
        <v>1236</v>
      </c>
      <c r="D87" s="846" t="s">
        <v>117</v>
      </c>
      <c r="E87" s="2244">
        <v>7305</v>
      </c>
      <c r="F87" s="833">
        <v>0</v>
      </c>
      <c r="G87" s="834">
        <f>E87*F87</f>
        <v>0</v>
      </c>
    </row>
    <row r="88" spans="2:19" ht="15" customHeight="1" x14ac:dyDescent="0.2">
      <c r="B88" s="845"/>
      <c r="C88" s="904"/>
      <c r="D88" s="846"/>
      <c r="E88" s="2244"/>
      <c r="F88" s="834"/>
      <c r="G88" s="2522"/>
      <c r="N88" s="906"/>
      <c r="O88" s="907"/>
      <c r="P88" s="908"/>
      <c r="Q88" s="909"/>
      <c r="R88" s="748"/>
      <c r="S88" s="910"/>
    </row>
    <row r="89" spans="2:19" ht="76.5" x14ac:dyDescent="0.2">
      <c r="B89" s="861" t="s">
        <v>1237</v>
      </c>
      <c r="C89" s="911" t="s">
        <v>139</v>
      </c>
      <c r="D89" s="912"/>
      <c r="E89" s="913"/>
      <c r="F89" s="914"/>
      <c r="G89" s="915"/>
    </row>
    <row r="90" spans="2:19" ht="25.5" x14ac:dyDescent="0.2">
      <c r="B90" s="861"/>
      <c r="C90" s="916" t="s">
        <v>1280</v>
      </c>
      <c r="D90" s="912" t="s">
        <v>95</v>
      </c>
      <c r="E90" s="913">
        <v>34</v>
      </c>
      <c r="F90" s="833">
        <v>0</v>
      </c>
      <c r="G90" s="834">
        <f>E90*F90</f>
        <v>0</v>
      </c>
    </row>
    <row r="91" spans="2:19" ht="25.5" x14ac:dyDescent="0.2">
      <c r="B91" s="861"/>
      <c r="C91" s="916" t="s">
        <v>1374</v>
      </c>
      <c r="D91" s="912" t="s">
        <v>95</v>
      </c>
      <c r="E91" s="913">
        <v>13</v>
      </c>
      <c r="F91" s="833">
        <v>0</v>
      </c>
      <c r="G91" s="834">
        <f>E91*F91</f>
        <v>0</v>
      </c>
    </row>
    <row r="92" spans="2:19" x14ac:dyDescent="0.2">
      <c r="B92" s="845"/>
      <c r="C92" s="916"/>
      <c r="D92" s="912"/>
      <c r="E92" s="913"/>
      <c r="F92" s="914"/>
      <c r="G92" s="915"/>
    </row>
    <row r="93" spans="2:19" ht="41.25" customHeight="1" x14ac:dyDescent="0.2">
      <c r="B93" s="892" t="s">
        <v>1239</v>
      </c>
      <c r="C93" s="917" t="s">
        <v>1240</v>
      </c>
      <c r="D93" s="918" t="s">
        <v>112</v>
      </c>
      <c r="E93" s="2526">
        <v>40</v>
      </c>
      <c r="F93" s="833">
        <v>0</v>
      </c>
      <c r="G93" s="834">
        <f>E93*F93</f>
        <v>0</v>
      </c>
    </row>
    <row r="94" spans="2:19" x14ac:dyDescent="0.2">
      <c r="B94" s="921"/>
      <c r="C94" s="917"/>
      <c r="D94" s="918"/>
      <c r="E94" s="2526"/>
      <c r="F94" s="2448"/>
      <c r="G94" s="2522"/>
    </row>
    <row r="95" spans="2:19" ht="36.75" customHeight="1" x14ac:dyDescent="0.2">
      <c r="B95" s="892" t="s">
        <v>1241</v>
      </c>
      <c r="C95" s="922" t="s">
        <v>1242</v>
      </c>
      <c r="D95" s="918" t="s">
        <v>149</v>
      </c>
      <c r="E95" s="2526">
        <v>88</v>
      </c>
      <c r="F95" s="833">
        <v>0</v>
      </c>
      <c r="G95" s="834">
        <f>E95*F95</f>
        <v>0</v>
      </c>
      <c r="H95" s="923"/>
      <c r="I95" s="130"/>
    </row>
    <row r="96" spans="2:19" ht="13.5" customHeight="1" x14ac:dyDescent="0.2">
      <c r="B96" s="892"/>
      <c r="C96" s="922"/>
      <c r="D96" s="918"/>
      <c r="E96" s="2526"/>
      <c r="F96" s="2448"/>
      <c r="G96" s="2522"/>
      <c r="H96" s="923"/>
      <c r="I96" s="130"/>
    </row>
    <row r="97" spans="2:9" ht="36.75" customHeight="1" x14ac:dyDescent="0.2">
      <c r="B97" s="892" t="s">
        <v>1243</v>
      </c>
      <c r="C97" s="924" t="s">
        <v>153</v>
      </c>
      <c r="D97" s="925" t="s">
        <v>112</v>
      </c>
      <c r="E97" s="926">
        <v>25</v>
      </c>
      <c r="F97" s="833">
        <v>0</v>
      </c>
      <c r="G97" s="834">
        <f>E97*F97</f>
        <v>0</v>
      </c>
      <c r="H97" s="923"/>
      <c r="I97" s="130"/>
    </row>
    <row r="98" spans="2:9" ht="16.5" customHeight="1" x14ac:dyDescent="0.2">
      <c r="B98" s="892"/>
      <c r="C98" s="927"/>
      <c r="D98" s="928"/>
      <c r="E98" s="2526"/>
      <c r="F98" s="2449"/>
      <c r="G98" s="2545"/>
    </row>
    <row r="99" spans="2:9" ht="13.5" customHeight="1" x14ac:dyDescent="0.2">
      <c r="B99" s="872" t="s">
        <v>12</v>
      </c>
      <c r="C99" s="873" t="s">
        <v>157</v>
      </c>
      <c r="D99" s="872"/>
      <c r="E99" s="874"/>
      <c r="F99" s="875"/>
      <c r="G99" s="876">
        <f>SUM(G59:G98)</f>
        <v>0</v>
      </c>
    </row>
    <row r="100" spans="2:9" ht="30" customHeight="1" x14ac:dyDescent="0.2"/>
    <row r="101" spans="2:9" ht="18" customHeight="1" x14ac:dyDescent="0.2">
      <c r="B101" s="2841" t="s">
        <v>83</v>
      </c>
      <c r="C101" s="2842" t="s">
        <v>89</v>
      </c>
      <c r="D101" s="2842" t="s">
        <v>90</v>
      </c>
      <c r="E101" s="2838" t="s">
        <v>91</v>
      </c>
      <c r="F101" s="2839" t="s">
        <v>92</v>
      </c>
      <c r="G101" s="2840" t="s">
        <v>93</v>
      </c>
    </row>
    <row r="102" spans="2:9" ht="18" customHeight="1" x14ac:dyDescent="0.2">
      <c r="B102" s="811"/>
      <c r="C102" s="812"/>
      <c r="D102" s="878"/>
      <c r="E102" s="814"/>
      <c r="F102" s="815"/>
      <c r="G102" s="816"/>
    </row>
    <row r="103" spans="2:9" ht="18" customHeight="1" x14ac:dyDescent="0.2">
      <c r="B103" s="930" t="s">
        <v>17</v>
      </c>
      <c r="C103" s="931" t="s">
        <v>158</v>
      </c>
      <c r="D103" s="880"/>
      <c r="E103" s="820"/>
      <c r="F103" s="821"/>
      <c r="G103" s="822"/>
    </row>
    <row r="104" spans="2:9" ht="18" customHeight="1" x14ac:dyDescent="0.2">
      <c r="B104" s="2865" t="s">
        <v>1</v>
      </c>
      <c r="C104" s="2866"/>
      <c r="D104" s="2867"/>
      <c r="E104" s="2867"/>
      <c r="F104" s="2867"/>
      <c r="G104" s="2868"/>
    </row>
    <row r="105" spans="2:9" ht="15.75" customHeight="1" x14ac:dyDescent="0.2">
      <c r="B105" s="2869" t="s">
        <v>2</v>
      </c>
      <c r="C105" s="2870"/>
      <c r="D105" s="2871"/>
      <c r="E105" s="2872"/>
      <c r="F105" s="2872"/>
      <c r="G105" s="2871"/>
    </row>
    <row r="106" spans="2:9" ht="18" customHeight="1" x14ac:dyDescent="0.2">
      <c r="B106" s="2865" t="s">
        <v>3</v>
      </c>
      <c r="C106" s="2866"/>
      <c r="D106" s="2867"/>
      <c r="E106" s="2867"/>
      <c r="F106" s="2867"/>
      <c r="G106" s="2868"/>
    </row>
    <row r="107" spans="2:9" ht="18" customHeight="1" x14ac:dyDescent="0.2">
      <c r="B107" s="2869" t="s">
        <v>4</v>
      </c>
      <c r="C107" s="2870"/>
      <c r="D107" s="2872"/>
      <c r="E107" s="2872"/>
      <c r="F107" s="2872"/>
      <c r="G107" s="2871"/>
    </row>
    <row r="108" spans="2:9" ht="15.75" customHeight="1" x14ac:dyDescent="0.2">
      <c r="B108" s="3233" t="s">
        <v>159</v>
      </c>
      <c r="C108" s="3234"/>
      <c r="D108" s="3234"/>
      <c r="E108" s="3234"/>
      <c r="F108" s="3234"/>
      <c r="G108" s="3235"/>
    </row>
    <row r="109" spans="2:9" x14ac:dyDescent="0.2">
      <c r="B109" s="3233" t="s">
        <v>160</v>
      </c>
      <c r="C109" s="3234"/>
      <c r="D109" s="3234"/>
      <c r="E109" s="3234"/>
      <c r="F109" s="3234"/>
      <c r="G109" s="3235"/>
    </row>
    <row r="110" spans="2:9" ht="12.75" customHeight="1" x14ac:dyDescent="0.2">
      <c r="B110" s="3233" t="s">
        <v>161</v>
      </c>
      <c r="C110" s="3234"/>
      <c r="D110" s="3234"/>
      <c r="E110" s="3234"/>
      <c r="F110" s="3234"/>
      <c r="G110" s="3235"/>
    </row>
    <row r="111" spans="2:9" ht="12.75" customHeight="1" x14ac:dyDescent="0.2">
      <c r="B111" s="845"/>
      <c r="C111" s="848"/>
      <c r="D111" s="857"/>
      <c r="E111" s="2242"/>
      <c r="F111" s="834"/>
      <c r="G111" s="2522"/>
    </row>
    <row r="112" spans="2:9" ht="12.75" customHeight="1" x14ac:dyDescent="0.2">
      <c r="B112" s="829">
        <v>1</v>
      </c>
      <c r="C112" s="932" t="s">
        <v>162</v>
      </c>
      <c r="D112" s="932"/>
      <c r="E112" s="2528"/>
      <c r="F112" s="2450"/>
      <c r="G112" s="2529"/>
    </row>
    <row r="113" spans="2:9" ht="25.5" x14ac:dyDescent="0.2">
      <c r="B113" s="829"/>
      <c r="C113" s="962" t="s">
        <v>1375</v>
      </c>
      <c r="D113" s="1097" t="s">
        <v>95</v>
      </c>
      <c r="E113" s="913">
        <v>2601</v>
      </c>
      <c r="F113" s="2245">
        <v>0</v>
      </c>
      <c r="G113" s="834">
        <f>E113*F113</f>
        <v>0</v>
      </c>
    </row>
    <row r="114" spans="2:9" ht="36.75" customHeight="1" x14ac:dyDescent="0.2">
      <c r="B114" s="829"/>
      <c r="C114" s="962" t="s">
        <v>1376</v>
      </c>
      <c r="D114" s="1097" t="s">
        <v>95</v>
      </c>
      <c r="E114" s="913">
        <v>289</v>
      </c>
      <c r="F114" s="2245">
        <v>0</v>
      </c>
      <c r="G114" s="834">
        <f>E114*F114</f>
        <v>0</v>
      </c>
      <c r="I114" s="940"/>
    </row>
    <row r="115" spans="2:9" ht="24.75" customHeight="1" x14ac:dyDescent="0.2">
      <c r="B115" s="829"/>
      <c r="C115" s="962" t="s">
        <v>1377</v>
      </c>
      <c r="D115" s="1097" t="s">
        <v>95</v>
      </c>
      <c r="E115" s="913">
        <v>2724</v>
      </c>
      <c r="F115" s="2245">
        <v>0</v>
      </c>
      <c r="G115" s="834">
        <f t="shared" ref="G115:G120" si="0">E115*F115</f>
        <v>0</v>
      </c>
    </row>
    <row r="116" spans="2:9" ht="42" customHeight="1" x14ac:dyDescent="0.2">
      <c r="B116" s="829"/>
      <c r="C116" s="962" t="s">
        <v>1378</v>
      </c>
      <c r="D116" s="1097" t="s">
        <v>95</v>
      </c>
      <c r="E116" s="913">
        <v>303</v>
      </c>
      <c r="F116" s="2245">
        <v>0</v>
      </c>
      <c r="G116" s="834">
        <f t="shared" si="0"/>
        <v>0</v>
      </c>
    </row>
    <row r="117" spans="2:9" ht="35.25" customHeight="1" x14ac:dyDescent="0.2">
      <c r="B117" s="829"/>
      <c r="C117" s="962" t="s">
        <v>1379</v>
      </c>
      <c r="D117" s="1097" t="s">
        <v>95</v>
      </c>
      <c r="E117" s="913">
        <v>257</v>
      </c>
      <c r="F117" s="2245">
        <v>0</v>
      </c>
      <c r="G117" s="834">
        <f t="shared" si="0"/>
        <v>0</v>
      </c>
    </row>
    <row r="118" spans="2:9" ht="42" customHeight="1" x14ac:dyDescent="0.2">
      <c r="B118" s="829"/>
      <c r="C118" s="962" t="s">
        <v>1380</v>
      </c>
      <c r="D118" s="1097" t="s">
        <v>95</v>
      </c>
      <c r="E118" s="913">
        <v>29</v>
      </c>
      <c r="F118" s="2245">
        <v>0</v>
      </c>
      <c r="G118" s="834">
        <f t="shared" si="0"/>
        <v>0</v>
      </c>
      <c r="I118" s="940"/>
    </row>
    <row r="119" spans="2:9" ht="42" customHeight="1" x14ac:dyDescent="0.2">
      <c r="B119" s="829"/>
      <c r="C119" s="962" t="s">
        <v>1381</v>
      </c>
      <c r="D119" s="1097" t="s">
        <v>95</v>
      </c>
      <c r="E119" s="913">
        <v>3357</v>
      </c>
      <c r="F119" s="2245">
        <v>0</v>
      </c>
      <c r="G119" s="834">
        <f t="shared" si="0"/>
        <v>0</v>
      </c>
      <c r="I119" s="1098"/>
    </row>
    <row r="120" spans="2:9" ht="42" customHeight="1" x14ac:dyDescent="0.2">
      <c r="B120" s="829"/>
      <c r="C120" s="962" t="s">
        <v>1382</v>
      </c>
      <c r="D120" s="1097" t="s">
        <v>95</v>
      </c>
      <c r="E120" s="913">
        <v>373</v>
      </c>
      <c r="F120" s="2245">
        <v>0</v>
      </c>
      <c r="G120" s="834">
        <f t="shared" si="0"/>
        <v>0</v>
      </c>
      <c r="I120" s="940"/>
    </row>
    <row r="121" spans="2:9" ht="24.75" customHeight="1" x14ac:dyDescent="0.2">
      <c r="B121" s="829"/>
      <c r="C121" s="916" t="s">
        <v>1247</v>
      </c>
      <c r="D121" s="1097" t="s">
        <v>95</v>
      </c>
      <c r="E121" s="913">
        <v>3040</v>
      </c>
      <c r="F121" s="2245">
        <v>0</v>
      </c>
      <c r="G121" s="834">
        <f>E121*F121</f>
        <v>0</v>
      </c>
    </row>
    <row r="122" spans="2:9" ht="44.25" customHeight="1" x14ac:dyDescent="0.2">
      <c r="B122" s="829"/>
      <c r="C122" s="1100" t="s">
        <v>1248</v>
      </c>
      <c r="D122" s="1097" t="s">
        <v>95</v>
      </c>
      <c r="E122" s="913">
        <v>338</v>
      </c>
      <c r="F122" s="2245">
        <v>0</v>
      </c>
      <c r="G122" s="834">
        <f>E122*F122</f>
        <v>0</v>
      </c>
    </row>
    <row r="123" spans="2:9" ht="12.75" customHeight="1" x14ac:dyDescent="0.2">
      <c r="B123" s="829"/>
      <c r="C123" s="1100"/>
      <c r="D123" s="1097"/>
      <c r="E123" s="1099"/>
      <c r="F123" s="2576"/>
      <c r="G123" s="2246"/>
    </row>
    <row r="124" spans="2:9" ht="66.75" customHeight="1" x14ac:dyDescent="0.2">
      <c r="B124" s="3251" t="s">
        <v>167</v>
      </c>
      <c r="C124" s="1058" t="s">
        <v>168</v>
      </c>
      <c r="D124" s="912"/>
      <c r="E124" s="913"/>
      <c r="F124" s="914"/>
      <c r="G124" s="915"/>
      <c r="I124" s="940"/>
    </row>
    <row r="125" spans="2:9" ht="25.5" customHeight="1" x14ac:dyDescent="0.2">
      <c r="B125" s="3252"/>
      <c r="C125" s="916" t="s">
        <v>171</v>
      </c>
      <c r="D125" s="912" t="s">
        <v>95</v>
      </c>
      <c r="E125" s="913">
        <v>1280</v>
      </c>
      <c r="F125" s="2245">
        <v>0</v>
      </c>
      <c r="G125" s="834">
        <f>E125*F125</f>
        <v>0</v>
      </c>
    </row>
    <row r="126" spans="2:9" ht="12" customHeight="1" x14ac:dyDescent="0.2">
      <c r="B126" s="829"/>
      <c r="C126" s="944"/>
      <c r="D126" s="937"/>
      <c r="E126" s="938"/>
      <c r="F126" s="2245"/>
      <c r="G126" s="834"/>
    </row>
    <row r="127" spans="2:9" ht="67.5" customHeight="1" x14ac:dyDescent="0.2">
      <c r="B127" s="945">
        <v>2</v>
      </c>
      <c r="C127" s="946" t="s">
        <v>172</v>
      </c>
      <c r="D127" s="2727" t="s">
        <v>95</v>
      </c>
      <c r="E127" s="947">
        <f>SUM(E113:E122)</f>
        <v>13311</v>
      </c>
      <c r="F127" s="2245">
        <v>0</v>
      </c>
      <c r="G127" s="834">
        <f>E127*F127</f>
        <v>0</v>
      </c>
    </row>
    <row r="128" spans="2:9" ht="58.5" customHeight="1" x14ac:dyDescent="0.2">
      <c r="B128" s="948" t="s">
        <v>173</v>
      </c>
      <c r="C128" s="946" t="s">
        <v>174</v>
      </c>
      <c r="D128" s="2727" t="s">
        <v>95</v>
      </c>
      <c r="E128" s="947">
        <f>E127</f>
        <v>13311</v>
      </c>
      <c r="F128" s="2245">
        <v>0</v>
      </c>
      <c r="G128" s="834">
        <f>E128*F128</f>
        <v>0</v>
      </c>
    </row>
    <row r="129" spans="2:9" ht="42" customHeight="1" x14ac:dyDescent="0.2">
      <c r="B129" s="948" t="s">
        <v>175</v>
      </c>
      <c r="C129" s="946" t="s">
        <v>176</v>
      </c>
      <c r="D129" s="2727" t="s">
        <v>95</v>
      </c>
      <c r="E129" s="947">
        <f>E127</f>
        <v>13311</v>
      </c>
      <c r="F129" s="2245">
        <v>0</v>
      </c>
      <c r="G129" s="834">
        <f>E129*F129</f>
        <v>0</v>
      </c>
    </row>
    <row r="130" spans="2:9" ht="69" customHeight="1" x14ac:dyDescent="0.2">
      <c r="B130" s="948" t="s">
        <v>177</v>
      </c>
      <c r="C130" s="946" t="s">
        <v>178</v>
      </c>
      <c r="D130" s="2727" t="s">
        <v>95</v>
      </c>
      <c r="E130" s="947">
        <f>E127</f>
        <v>13311</v>
      </c>
      <c r="F130" s="2245">
        <v>0</v>
      </c>
      <c r="G130" s="834">
        <f>E130*F130</f>
        <v>0</v>
      </c>
    </row>
    <row r="131" spans="2:9" x14ac:dyDescent="0.2">
      <c r="B131" s="845"/>
      <c r="C131" s="904"/>
      <c r="D131" s="846"/>
      <c r="E131" s="2242"/>
      <c r="F131" s="2444"/>
      <c r="G131" s="2522"/>
    </row>
    <row r="132" spans="2:9" ht="26.25" customHeight="1" x14ac:dyDescent="0.2">
      <c r="B132" s="2051" t="s">
        <v>1249</v>
      </c>
      <c r="C132" s="2059" t="s">
        <v>1383</v>
      </c>
      <c r="D132" s="2070"/>
      <c r="E132" s="2577"/>
      <c r="F132" s="2455"/>
      <c r="G132" s="2455"/>
      <c r="I132" s="723"/>
    </row>
    <row r="133" spans="2:9" x14ac:dyDescent="0.2">
      <c r="B133" s="2051"/>
      <c r="C133" s="2056" t="s">
        <v>207</v>
      </c>
      <c r="D133" s="2057" t="s">
        <v>149</v>
      </c>
      <c r="E133" s="2044">
        <v>17</v>
      </c>
      <c r="F133" s="2248">
        <v>0</v>
      </c>
      <c r="G133" s="2097">
        <f t="shared" ref="G133:G143" si="1">E133*F133</f>
        <v>0</v>
      </c>
      <c r="I133" s="723"/>
    </row>
    <row r="134" spans="2:9" ht="38.25" x14ac:dyDescent="0.2">
      <c r="B134" s="2051"/>
      <c r="C134" s="2053" t="s">
        <v>223</v>
      </c>
      <c r="D134" s="2057" t="s">
        <v>149</v>
      </c>
      <c r="E134" s="2044">
        <v>17</v>
      </c>
      <c r="F134" s="2248">
        <v>0</v>
      </c>
      <c r="G134" s="2097">
        <f t="shared" si="1"/>
        <v>0</v>
      </c>
      <c r="I134" s="723"/>
    </row>
    <row r="135" spans="2:9" ht="33.75" customHeight="1" x14ac:dyDescent="0.2">
      <c r="B135" s="2051"/>
      <c r="C135" s="2053" t="s">
        <v>213</v>
      </c>
      <c r="D135" s="2057" t="s">
        <v>149</v>
      </c>
      <c r="E135" s="2044">
        <v>17</v>
      </c>
      <c r="F135" s="2248">
        <v>0</v>
      </c>
      <c r="G135" s="2097">
        <f t="shared" si="1"/>
        <v>0</v>
      </c>
      <c r="I135" s="723"/>
    </row>
    <row r="136" spans="2:9" x14ac:dyDescent="0.2">
      <c r="B136" s="2051"/>
      <c r="C136" s="2053" t="s">
        <v>224</v>
      </c>
      <c r="D136" s="2057" t="s">
        <v>149</v>
      </c>
      <c r="E136" s="2044">
        <v>17</v>
      </c>
      <c r="F136" s="2248">
        <v>0</v>
      </c>
      <c r="G136" s="2097">
        <f t="shared" si="1"/>
        <v>0</v>
      </c>
      <c r="I136" s="723"/>
    </row>
    <row r="137" spans="2:9" x14ac:dyDescent="0.2">
      <c r="B137" s="2051"/>
      <c r="C137" s="2053" t="s">
        <v>225</v>
      </c>
      <c r="D137" s="2057" t="s">
        <v>149</v>
      </c>
      <c r="E137" s="2044">
        <v>17</v>
      </c>
      <c r="F137" s="2248">
        <v>0</v>
      </c>
      <c r="G137" s="2097">
        <f t="shared" si="1"/>
        <v>0</v>
      </c>
      <c r="I137" s="723"/>
    </row>
    <row r="138" spans="2:9" x14ac:dyDescent="0.2">
      <c r="B138" s="2051"/>
      <c r="C138" s="2048" t="s">
        <v>226</v>
      </c>
      <c r="D138" s="2057" t="s">
        <v>149</v>
      </c>
      <c r="E138" s="2044">
        <v>17</v>
      </c>
      <c r="F138" s="2248">
        <v>0</v>
      </c>
      <c r="G138" s="2097">
        <f t="shared" si="1"/>
        <v>0</v>
      </c>
      <c r="I138" s="723"/>
    </row>
    <row r="139" spans="2:9" x14ac:dyDescent="0.2">
      <c r="B139" s="2051"/>
      <c r="C139" s="2048" t="s">
        <v>217</v>
      </c>
      <c r="D139" s="2057" t="s">
        <v>149</v>
      </c>
      <c r="E139" s="2044">
        <v>17</v>
      </c>
      <c r="F139" s="2248">
        <v>0</v>
      </c>
      <c r="G139" s="2097">
        <f t="shared" si="1"/>
        <v>0</v>
      </c>
      <c r="I139" s="723"/>
    </row>
    <row r="140" spans="2:9" ht="25.5" x14ac:dyDescent="0.2">
      <c r="B140" s="2051"/>
      <c r="C140" s="2048" t="s">
        <v>235</v>
      </c>
      <c r="D140" s="2057" t="s">
        <v>149</v>
      </c>
      <c r="E140" s="2044">
        <v>34</v>
      </c>
      <c r="F140" s="2248">
        <v>0</v>
      </c>
      <c r="G140" s="2097">
        <f t="shared" si="1"/>
        <v>0</v>
      </c>
      <c r="I140" s="723"/>
    </row>
    <row r="141" spans="2:9" ht="25.5" x14ac:dyDescent="0.2">
      <c r="B141" s="2051"/>
      <c r="C141" s="2048" t="s">
        <v>1294</v>
      </c>
      <c r="D141" s="2057" t="s">
        <v>149</v>
      </c>
      <c r="E141" s="2044">
        <v>34</v>
      </c>
      <c r="F141" s="2248">
        <v>0</v>
      </c>
      <c r="G141" s="2097">
        <f t="shared" si="1"/>
        <v>0</v>
      </c>
      <c r="I141" s="723"/>
    </row>
    <row r="142" spans="2:9" ht="25.5" x14ac:dyDescent="0.2">
      <c r="B142" s="2051"/>
      <c r="C142" s="2048" t="s">
        <v>227</v>
      </c>
      <c r="D142" s="2057" t="s">
        <v>149</v>
      </c>
      <c r="E142" s="2044">
        <v>17</v>
      </c>
      <c r="F142" s="2248">
        <v>0</v>
      </c>
      <c r="G142" s="2097">
        <f t="shared" si="1"/>
        <v>0</v>
      </c>
      <c r="I142" s="723"/>
    </row>
    <row r="143" spans="2:9" ht="25.5" x14ac:dyDescent="0.2">
      <c r="B143" s="2051"/>
      <c r="C143" s="2050" t="s">
        <v>1196</v>
      </c>
      <c r="D143" s="2057" t="s">
        <v>149</v>
      </c>
      <c r="E143" s="2044">
        <v>17</v>
      </c>
      <c r="F143" s="2248">
        <v>0</v>
      </c>
      <c r="G143" s="2097">
        <f t="shared" si="1"/>
        <v>0</v>
      </c>
      <c r="I143" s="723"/>
    </row>
    <row r="144" spans="2:9" x14ac:dyDescent="0.2">
      <c r="B144" s="950"/>
      <c r="C144" s="955"/>
      <c r="D144" s="956"/>
      <c r="E144" s="2532"/>
      <c r="F144" s="2453"/>
      <c r="G144" s="2453"/>
      <c r="I144" s="723"/>
    </row>
    <row r="145" spans="2:9" ht="29.25" customHeight="1" x14ac:dyDescent="0.2">
      <c r="B145" s="2051" t="s">
        <v>1253</v>
      </c>
      <c r="C145" s="2059" t="s">
        <v>1384</v>
      </c>
      <c r="D145" s="2070"/>
      <c r="E145" s="2577"/>
      <c r="F145" s="2455"/>
      <c r="G145" s="2455"/>
      <c r="I145" s="723"/>
    </row>
    <row r="146" spans="2:9" x14ac:dyDescent="0.2">
      <c r="B146" s="2051"/>
      <c r="C146" s="2056" t="s">
        <v>207</v>
      </c>
      <c r="D146" s="2057" t="s">
        <v>149</v>
      </c>
      <c r="E146" s="2044">
        <v>7</v>
      </c>
      <c r="F146" s="2248">
        <v>0</v>
      </c>
      <c r="G146" s="2097">
        <f t="shared" ref="G146:G156" si="2">E146*F146</f>
        <v>0</v>
      </c>
      <c r="I146" s="723"/>
    </row>
    <row r="147" spans="2:9" ht="38.25" x14ac:dyDescent="0.2">
      <c r="B147" s="2051"/>
      <c r="C147" s="2053" t="s">
        <v>223</v>
      </c>
      <c r="D147" s="2057" t="s">
        <v>149</v>
      </c>
      <c r="E147" s="2044">
        <v>7</v>
      </c>
      <c r="F147" s="2248">
        <v>0</v>
      </c>
      <c r="G147" s="2097">
        <f t="shared" si="2"/>
        <v>0</v>
      </c>
      <c r="I147" s="723"/>
    </row>
    <row r="148" spans="2:9" ht="25.5" x14ac:dyDescent="0.2">
      <c r="B148" s="2051"/>
      <c r="C148" s="2053" t="s">
        <v>213</v>
      </c>
      <c r="D148" s="2057" t="s">
        <v>149</v>
      </c>
      <c r="E148" s="2044">
        <v>7</v>
      </c>
      <c r="F148" s="2248">
        <v>0</v>
      </c>
      <c r="G148" s="2097">
        <f t="shared" si="2"/>
        <v>0</v>
      </c>
      <c r="I148" s="723"/>
    </row>
    <row r="149" spans="2:9" x14ac:dyDescent="0.2">
      <c r="B149" s="2051"/>
      <c r="C149" s="2053" t="s">
        <v>224</v>
      </c>
      <c r="D149" s="2057" t="s">
        <v>149</v>
      </c>
      <c r="E149" s="2044">
        <v>7</v>
      </c>
      <c r="F149" s="2248">
        <v>0</v>
      </c>
      <c r="G149" s="2097">
        <f t="shared" si="2"/>
        <v>0</v>
      </c>
      <c r="I149" s="723"/>
    </row>
    <row r="150" spans="2:9" x14ac:dyDescent="0.2">
      <c r="B150" s="2051"/>
      <c r="C150" s="2053" t="s">
        <v>225</v>
      </c>
      <c r="D150" s="2057" t="s">
        <v>149</v>
      </c>
      <c r="E150" s="2044">
        <v>7</v>
      </c>
      <c r="F150" s="2248">
        <v>0</v>
      </c>
      <c r="G150" s="2097">
        <f t="shared" si="2"/>
        <v>0</v>
      </c>
      <c r="I150" s="723"/>
    </row>
    <row r="151" spans="2:9" x14ac:dyDescent="0.2">
      <c r="B151" s="2051"/>
      <c r="C151" s="2048" t="s">
        <v>226</v>
      </c>
      <c r="D151" s="2057" t="s">
        <v>149</v>
      </c>
      <c r="E151" s="2044">
        <v>7</v>
      </c>
      <c r="F151" s="2248">
        <v>0</v>
      </c>
      <c r="G151" s="2097">
        <f t="shared" si="2"/>
        <v>0</v>
      </c>
      <c r="I151" s="723"/>
    </row>
    <row r="152" spans="2:9" x14ac:dyDescent="0.2">
      <c r="B152" s="2051"/>
      <c r="C152" s="2048" t="s">
        <v>217</v>
      </c>
      <c r="D152" s="2057" t="s">
        <v>149</v>
      </c>
      <c r="E152" s="2044">
        <v>7</v>
      </c>
      <c r="F152" s="2248">
        <v>0</v>
      </c>
      <c r="G152" s="2097">
        <f t="shared" si="2"/>
        <v>0</v>
      </c>
      <c r="I152" s="723"/>
    </row>
    <row r="153" spans="2:9" ht="25.5" x14ac:dyDescent="0.2">
      <c r="B153" s="2051"/>
      <c r="C153" s="2048" t="s">
        <v>195</v>
      </c>
      <c r="D153" s="2057" t="s">
        <v>149</v>
      </c>
      <c r="E153" s="2044">
        <v>14</v>
      </c>
      <c r="F153" s="2248">
        <v>0</v>
      </c>
      <c r="G153" s="2097">
        <f t="shared" si="2"/>
        <v>0</v>
      </c>
      <c r="I153" s="723"/>
    </row>
    <row r="154" spans="2:9" ht="25.5" x14ac:dyDescent="0.2">
      <c r="B154" s="2051"/>
      <c r="C154" s="2048" t="s">
        <v>1292</v>
      </c>
      <c r="D154" s="2057" t="s">
        <v>149</v>
      </c>
      <c r="E154" s="2044">
        <v>14</v>
      </c>
      <c r="F154" s="2248">
        <v>0</v>
      </c>
      <c r="G154" s="2097">
        <f t="shared" si="2"/>
        <v>0</v>
      </c>
      <c r="I154" s="723"/>
    </row>
    <row r="155" spans="2:9" ht="25.5" x14ac:dyDescent="0.2">
      <c r="B155" s="2051"/>
      <c r="C155" s="2048" t="s">
        <v>227</v>
      </c>
      <c r="D155" s="2057" t="s">
        <v>149</v>
      </c>
      <c r="E155" s="2044">
        <v>7</v>
      </c>
      <c r="F155" s="2248">
        <v>0</v>
      </c>
      <c r="G155" s="2097">
        <f t="shared" si="2"/>
        <v>0</v>
      </c>
      <c r="I155" s="723"/>
    </row>
    <row r="156" spans="2:9" ht="25.5" x14ac:dyDescent="0.2">
      <c r="B156" s="2051"/>
      <c r="C156" s="2050" t="s">
        <v>1196</v>
      </c>
      <c r="D156" s="2057" t="s">
        <v>149</v>
      </c>
      <c r="E156" s="2044">
        <v>7</v>
      </c>
      <c r="F156" s="2248">
        <v>0</v>
      </c>
      <c r="G156" s="2097">
        <f t="shared" si="2"/>
        <v>0</v>
      </c>
      <c r="I156" s="723"/>
    </row>
    <row r="157" spans="2:9" x14ac:dyDescent="0.2">
      <c r="B157" s="950"/>
      <c r="C157" s="955"/>
      <c r="D157" s="956"/>
      <c r="E157" s="2532"/>
      <c r="F157" s="2453"/>
      <c r="G157" s="2453"/>
      <c r="I157" s="723"/>
    </row>
    <row r="158" spans="2:9" ht="14.25" customHeight="1" x14ac:dyDescent="0.2">
      <c r="B158" s="2051" t="s">
        <v>1256</v>
      </c>
      <c r="C158" s="2059" t="s">
        <v>1306</v>
      </c>
      <c r="D158" s="2052"/>
      <c r="E158" s="2578"/>
      <c r="F158" s="2451"/>
      <c r="G158" s="2451"/>
      <c r="H158" s="953"/>
      <c r="I158" s="723"/>
    </row>
    <row r="159" spans="2:9" ht="14.25" customHeight="1" x14ac:dyDescent="0.2">
      <c r="B159" s="2051"/>
      <c r="C159" s="2056" t="s">
        <v>207</v>
      </c>
      <c r="D159" s="2057" t="s">
        <v>149</v>
      </c>
      <c r="E159" s="2044">
        <v>2</v>
      </c>
      <c r="F159" s="2248">
        <v>0</v>
      </c>
      <c r="G159" s="2097">
        <f t="shared" ref="G159:G166" si="3">E159*F159</f>
        <v>0</v>
      </c>
      <c r="H159" s="953"/>
      <c r="I159" s="723"/>
    </row>
    <row r="160" spans="2:9" ht="64.5" customHeight="1" x14ac:dyDescent="0.2">
      <c r="B160" s="2051"/>
      <c r="C160" s="2053" t="s">
        <v>192</v>
      </c>
      <c r="D160" s="2057" t="s">
        <v>149</v>
      </c>
      <c r="E160" s="2044">
        <v>2</v>
      </c>
      <c r="F160" s="2248">
        <v>0</v>
      </c>
      <c r="G160" s="2097">
        <f t="shared" si="3"/>
        <v>0</v>
      </c>
      <c r="H160" s="953"/>
      <c r="I160" s="723"/>
    </row>
    <row r="161" spans="2:12" ht="17.25" customHeight="1" x14ac:dyDescent="0.2">
      <c r="B161" s="2051"/>
      <c r="C161" s="2053" t="s">
        <v>193</v>
      </c>
      <c r="D161" s="2057" t="s">
        <v>149</v>
      </c>
      <c r="E161" s="2044">
        <v>2</v>
      </c>
      <c r="F161" s="2248">
        <v>0</v>
      </c>
      <c r="G161" s="2097">
        <f t="shared" si="3"/>
        <v>0</v>
      </c>
      <c r="H161" s="953"/>
      <c r="I161" s="723"/>
    </row>
    <row r="162" spans="2:12" ht="18" customHeight="1" x14ac:dyDescent="0.2">
      <c r="B162" s="2051"/>
      <c r="C162" s="2053" t="s">
        <v>194</v>
      </c>
      <c r="D162" s="2057" t="s">
        <v>149</v>
      </c>
      <c r="E162" s="2044">
        <v>2</v>
      </c>
      <c r="F162" s="2248">
        <v>0</v>
      </c>
      <c r="G162" s="2097">
        <f t="shared" si="3"/>
        <v>0</v>
      </c>
      <c r="H162" s="953"/>
      <c r="I162" s="723"/>
    </row>
    <row r="163" spans="2:12" ht="28.5" customHeight="1" x14ac:dyDescent="0.2">
      <c r="B163" s="2051"/>
      <c r="C163" s="2053" t="s">
        <v>235</v>
      </c>
      <c r="D163" s="2057" t="s">
        <v>149</v>
      </c>
      <c r="E163" s="2044">
        <v>4</v>
      </c>
      <c r="F163" s="2248">
        <v>0</v>
      </c>
      <c r="G163" s="2097">
        <f t="shared" si="3"/>
        <v>0</v>
      </c>
      <c r="H163" s="953"/>
      <c r="I163" s="723"/>
    </row>
    <row r="164" spans="2:12" ht="27" customHeight="1" x14ac:dyDescent="0.2">
      <c r="B164" s="2051"/>
      <c r="C164" s="2053" t="s">
        <v>1307</v>
      </c>
      <c r="D164" s="2057" t="s">
        <v>149</v>
      </c>
      <c r="E164" s="2044">
        <v>4</v>
      </c>
      <c r="F164" s="2248">
        <v>0</v>
      </c>
      <c r="G164" s="2097">
        <f t="shared" si="3"/>
        <v>0</v>
      </c>
      <c r="H164" s="953"/>
      <c r="I164" s="723"/>
    </row>
    <row r="165" spans="2:12" ht="24" customHeight="1" x14ac:dyDescent="0.2">
      <c r="B165" s="2051"/>
      <c r="C165" s="2053" t="s">
        <v>197</v>
      </c>
      <c r="D165" s="2057" t="s">
        <v>149</v>
      </c>
      <c r="E165" s="2044">
        <v>2</v>
      </c>
      <c r="F165" s="2248">
        <v>0</v>
      </c>
      <c r="G165" s="2097">
        <f t="shared" si="3"/>
        <v>0</v>
      </c>
      <c r="H165" s="953"/>
      <c r="I165" s="723"/>
    </row>
    <row r="166" spans="2:12" ht="28.5" customHeight="1" x14ac:dyDescent="0.2">
      <c r="B166" s="2051"/>
      <c r="C166" s="2053" t="s">
        <v>1196</v>
      </c>
      <c r="D166" s="2057" t="s">
        <v>149</v>
      </c>
      <c r="E166" s="2044">
        <v>2</v>
      </c>
      <c r="F166" s="2248">
        <v>0</v>
      </c>
      <c r="G166" s="2097">
        <f t="shared" si="3"/>
        <v>0</v>
      </c>
      <c r="H166" s="953"/>
      <c r="I166" s="723"/>
    </row>
    <row r="167" spans="2:12" ht="18.75" customHeight="1" x14ac:dyDescent="0.2">
      <c r="B167" s="950"/>
      <c r="C167" s="963"/>
      <c r="D167" s="951"/>
      <c r="E167" s="2579"/>
      <c r="F167" s="2452"/>
      <c r="G167" s="2452"/>
      <c r="H167" s="953"/>
      <c r="I167" s="964"/>
      <c r="J167" s="723"/>
      <c r="K167" s="723"/>
      <c r="L167" s="723"/>
    </row>
    <row r="168" spans="2:12" ht="15" customHeight="1" x14ac:dyDescent="0.2">
      <c r="B168" s="2051" t="s">
        <v>1259</v>
      </c>
      <c r="C168" s="2058" t="s">
        <v>1385</v>
      </c>
      <c r="D168" s="2052"/>
      <c r="E168" s="2578"/>
      <c r="F168" s="2451"/>
      <c r="G168" s="2451"/>
      <c r="I168" s="723"/>
    </row>
    <row r="169" spans="2:12" x14ac:dyDescent="0.2">
      <c r="B169" s="2051"/>
      <c r="C169" s="2056" t="s">
        <v>207</v>
      </c>
      <c r="D169" s="2057" t="s">
        <v>149</v>
      </c>
      <c r="E169" s="2044">
        <v>2</v>
      </c>
      <c r="F169" s="2248">
        <v>0</v>
      </c>
      <c r="G169" s="2097">
        <f t="shared" ref="G169:G184" si="4">E169*F169</f>
        <v>0</v>
      </c>
      <c r="I169" s="723"/>
    </row>
    <row r="170" spans="2:12" ht="25.5" x14ac:dyDescent="0.2">
      <c r="B170" s="2051"/>
      <c r="C170" s="2056" t="s">
        <v>208</v>
      </c>
      <c r="D170" s="2057" t="s">
        <v>149</v>
      </c>
      <c r="E170" s="2044">
        <v>4</v>
      </c>
      <c r="F170" s="2248">
        <v>0</v>
      </c>
      <c r="G170" s="2097">
        <f t="shared" si="4"/>
        <v>0</v>
      </c>
      <c r="I170" s="723"/>
    </row>
    <row r="171" spans="2:12" ht="33.75" customHeight="1" x14ac:dyDescent="0.2">
      <c r="B171" s="2051"/>
      <c r="C171" s="2053" t="s">
        <v>843</v>
      </c>
      <c r="D171" s="2057" t="s">
        <v>149</v>
      </c>
      <c r="E171" s="2044">
        <v>2</v>
      </c>
      <c r="F171" s="2248">
        <v>0</v>
      </c>
      <c r="G171" s="2097">
        <f t="shared" si="4"/>
        <v>0</v>
      </c>
      <c r="I171" s="723"/>
    </row>
    <row r="172" spans="2:12" x14ac:dyDescent="0.2">
      <c r="B172" s="2051"/>
      <c r="C172" s="2053" t="s">
        <v>210</v>
      </c>
      <c r="D172" s="2057" t="s">
        <v>149</v>
      </c>
      <c r="E172" s="2044">
        <v>2</v>
      </c>
      <c r="F172" s="2248">
        <v>0</v>
      </c>
      <c r="G172" s="2097">
        <f t="shared" si="4"/>
        <v>0</v>
      </c>
      <c r="I172" s="723"/>
    </row>
    <row r="173" spans="2:12" x14ac:dyDescent="0.2">
      <c r="B173" s="2051"/>
      <c r="C173" s="2053" t="s">
        <v>211</v>
      </c>
      <c r="D173" s="2057" t="s">
        <v>149</v>
      </c>
      <c r="E173" s="2044">
        <v>2</v>
      </c>
      <c r="F173" s="2248">
        <v>0</v>
      </c>
      <c r="G173" s="2097">
        <f t="shared" si="4"/>
        <v>0</v>
      </c>
      <c r="I173" s="723"/>
    </row>
    <row r="174" spans="2:12" x14ac:dyDescent="0.2">
      <c r="B174" s="2051"/>
      <c r="C174" s="2053" t="s">
        <v>212</v>
      </c>
      <c r="D174" s="2057" t="s">
        <v>149</v>
      </c>
      <c r="E174" s="2044">
        <v>2</v>
      </c>
      <c r="F174" s="2248">
        <v>0</v>
      </c>
      <c r="G174" s="2097">
        <f t="shared" si="4"/>
        <v>0</v>
      </c>
      <c r="I174" s="723"/>
    </row>
    <row r="175" spans="2:12" x14ac:dyDescent="0.2">
      <c r="B175" s="2051"/>
      <c r="C175" s="2053" t="s">
        <v>1104</v>
      </c>
      <c r="D175" s="2057" t="s">
        <v>149</v>
      </c>
      <c r="E175" s="2044">
        <v>2</v>
      </c>
      <c r="F175" s="2248">
        <v>0</v>
      </c>
      <c r="G175" s="2097">
        <f t="shared" si="4"/>
        <v>0</v>
      </c>
      <c r="I175" s="723"/>
    </row>
    <row r="176" spans="2:12" x14ac:dyDescent="0.2">
      <c r="B176" s="2051"/>
      <c r="C176" s="2053" t="s">
        <v>214</v>
      </c>
      <c r="D176" s="2057" t="s">
        <v>149</v>
      </c>
      <c r="E176" s="2044">
        <v>2</v>
      </c>
      <c r="F176" s="2248">
        <v>0</v>
      </c>
      <c r="G176" s="2097">
        <f t="shared" si="4"/>
        <v>0</v>
      </c>
      <c r="I176" s="723"/>
    </row>
    <row r="177" spans="2:15" x14ac:dyDescent="0.2">
      <c r="B177" s="2051"/>
      <c r="C177" s="2053" t="s">
        <v>215</v>
      </c>
      <c r="D177" s="2057" t="s">
        <v>149</v>
      </c>
      <c r="E177" s="2044">
        <v>2</v>
      </c>
      <c r="F177" s="2248">
        <v>0</v>
      </c>
      <c r="G177" s="2097">
        <f t="shared" si="4"/>
        <v>0</v>
      </c>
      <c r="I177" s="723"/>
    </row>
    <row r="178" spans="2:15" x14ac:dyDescent="0.2">
      <c r="B178" s="2051"/>
      <c r="C178" s="2048" t="s">
        <v>216</v>
      </c>
      <c r="D178" s="2057" t="s">
        <v>149</v>
      </c>
      <c r="E178" s="2044">
        <v>2</v>
      </c>
      <c r="F178" s="2248">
        <v>0</v>
      </c>
      <c r="G178" s="2097">
        <f t="shared" si="4"/>
        <v>0</v>
      </c>
      <c r="I178" s="723"/>
    </row>
    <row r="179" spans="2:15" x14ac:dyDescent="0.2">
      <c r="B179" s="2051"/>
      <c r="C179" s="2048" t="s">
        <v>329</v>
      </c>
      <c r="D179" s="2057" t="s">
        <v>149</v>
      </c>
      <c r="E179" s="2044">
        <v>2</v>
      </c>
      <c r="F179" s="2248">
        <v>0</v>
      </c>
      <c r="G179" s="2097">
        <f t="shared" si="4"/>
        <v>0</v>
      </c>
      <c r="I179" s="723"/>
    </row>
    <row r="180" spans="2:15" ht="25.5" x14ac:dyDescent="0.2">
      <c r="B180" s="2051"/>
      <c r="C180" s="2048" t="s">
        <v>235</v>
      </c>
      <c r="D180" s="2057" t="s">
        <v>149</v>
      </c>
      <c r="E180" s="2044">
        <v>4</v>
      </c>
      <c r="F180" s="2248">
        <v>0</v>
      </c>
      <c r="G180" s="2097">
        <f t="shared" si="4"/>
        <v>0</v>
      </c>
      <c r="I180" s="723"/>
    </row>
    <row r="181" spans="2:15" ht="25.5" x14ac:dyDescent="0.2">
      <c r="B181" s="2051"/>
      <c r="C181" s="2048" t="s">
        <v>1294</v>
      </c>
      <c r="D181" s="2057" t="s">
        <v>149</v>
      </c>
      <c r="E181" s="2044">
        <v>4</v>
      </c>
      <c r="F181" s="2248">
        <v>0</v>
      </c>
      <c r="G181" s="2097">
        <f t="shared" si="4"/>
        <v>0</v>
      </c>
      <c r="I181" s="723"/>
    </row>
    <row r="182" spans="2:15" ht="25.5" x14ac:dyDescent="0.2">
      <c r="B182" s="2051"/>
      <c r="C182" s="2048" t="s">
        <v>219</v>
      </c>
      <c r="D182" s="2057" t="s">
        <v>149</v>
      </c>
      <c r="E182" s="2044">
        <v>2</v>
      </c>
      <c r="F182" s="2248">
        <v>0</v>
      </c>
      <c r="G182" s="2097">
        <f t="shared" si="4"/>
        <v>0</v>
      </c>
      <c r="I182" s="723"/>
    </row>
    <row r="183" spans="2:15" ht="25.5" x14ac:dyDescent="0.2">
      <c r="B183" s="2051"/>
      <c r="C183" s="2048" t="s">
        <v>227</v>
      </c>
      <c r="D183" s="2057" t="s">
        <v>149</v>
      </c>
      <c r="E183" s="2044">
        <v>6</v>
      </c>
      <c r="F183" s="2248">
        <v>0</v>
      </c>
      <c r="G183" s="2097">
        <f t="shared" si="4"/>
        <v>0</v>
      </c>
      <c r="I183" s="723"/>
    </row>
    <row r="184" spans="2:15" ht="25.5" x14ac:dyDescent="0.2">
      <c r="B184" s="2051"/>
      <c r="C184" s="2050" t="s">
        <v>1196</v>
      </c>
      <c r="D184" s="2057" t="s">
        <v>149</v>
      </c>
      <c r="E184" s="2044">
        <v>2</v>
      </c>
      <c r="F184" s="2248">
        <v>0</v>
      </c>
      <c r="G184" s="2097">
        <f t="shared" si="4"/>
        <v>0</v>
      </c>
      <c r="I184" s="723"/>
    </row>
    <row r="185" spans="2:15" ht="14.25" customHeight="1" x14ac:dyDescent="0.2">
      <c r="B185" s="950"/>
      <c r="C185" s="955"/>
      <c r="D185" s="956"/>
      <c r="E185" s="2532"/>
      <c r="F185" s="2453"/>
      <c r="G185" s="2453"/>
      <c r="H185" s="953"/>
      <c r="I185" s="723"/>
    </row>
    <row r="186" spans="2:15" x14ac:dyDescent="0.2">
      <c r="B186" s="2051" t="s">
        <v>1261</v>
      </c>
      <c r="C186" s="2059" t="s">
        <v>1386</v>
      </c>
      <c r="D186" s="2052"/>
      <c r="E186" s="2577"/>
      <c r="F186" s="2455"/>
      <c r="G186" s="2455"/>
      <c r="H186" s="1101"/>
      <c r="I186" s="964"/>
      <c r="J186" s="723"/>
      <c r="K186" s="723"/>
      <c r="L186" s="723"/>
      <c r="M186" s="723"/>
      <c r="N186" s="723"/>
      <c r="O186" s="723"/>
    </row>
    <row r="187" spans="2:15" x14ac:dyDescent="0.2">
      <c r="B187" s="2051"/>
      <c r="C187" s="2056" t="s">
        <v>841</v>
      </c>
      <c r="D187" s="2057" t="s">
        <v>149</v>
      </c>
      <c r="E187" s="2044">
        <v>14</v>
      </c>
      <c r="F187" s="2248">
        <v>0</v>
      </c>
      <c r="G187" s="2097">
        <f t="shared" ref="G187:G196" si="5">E187*F187</f>
        <v>0</v>
      </c>
      <c r="H187" s="1101"/>
      <c r="I187" s="964"/>
      <c r="J187" s="723"/>
      <c r="K187" s="723"/>
      <c r="L187" s="723"/>
      <c r="M187" s="723"/>
      <c r="N187" s="723"/>
      <c r="O187" s="723"/>
    </row>
    <row r="188" spans="2:15" ht="63.75" x14ac:dyDescent="0.2">
      <c r="B188" s="2051"/>
      <c r="C188" s="2053" t="s">
        <v>285</v>
      </c>
      <c r="D188" s="2057" t="s">
        <v>149</v>
      </c>
      <c r="E188" s="2044">
        <v>14</v>
      </c>
      <c r="F188" s="2248">
        <v>0</v>
      </c>
      <c r="G188" s="2097">
        <f t="shared" si="5"/>
        <v>0</v>
      </c>
      <c r="H188" s="1101"/>
      <c r="I188" s="964"/>
      <c r="J188" s="723"/>
      <c r="K188" s="723"/>
      <c r="L188" s="723"/>
      <c r="M188" s="723"/>
      <c r="N188" s="723"/>
      <c r="O188" s="723"/>
    </row>
    <row r="189" spans="2:15" x14ac:dyDescent="0.2">
      <c r="B189" s="2051"/>
      <c r="C189" s="2053" t="s">
        <v>193</v>
      </c>
      <c r="D189" s="2057" t="s">
        <v>149</v>
      </c>
      <c r="E189" s="2044">
        <v>14</v>
      </c>
      <c r="F189" s="2248">
        <v>0</v>
      </c>
      <c r="G189" s="2097">
        <f t="shared" si="5"/>
        <v>0</v>
      </c>
      <c r="H189" s="1101"/>
      <c r="I189" s="964"/>
      <c r="J189" s="723"/>
      <c r="K189" s="723"/>
      <c r="L189" s="723"/>
      <c r="M189" s="723"/>
      <c r="N189" s="723"/>
      <c r="O189" s="723"/>
    </row>
    <row r="190" spans="2:15" x14ac:dyDescent="0.2">
      <c r="B190" s="2051"/>
      <c r="C190" s="2053" t="s">
        <v>194</v>
      </c>
      <c r="D190" s="2057" t="s">
        <v>149</v>
      </c>
      <c r="E190" s="2044">
        <v>14</v>
      </c>
      <c r="F190" s="2248">
        <v>0</v>
      </c>
      <c r="G190" s="2097">
        <f t="shared" si="5"/>
        <v>0</v>
      </c>
      <c r="H190" s="1101"/>
      <c r="I190" s="964"/>
      <c r="J190" s="723"/>
      <c r="K190" s="723"/>
      <c r="L190" s="723"/>
      <c r="M190" s="723"/>
      <c r="N190" s="723"/>
      <c r="O190" s="723"/>
    </row>
    <row r="191" spans="2:15" ht="25.5" x14ac:dyDescent="0.2">
      <c r="B191" s="2051"/>
      <c r="C191" s="2048" t="s">
        <v>239</v>
      </c>
      <c r="D191" s="2057" t="s">
        <v>149</v>
      </c>
      <c r="E191" s="2044">
        <v>28</v>
      </c>
      <c r="F191" s="2248">
        <v>0</v>
      </c>
      <c r="G191" s="2097">
        <f t="shared" si="5"/>
        <v>0</v>
      </c>
      <c r="H191" s="1101"/>
      <c r="I191" s="964"/>
      <c r="J191" s="723"/>
      <c r="K191" s="723"/>
      <c r="L191" s="723"/>
      <c r="M191" s="723"/>
      <c r="N191" s="723"/>
      <c r="O191" s="723"/>
    </row>
    <row r="192" spans="2:15" ht="25.5" x14ac:dyDescent="0.2">
      <c r="B192" s="2051"/>
      <c r="C192" s="2048" t="s">
        <v>1267</v>
      </c>
      <c r="D192" s="2057" t="s">
        <v>149</v>
      </c>
      <c r="E192" s="2044">
        <v>28</v>
      </c>
      <c r="F192" s="2248">
        <v>0</v>
      </c>
      <c r="G192" s="2097">
        <f t="shared" si="5"/>
        <v>0</v>
      </c>
      <c r="H192" s="1101"/>
      <c r="I192" s="964"/>
      <c r="J192" s="723"/>
      <c r="K192" s="723"/>
      <c r="L192" s="723"/>
      <c r="M192" s="723"/>
      <c r="N192" s="723"/>
      <c r="O192" s="723"/>
    </row>
    <row r="193" spans="2:15" x14ac:dyDescent="0.2">
      <c r="B193" s="2051"/>
      <c r="C193" s="2048" t="s">
        <v>1268</v>
      </c>
      <c r="D193" s="2057" t="s">
        <v>149</v>
      </c>
      <c r="E193" s="2044">
        <v>28</v>
      </c>
      <c r="F193" s="2248">
        <v>0</v>
      </c>
      <c r="G193" s="2097">
        <f t="shared" si="5"/>
        <v>0</v>
      </c>
      <c r="H193" s="1101"/>
      <c r="I193" s="964"/>
      <c r="J193" s="723"/>
      <c r="K193" s="723"/>
      <c r="L193" s="723"/>
      <c r="M193" s="723"/>
      <c r="N193" s="723"/>
      <c r="O193" s="723"/>
    </row>
    <row r="194" spans="2:15" ht="25.5" x14ac:dyDescent="0.2">
      <c r="B194" s="2051"/>
      <c r="C194" s="2048" t="s">
        <v>1269</v>
      </c>
      <c r="D194" s="2057" t="s">
        <v>149</v>
      </c>
      <c r="E194" s="2044">
        <v>28</v>
      </c>
      <c r="F194" s="2248">
        <v>0</v>
      </c>
      <c r="G194" s="2097">
        <f t="shared" si="5"/>
        <v>0</v>
      </c>
      <c r="H194" s="1101"/>
      <c r="I194" s="964"/>
      <c r="J194" s="723"/>
      <c r="K194" s="723"/>
      <c r="L194" s="723"/>
      <c r="M194" s="723"/>
      <c r="N194" s="723"/>
      <c r="O194" s="723"/>
    </row>
    <row r="195" spans="2:15" ht="25.5" x14ac:dyDescent="0.2">
      <c r="B195" s="2051"/>
      <c r="C195" s="2048" t="s">
        <v>197</v>
      </c>
      <c r="D195" s="2057" t="s">
        <v>149</v>
      </c>
      <c r="E195" s="2044">
        <v>14</v>
      </c>
      <c r="F195" s="2248">
        <v>0</v>
      </c>
      <c r="G195" s="2097">
        <f t="shared" si="5"/>
        <v>0</v>
      </c>
      <c r="H195" s="1101"/>
      <c r="I195" s="964"/>
      <c r="J195" s="723"/>
      <c r="K195" s="723"/>
      <c r="L195" s="723"/>
      <c r="M195" s="723"/>
      <c r="N195" s="723"/>
      <c r="O195" s="723"/>
    </row>
    <row r="196" spans="2:15" ht="25.5" x14ac:dyDescent="0.2">
      <c r="B196" s="2051"/>
      <c r="C196" s="2050" t="s">
        <v>1196</v>
      </c>
      <c r="D196" s="2057" t="s">
        <v>149</v>
      </c>
      <c r="E196" s="2044">
        <v>14</v>
      </c>
      <c r="F196" s="2248">
        <v>0</v>
      </c>
      <c r="G196" s="2097">
        <f t="shared" si="5"/>
        <v>0</v>
      </c>
      <c r="H196" s="1101"/>
      <c r="I196" s="964"/>
      <c r="J196" s="723"/>
      <c r="K196" s="723"/>
      <c r="L196" s="723"/>
      <c r="M196" s="723"/>
      <c r="N196" s="723"/>
      <c r="O196" s="723"/>
    </row>
    <row r="197" spans="2:15" x14ac:dyDescent="0.2">
      <c r="B197" s="950"/>
      <c r="C197" s="955"/>
      <c r="D197" s="956"/>
      <c r="E197" s="2532"/>
      <c r="F197" s="2453"/>
      <c r="G197" s="2453"/>
      <c r="H197" s="1101"/>
      <c r="I197" s="964"/>
      <c r="J197" s="723"/>
      <c r="K197" s="723"/>
      <c r="L197" s="723"/>
      <c r="M197" s="723"/>
      <c r="N197" s="723"/>
      <c r="O197" s="723"/>
    </row>
    <row r="198" spans="2:15" x14ac:dyDescent="0.2">
      <c r="B198" s="2051" t="s">
        <v>1264</v>
      </c>
      <c r="C198" s="2059" t="s">
        <v>1387</v>
      </c>
      <c r="D198" s="2070"/>
      <c r="E198" s="2577"/>
      <c r="F198" s="2455"/>
      <c r="G198" s="2455"/>
      <c r="H198" s="1101"/>
      <c r="I198" s="964"/>
      <c r="J198" s="723"/>
      <c r="K198" s="723"/>
      <c r="L198" s="723"/>
      <c r="M198" s="723"/>
      <c r="N198" s="723"/>
      <c r="O198" s="723"/>
    </row>
    <row r="199" spans="2:15" ht="43.5" customHeight="1" x14ac:dyDescent="0.2">
      <c r="B199" s="2051"/>
      <c r="C199" s="2053" t="s">
        <v>1388</v>
      </c>
      <c r="D199" s="2057" t="s">
        <v>149</v>
      </c>
      <c r="E199" s="2044">
        <v>19</v>
      </c>
      <c r="F199" s="2248">
        <v>0</v>
      </c>
      <c r="G199" s="2097">
        <f t="shared" ref="G199:G201" si="6">E199*F199</f>
        <v>0</v>
      </c>
      <c r="H199" s="1101"/>
      <c r="I199" s="964"/>
      <c r="J199" s="723"/>
      <c r="K199" s="723"/>
      <c r="L199" s="723"/>
      <c r="M199" s="723"/>
      <c r="N199" s="723"/>
      <c r="O199" s="723"/>
    </row>
    <row r="200" spans="2:15" ht="25.5" x14ac:dyDescent="0.2">
      <c r="B200" s="2051"/>
      <c r="C200" s="2048" t="s">
        <v>203</v>
      </c>
      <c r="D200" s="2057" t="s">
        <v>149</v>
      </c>
      <c r="E200" s="2044">
        <v>19</v>
      </c>
      <c r="F200" s="2248">
        <v>0</v>
      </c>
      <c r="G200" s="2097">
        <f t="shared" si="6"/>
        <v>0</v>
      </c>
      <c r="H200" s="1101"/>
      <c r="I200" s="964"/>
      <c r="J200" s="723"/>
      <c r="K200" s="723"/>
      <c r="L200" s="723"/>
      <c r="M200" s="723"/>
      <c r="N200" s="723"/>
      <c r="O200" s="723"/>
    </row>
    <row r="201" spans="2:15" ht="25.5" x14ac:dyDescent="0.2">
      <c r="B201" s="2051"/>
      <c r="C201" s="2050" t="s">
        <v>1196</v>
      </c>
      <c r="D201" s="2057" t="s">
        <v>149</v>
      </c>
      <c r="E201" s="2044">
        <v>19</v>
      </c>
      <c r="F201" s="2248">
        <v>0</v>
      </c>
      <c r="G201" s="2097">
        <f t="shared" si="6"/>
        <v>0</v>
      </c>
      <c r="H201" s="1101"/>
      <c r="I201" s="964"/>
      <c r="J201" s="723"/>
      <c r="K201" s="723"/>
      <c r="L201" s="723"/>
      <c r="M201" s="723"/>
      <c r="N201" s="723"/>
      <c r="O201" s="723"/>
    </row>
    <row r="202" spans="2:15" x14ac:dyDescent="0.2">
      <c r="B202" s="950"/>
      <c r="C202" s="955"/>
      <c r="D202" s="956"/>
      <c r="E202" s="2532"/>
      <c r="F202" s="2453"/>
      <c r="G202" s="2453"/>
      <c r="H202" s="1101"/>
      <c r="I202" s="964"/>
      <c r="J202" s="723"/>
      <c r="K202" s="723"/>
      <c r="L202" s="723"/>
      <c r="M202" s="723"/>
      <c r="N202" s="723"/>
      <c r="O202" s="723"/>
    </row>
    <row r="203" spans="2:15" x14ac:dyDescent="0.2">
      <c r="B203" s="2051" t="s">
        <v>1270</v>
      </c>
      <c r="C203" s="2059" t="s">
        <v>1389</v>
      </c>
      <c r="D203" s="2070"/>
      <c r="E203" s="2577"/>
      <c r="F203" s="2455"/>
      <c r="G203" s="2455"/>
      <c r="H203" s="1101"/>
      <c r="I203" s="964"/>
      <c r="J203" s="723"/>
      <c r="K203" s="723"/>
      <c r="L203" s="723"/>
      <c r="M203" s="723"/>
      <c r="N203" s="723"/>
      <c r="O203" s="723"/>
    </row>
    <row r="204" spans="2:15" ht="38.25" x14ac:dyDescent="0.2">
      <c r="B204" s="2051"/>
      <c r="C204" s="2053" t="s">
        <v>1388</v>
      </c>
      <c r="D204" s="2057" t="s">
        <v>149</v>
      </c>
      <c r="E204" s="2044">
        <v>1</v>
      </c>
      <c r="F204" s="2248">
        <v>0</v>
      </c>
      <c r="G204" s="2097">
        <f t="shared" ref="G204:G208" si="7">E204*F204</f>
        <v>0</v>
      </c>
      <c r="H204" s="1101"/>
      <c r="I204" s="964"/>
      <c r="J204" s="723"/>
      <c r="K204" s="723"/>
      <c r="L204" s="723"/>
      <c r="M204" s="723"/>
      <c r="N204" s="723"/>
      <c r="O204" s="723"/>
    </row>
    <row r="205" spans="2:15" ht="25.5" x14ac:dyDescent="0.2">
      <c r="B205" s="2051"/>
      <c r="C205" s="2048" t="s">
        <v>1267</v>
      </c>
      <c r="D205" s="2057" t="s">
        <v>149</v>
      </c>
      <c r="E205" s="2044">
        <v>2</v>
      </c>
      <c r="F205" s="2248">
        <v>0</v>
      </c>
      <c r="G205" s="2097">
        <f t="shared" si="7"/>
        <v>0</v>
      </c>
      <c r="H205" s="1101"/>
      <c r="I205" s="964"/>
      <c r="J205" s="723"/>
      <c r="K205" s="723"/>
      <c r="L205" s="723"/>
      <c r="M205" s="723"/>
      <c r="N205" s="723"/>
      <c r="O205" s="723"/>
    </row>
    <row r="206" spans="2:15" x14ac:dyDescent="0.2">
      <c r="B206" s="2051"/>
      <c r="C206" s="2048" t="s">
        <v>1268</v>
      </c>
      <c r="D206" s="2057" t="s">
        <v>149</v>
      </c>
      <c r="E206" s="2044">
        <v>2</v>
      </c>
      <c r="F206" s="2248">
        <v>0</v>
      </c>
      <c r="G206" s="2097">
        <f t="shared" si="7"/>
        <v>0</v>
      </c>
      <c r="H206" s="1101"/>
      <c r="I206" s="964"/>
      <c r="J206" s="723"/>
      <c r="K206" s="723"/>
      <c r="L206" s="723"/>
      <c r="M206" s="723"/>
      <c r="N206" s="723"/>
      <c r="O206" s="723"/>
    </row>
    <row r="207" spans="2:15" ht="25.5" x14ac:dyDescent="0.2">
      <c r="B207" s="2051"/>
      <c r="C207" s="2048" t="s">
        <v>203</v>
      </c>
      <c r="D207" s="2057" t="s">
        <v>149</v>
      </c>
      <c r="E207" s="2044">
        <v>1</v>
      </c>
      <c r="F207" s="2248">
        <v>0</v>
      </c>
      <c r="G207" s="2097">
        <f t="shared" si="7"/>
        <v>0</v>
      </c>
      <c r="H207" s="1101"/>
      <c r="I207" s="964"/>
      <c r="J207" s="723"/>
      <c r="K207" s="723"/>
      <c r="L207" s="723"/>
      <c r="M207" s="723"/>
      <c r="N207" s="723"/>
      <c r="O207" s="723"/>
    </row>
    <row r="208" spans="2:15" ht="25.5" x14ac:dyDescent="0.2">
      <c r="B208" s="2051"/>
      <c r="C208" s="2050" t="s">
        <v>1196</v>
      </c>
      <c r="D208" s="2057" t="s">
        <v>149</v>
      </c>
      <c r="E208" s="2044">
        <v>1</v>
      </c>
      <c r="F208" s="2248">
        <v>0</v>
      </c>
      <c r="G208" s="2097">
        <f t="shared" si="7"/>
        <v>0</v>
      </c>
      <c r="H208" s="1101"/>
      <c r="I208" s="964"/>
      <c r="J208" s="723"/>
      <c r="K208" s="723"/>
      <c r="L208" s="723"/>
      <c r="M208" s="723"/>
      <c r="N208" s="723"/>
      <c r="O208" s="723"/>
    </row>
    <row r="209" spans="2:15" x14ac:dyDescent="0.2">
      <c r="B209" s="950"/>
      <c r="C209" s="955"/>
      <c r="D209" s="956"/>
      <c r="E209" s="2532"/>
      <c r="F209" s="2453"/>
      <c r="G209" s="2453"/>
      <c r="H209" s="1101"/>
      <c r="I209" s="964"/>
      <c r="J209" s="723"/>
      <c r="K209" s="723"/>
      <c r="L209" s="723"/>
      <c r="M209" s="723"/>
      <c r="N209" s="723"/>
      <c r="O209" s="723"/>
    </row>
    <row r="210" spans="2:15" x14ac:dyDescent="0.2">
      <c r="B210" s="2051" t="s">
        <v>1275</v>
      </c>
      <c r="C210" s="2059" t="s">
        <v>1390</v>
      </c>
      <c r="D210" s="2070"/>
      <c r="E210" s="2577"/>
      <c r="F210" s="2455"/>
      <c r="G210" s="2455"/>
      <c r="H210" s="1101"/>
      <c r="I210" s="964"/>
      <c r="J210" s="723"/>
      <c r="K210" s="723"/>
      <c r="L210" s="723"/>
      <c r="M210" s="723"/>
      <c r="N210" s="723"/>
      <c r="O210" s="723"/>
    </row>
    <row r="211" spans="2:15" ht="38.25" x14ac:dyDescent="0.2">
      <c r="B211" s="2051"/>
      <c r="C211" s="2053" t="s">
        <v>1388</v>
      </c>
      <c r="D211" s="2057" t="s">
        <v>149</v>
      </c>
      <c r="E211" s="2044">
        <v>3</v>
      </c>
      <c r="F211" s="2248">
        <v>0</v>
      </c>
      <c r="G211" s="2097">
        <f t="shared" ref="G211:G215" si="8">E211*F211</f>
        <v>0</v>
      </c>
      <c r="H211" s="1101"/>
      <c r="I211" s="964"/>
      <c r="J211" s="723"/>
      <c r="K211" s="723"/>
      <c r="L211" s="723"/>
      <c r="M211" s="723"/>
      <c r="N211" s="723"/>
      <c r="O211" s="723"/>
    </row>
    <row r="212" spans="2:15" ht="25.5" x14ac:dyDescent="0.2">
      <c r="B212" s="2051"/>
      <c r="C212" s="2048" t="s">
        <v>1292</v>
      </c>
      <c r="D212" s="2057" t="s">
        <v>149</v>
      </c>
      <c r="E212" s="2044">
        <v>6</v>
      </c>
      <c r="F212" s="2248">
        <v>0</v>
      </c>
      <c r="G212" s="2097">
        <f t="shared" si="8"/>
        <v>0</v>
      </c>
      <c r="H212" s="1101"/>
      <c r="I212" s="964"/>
      <c r="J212" s="723"/>
      <c r="K212" s="723"/>
      <c r="L212" s="723"/>
      <c r="M212" s="723"/>
      <c r="N212" s="723"/>
      <c r="O212" s="723"/>
    </row>
    <row r="213" spans="2:15" ht="25.5" x14ac:dyDescent="0.2">
      <c r="B213" s="2051"/>
      <c r="C213" s="2048" t="s">
        <v>1391</v>
      </c>
      <c r="D213" s="2057" t="s">
        <v>149</v>
      </c>
      <c r="E213" s="2044">
        <v>6</v>
      </c>
      <c r="F213" s="2248">
        <v>0</v>
      </c>
      <c r="G213" s="2097">
        <f t="shared" si="8"/>
        <v>0</v>
      </c>
      <c r="H213" s="1101"/>
      <c r="I213" s="964"/>
      <c r="J213" s="723"/>
      <c r="K213" s="723"/>
      <c r="L213" s="723"/>
      <c r="M213" s="723"/>
      <c r="N213" s="723"/>
      <c r="O213" s="723"/>
    </row>
    <row r="214" spans="2:15" ht="25.5" x14ac:dyDescent="0.2">
      <c r="B214" s="2051"/>
      <c r="C214" s="2048" t="s">
        <v>203</v>
      </c>
      <c r="D214" s="2057" t="s">
        <v>149</v>
      </c>
      <c r="E214" s="2044">
        <v>3</v>
      </c>
      <c r="F214" s="2248">
        <v>0</v>
      </c>
      <c r="G214" s="2097">
        <f t="shared" si="8"/>
        <v>0</v>
      </c>
      <c r="H214" s="1101"/>
      <c r="I214" s="964"/>
      <c r="J214" s="723"/>
      <c r="K214" s="723"/>
      <c r="L214" s="723"/>
      <c r="M214" s="723"/>
      <c r="N214" s="723"/>
      <c r="O214" s="723"/>
    </row>
    <row r="215" spans="2:15" ht="25.5" x14ac:dyDescent="0.2">
      <c r="B215" s="2051"/>
      <c r="C215" s="2050" t="s">
        <v>1196</v>
      </c>
      <c r="D215" s="2057" t="s">
        <v>149</v>
      </c>
      <c r="E215" s="2044">
        <v>3</v>
      </c>
      <c r="F215" s="2248">
        <v>0</v>
      </c>
      <c r="G215" s="2097">
        <f t="shared" si="8"/>
        <v>0</v>
      </c>
      <c r="H215" s="1101"/>
      <c r="I215" s="964"/>
      <c r="J215" s="723"/>
      <c r="K215" s="723"/>
      <c r="L215" s="723"/>
      <c r="M215" s="723"/>
      <c r="N215" s="723"/>
      <c r="O215" s="723"/>
    </row>
    <row r="216" spans="2:15" x14ac:dyDescent="0.2">
      <c r="B216" s="950"/>
      <c r="C216" s="955"/>
      <c r="D216" s="956"/>
      <c r="E216" s="2532"/>
      <c r="F216" s="2453"/>
      <c r="G216" s="2453"/>
      <c r="H216" s="1101"/>
      <c r="I216" s="964"/>
      <c r="J216" s="723"/>
      <c r="K216" s="723"/>
      <c r="L216" s="723"/>
      <c r="M216" s="723"/>
      <c r="N216" s="723"/>
      <c r="O216" s="723"/>
    </row>
    <row r="217" spans="2:15" x14ac:dyDescent="0.2">
      <c r="B217" s="2051" t="s">
        <v>1303</v>
      </c>
      <c r="C217" s="2059" t="s">
        <v>1392</v>
      </c>
      <c r="D217" s="2070"/>
      <c r="E217" s="2577"/>
      <c r="F217" s="2455"/>
      <c r="G217" s="2455"/>
      <c r="H217" s="1101"/>
      <c r="I217" s="964"/>
      <c r="J217" s="723"/>
      <c r="K217" s="723"/>
      <c r="L217" s="723"/>
      <c r="M217" s="723"/>
      <c r="N217" s="723"/>
      <c r="O217" s="723"/>
    </row>
    <row r="218" spans="2:15" x14ac:dyDescent="0.2">
      <c r="B218" s="2051"/>
      <c r="C218" s="2056" t="s">
        <v>191</v>
      </c>
      <c r="D218" s="2057" t="s">
        <v>149</v>
      </c>
      <c r="E218" s="2044">
        <v>3</v>
      </c>
      <c r="F218" s="2248">
        <v>0</v>
      </c>
      <c r="G218" s="2097">
        <f t="shared" ref="G218:G225" si="9">E218*F218</f>
        <v>0</v>
      </c>
      <c r="H218" s="1101"/>
      <c r="I218" s="964"/>
      <c r="J218" s="723"/>
      <c r="K218" s="723"/>
      <c r="L218" s="723"/>
      <c r="M218" s="723"/>
      <c r="N218" s="723"/>
      <c r="O218" s="723"/>
    </row>
    <row r="219" spans="2:15" ht="63.75" x14ac:dyDescent="0.2">
      <c r="B219" s="2051"/>
      <c r="C219" s="2053" t="s">
        <v>192</v>
      </c>
      <c r="D219" s="2057" t="s">
        <v>149</v>
      </c>
      <c r="E219" s="2044">
        <v>3</v>
      </c>
      <c r="F219" s="2248">
        <v>0</v>
      </c>
      <c r="G219" s="2097">
        <f t="shared" si="9"/>
        <v>0</v>
      </c>
      <c r="H219" s="1101"/>
      <c r="I219" s="964"/>
      <c r="J219" s="723"/>
      <c r="K219" s="723"/>
      <c r="L219" s="723"/>
      <c r="M219" s="723"/>
      <c r="N219" s="723"/>
      <c r="O219" s="723"/>
    </row>
    <row r="220" spans="2:15" x14ac:dyDescent="0.2">
      <c r="B220" s="2051"/>
      <c r="C220" s="2053" t="s">
        <v>193</v>
      </c>
      <c r="D220" s="2057" t="s">
        <v>149</v>
      </c>
      <c r="E220" s="2044">
        <v>3</v>
      </c>
      <c r="F220" s="2248">
        <v>0</v>
      </c>
      <c r="G220" s="2097">
        <f t="shared" si="9"/>
        <v>0</v>
      </c>
      <c r="H220" s="1101"/>
      <c r="I220" s="964"/>
      <c r="J220" s="723"/>
      <c r="K220" s="723"/>
      <c r="L220" s="723"/>
      <c r="M220" s="723"/>
      <c r="N220" s="723"/>
      <c r="O220" s="723"/>
    </row>
    <row r="221" spans="2:15" x14ac:dyDescent="0.2">
      <c r="B221" s="2051"/>
      <c r="C221" s="2053" t="s">
        <v>194</v>
      </c>
      <c r="D221" s="2057" t="s">
        <v>149</v>
      </c>
      <c r="E221" s="2044">
        <v>3</v>
      </c>
      <c r="F221" s="2248">
        <v>0</v>
      </c>
      <c r="G221" s="2097">
        <f t="shared" si="9"/>
        <v>0</v>
      </c>
      <c r="H221" s="1101"/>
      <c r="I221" s="964"/>
      <c r="J221" s="723"/>
      <c r="K221" s="723"/>
      <c r="L221" s="723"/>
      <c r="M221" s="723"/>
      <c r="N221" s="723"/>
      <c r="O221" s="723"/>
    </row>
    <row r="222" spans="2:15" ht="25.5" x14ac:dyDescent="0.2">
      <c r="B222" s="2051"/>
      <c r="C222" s="2053" t="s">
        <v>195</v>
      </c>
      <c r="D222" s="2057" t="s">
        <v>149</v>
      </c>
      <c r="E222" s="2044">
        <v>6</v>
      </c>
      <c r="F222" s="2248">
        <v>0</v>
      </c>
      <c r="G222" s="2097">
        <f t="shared" si="9"/>
        <v>0</v>
      </c>
      <c r="H222" s="1101"/>
      <c r="I222" s="964"/>
      <c r="J222" s="723"/>
      <c r="K222" s="723"/>
      <c r="L222" s="723"/>
      <c r="M222" s="723"/>
      <c r="N222" s="723"/>
      <c r="O222" s="723"/>
    </row>
    <row r="223" spans="2:15" ht="25.5" x14ac:dyDescent="0.2">
      <c r="B223" s="2051"/>
      <c r="C223" s="2053" t="s">
        <v>1328</v>
      </c>
      <c r="D223" s="2057" t="s">
        <v>149</v>
      </c>
      <c r="E223" s="2044">
        <v>6</v>
      </c>
      <c r="F223" s="2248">
        <v>0</v>
      </c>
      <c r="G223" s="2097">
        <f t="shared" si="9"/>
        <v>0</v>
      </c>
      <c r="H223" s="1101"/>
      <c r="I223" s="964"/>
      <c r="J223" s="723"/>
      <c r="K223" s="723"/>
      <c r="L223" s="723"/>
      <c r="M223" s="723"/>
      <c r="N223" s="723"/>
      <c r="O223" s="723"/>
    </row>
    <row r="224" spans="2:15" ht="25.5" x14ac:dyDescent="0.2">
      <c r="B224" s="2051"/>
      <c r="C224" s="2053" t="s">
        <v>197</v>
      </c>
      <c r="D224" s="2057" t="s">
        <v>149</v>
      </c>
      <c r="E224" s="2044">
        <v>3</v>
      </c>
      <c r="F224" s="2248">
        <v>0</v>
      </c>
      <c r="G224" s="2097">
        <f t="shared" si="9"/>
        <v>0</v>
      </c>
      <c r="H224" s="1101"/>
      <c r="I224" s="964"/>
      <c r="J224" s="723"/>
      <c r="K224" s="723"/>
      <c r="L224" s="723"/>
      <c r="M224" s="723"/>
      <c r="N224" s="723"/>
      <c r="O224" s="723"/>
    </row>
    <row r="225" spans="2:15" ht="25.5" x14ac:dyDescent="0.2">
      <c r="B225" s="2051"/>
      <c r="C225" s="2053" t="s">
        <v>1196</v>
      </c>
      <c r="D225" s="2057" t="s">
        <v>149</v>
      </c>
      <c r="E225" s="2044">
        <v>3</v>
      </c>
      <c r="F225" s="2248">
        <v>0</v>
      </c>
      <c r="G225" s="2097">
        <f t="shared" si="9"/>
        <v>0</v>
      </c>
      <c r="H225" s="1101"/>
      <c r="I225" s="964"/>
      <c r="J225" s="723"/>
      <c r="K225" s="723"/>
      <c r="L225" s="723"/>
      <c r="M225" s="723"/>
      <c r="N225" s="723"/>
      <c r="O225" s="723"/>
    </row>
    <row r="226" spans="2:15" x14ac:dyDescent="0.2">
      <c r="B226" s="950"/>
      <c r="C226" s="955"/>
      <c r="D226" s="956"/>
      <c r="E226" s="2532"/>
      <c r="F226" s="2453"/>
      <c r="G226" s="2453"/>
      <c r="H226" s="1101"/>
      <c r="I226" s="964"/>
      <c r="J226" s="723"/>
      <c r="K226" s="723"/>
      <c r="L226" s="723"/>
      <c r="M226" s="723"/>
      <c r="N226" s="723"/>
      <c r="O226" s="723"/>
    </row>
    <row r="227" spans="2:15" ht="25.5" x14ac:dyDescent="0.2">
      <c r="B227" s="2051" t="s">
        <v>1305</v>
      </c>
      <c r="C227" s="2059" t="s">
        <v>1393</v>
      </c>
      <c r="D227" s="2057"/>
      <c r="E227" s="2044"/>
      <c r="F227" s="2455"/>
      <c r="G227" s="2455"/>
      <c r="H227" s="1101"/>
      <c r="I227" s="964"/>
      <c r="J227" s="723"/>
      <c r="K227" s="723"/>
      <c r="L227" s="723"/>
      <c r="M227" s="723"/>
      <c r="N227" s="723"/>
      <c r="O227" s="723"/>
    </row>
    <row r="228" spans="2:15" ht="25.5" x14ac:dyDescent="0.2">
      <c r="B228" s="2051"/>
      <c r="C228" s="2056" t="s">
        <v>238</v>
      </c>
      <c r="D228" s="2057" t="s">
        <v>149</v>
      </c>
      <c r="E228" s="2044">
        <v>6</v>
      </c>
      <c r="F228" s="2248">
        <v>0</v>
      </c>
      <c r="G228" s="2097">
        <f t="shared" ref="G228:G236" si="10">E228*F228</f>
        <v>0</v>
      </c>
      <c r="H228" s="1101"/>
      <c r="I228" s="964"/>
      <c r="J228" s="723"/>
      <c r="K228" s="723"/>
      <c r="L228" s="723"/>
      <c r="M228" s="723"/>
      <c r="N228" s="723"/>
      <c r="O228" s="723"/>
    </row>
    <row r="229" spans="2:15" ht="25.5" x14ac:dyDescent="0.2">
      <c r="B229" s="2051"/>
      <c r="C229" s="2048" t="s">
        <v>235</v>
      </c>
      <c r="D229" s="2057" t="s">
        <v>149</v>
      </c>
      <c r="E229" s="2044">
        <v>12</v>
      </c>
      <c r="F229" s="2248">
        <v>0</v>
      </c>
      <c r="G229" s="2097">
        <f t="shared" si="10"/>
        <v>0</v>
      </c>
      <c r="H229" s="1101"/>
      <c r="I229" s="964"/>
      <c r="J229" s="723"/>
      <c r="K229" s="723"/>
      <c r="L229" s="723"/>
      <c r="M229" s="723"/>
      <c r="N229" s="723"/>
      <c r="O229" s="723"/>
    </row>
    <row r="230" spans="2:15" ht="25.5" x14ac:dyDescent="0.2">
      <c r="B230" s="2051"/>
      <c r="C230" s="2048" t="s">
        <v>239</v>
      </c>
      <c r="D230" s="2057" t="s">
        <v>149</v>
      </c>
      <c r="E230" s="2044">
        <v>6</v>
      </c>
      <c r="F230" s="2248">
        <v>0</v>
      </c>
      <c r="G230" s="2097">
        <f t="shared" si="10"/>
        <v>0</v>
      </c>
      <c r="H230" s="1101"/>
      <c r="I230" s="964"/>
      <c r="J230" s="723"/>
      <c r="K230" s="723"/>
      <c r="L230" s="723"/>
      <c r="M230" s="723"/>
      <c r="N230" s="723"/>
      <c r="O230" s="723"/>
    </row>
    <row r="231" spans="2:15" ht="25.5" x14ac:dyDescent="0.2">
      <c r="B231" s="2051"/>
      <c r="C231" s="2048" t="s">
        <v>1294</v>
      </c>
      <c r="D231" s="2057" t="s">
        <v>149</v>
      </c>
      <c r="E231" s="2044">
        <v>12</v>
      </c>
      <c r="F231" s="2248">
        <v>0</v>
      </c>
      <c r="G231" s="2097">
        <f t="shared" si="10"/>
        <v>0</v>
      </c>
      <c r="H231" s="1101"/>
      <c r="I231" s="964"/>
      <c r="J231" s="723"/>
      <c r="K231" s="723"/>
      <c r="L231" s="723"/>
      <c r="M231" s="723"/>
      <c r="N231" s="723"/>
      <c r="O231" s="723"/>
    </row>
    <row r="232" spans="2:15" ht="25.5" x14ac:dyDescent="0.2">
      <c r="B232" s="2051"/>
      <c r="C232" s="2048" t="s">
        <v>1267</v>
      </c>
      <c r="D232" s="2057" t="s">
        <v>149</v>
      </c>
      <c r="E232" s="2044">
        <v>6</v>
      </c>
      <c r="F232" s="2248">
        <v>0</v>
      </c>
      <c r="G232" s="2097">
        <f t="shared" si="10"/>
        <v>0</v>
      </c>
      <c r="H232" s="1101"/>
      <c r="I232" s="964"/>
      <c r="J232" s="723"/>
      <c r="K232" s="723"/>
      <c r="L232" s="723"/>
      <c r="M232" s="723"/>
      <c r="N232" s="723"/>
      <c r="O232" s="723"/>
    </row>
    <row r="233" spans="2:15" x14ac:dyDescent="0.2">
      <c r="B233" s="2051"/>
      <c r="C233" s="2048" t="s">
        <v>1268</v>
      </c>
      <c r="D233" s="2057" t="s">
        <v>149</v>
      </c>
      <c r="E233" s="2044">
        <v>6</v>
      </c>
      <c r="F233" s="2248">
        <v>0</v>
      </c>
      <c r="G233" s="2097">
        <f t="shared" si="10"/>
        <v>0</v>
      </c>
      <c r="H233" s="1101"/>
      <c r="I233" s="964"/>
      <c r="J233" s="723"/>
      <c r="K233" s="723"/>
      <c r="L233" s="723"/>
      <c r="M233" s="723"/>
      <c r="N233" s="723"/>
      <c r="O233" s="723"/>
    </row>
    <row r="234" spans="2:15" ht="25.5" x14ac:dyDescent="0.2">
      <c r="B234" s="2051"/>
      <c r="C234" s="2048" t="s">
        <v>1269</v>
      </c>
      <c r="D234" s="2057" t="s">
        <v>149</v>
      </c>
      <c r="E234" s="2044">
        <v>6</v>
      </c>
      <c r="F234" s="2248">
        <v>0</v>
      </c>
      <c r="G234" s="2097">
        <f t="shared" si="10"/>
        <v>0</v>
      </c>
      <c r="H234" s="1101"/>
      <c r="I234" s="964"/>
      <c r="J234" s="723"/>
      <c r="K234" s="723"/>
      <c r="L234" s="723"/>
      <c r="M234" s="723"/>
      <c r="N234" s="723"/>
      <c r="O234" s="723"/>
    </row>
    <row r="235" spans="2:15" ht="25.5" x14ac:dyDescent="0.2">
      <c r="B235" s="2051"/>
      <c r="C235" s="2048" t="s">
        <v>227</v>
      </c>
      <c r="D235" s="2057" t="s">
        <v>149</v>
      </c>
      <c r="E235" s="2044">
        <v>6</v>
      </c>
      <c r="F235" s="2248">
        <v>0</v>
      </c>
      <c r="G235" s="2097">
        <f t="shared" si="10"/>
        <v>0</v>
      </c>
      <c r="H235" s="1101"/>
      <c r="I235" s="964"/>
      <c r="J235" s="723"/>
      <c r="K235" s="723"/>
      <c r="L235" s="723"/>
      <c r="M235" s="723"/>
      <c r="N235" s="723"/>
      <c r="O235" s="723"/>
    </row>
    <row r="236" spans="2:15" ht="25.5" x14ac:dyDescent="0.2">
      <c r="B236" s="2051"/>
      <c r="C236" s="2050" t="s">
        <v>1196</v>
      </c>
      <c r="D236" s="2057" t="s">
        <v>149</v>
      </c>
      <c r="E236" s="2044">
        <v>6</v>
      </c>
      <c r="F236" s="2248">
        <v>0</v>
      </c>
      <c r="G236" s="2097">
        <f t="shared" si="10"/>
        <v>0</v>
      </c>
      <c r="H236" s="1101"/>
      <c r="I236" s="964"/>
      <c r="J236" s="723"/>
      <c r="K236" s="723"/>
      <c r="L236" s="723"/>
      <c r="M236" s="723"/>
      <c r="N236" s="723"/>
      <c r="O236" s="723"/>
    </row>
    <row r="237" spans="2:15" x14ac:dyDescent="0.2">
      <c r="B237" s="950"/>
      <c r="C237" s="955"/>
      <c r="D237" s="956"/>
      <c r="E237" s="2532"/>
      <c r="F237" s="2453"/>
      <c r="G237" s="2453"/>
      <c r="H237" s="1101"/>
      <c r="I237" s="964"/>
      <c r="J237" s="723"/>
      <c r="K237" s="723"/>
      <c r="L237" s="723"/>
      <c r="M237" s="723"/>
      <c r="N237" s="723"/>
      <c r="O237" s="723"/>
    </row>
    <row r="238" spans="2:15" ht="25.5" x14ac:dyDescent="0.2">
      <c r="B238" s="2051" t="s">
        <v>1308</v>
      </c>
      <c r="C238" s="2059" t="s">
        <v>1394</v>
      </c>
      <c r="D238" s="2070"/>
      <c r="E238" s="2577"/>
      <c r="F238" s="2455"/>
      <c r="G238" s="2455"/>
      <c r="H238" s="1101"/>
      <c r="I238" s="964"/>
      <c r="J238" s="723"/>
      <c r="K238" s="723"/>
      <c r="L238" s="723"/>
      <c r="M238" s="723"/>
      <c r="N238" s="723"/>
      <c r="O238" s="723"/>
    </row>
    <row r="239" spans="2:15" ht="25.5" x14ac:dyDescent="0.2">
      <c r="B239" s="2051"/>
      <c r="C239" s="2056" t="s">
        <v>233</v>
      </c>
      <c r="D239" s="2057" t="s">
        <v>149</v>
      </c>
      <c r="E239" s="2044">
        <v>4</v>
      </c>
      <c r="F239" s="2248">
        <v>0</v>
      </c>
      <c r="G239" s="2097">
        <f t="shared" ref="G239:G243" si="11">E239*F239</f>
        <v>0</v>
      </c>
      <c r="H239" s="1101"/>
      <c r="I239" s="964"/>
      <c r="J239" s="723"/>
      <c r="K239" s="723"/>
      <c r="L239" s="723"/>
      <c r="M239" s="723"/>
      <c r="N239" s="723"/>
      <c r="O239" s="723"/>
    </row>
    <row r="240" spans="2:15" ht="25.5" x14ac:dyDescent="0.2">
      <c r="B240" s="2051"/>
      <c r="C240" s="2048" t="s">
        <v>235</v>
      </c>
      <c r="D240" s="2057" t="s">
        <v>149</v>
      </c>
      <c r="E240" s="2044">
        <v>12</v>
      </c>
      <c r="F240" s="2248">
        <v>0</v>
      </c>
      <c r="G240" s="2097">
        <f t="shared" si="11"/>
        <v>0</v>
      </c>
      <c r="H240" s="1101"/>
      <c r="I240" s="964"/>
      <c r="J240" s="723"/>
      <c r="K240" s="723"/>
      <c r="L240" s="723"/>
      <c r="M240" s="723"/>
      <c r="N240" s="723"/>
      <c r="O240" s="723"/>
    </row>
    <row r="241" spans="2:15" ht="25.5" x14ac:dyDescent="0.2">
      <c r="B241" s="2051"/>
      <c r="C241" s="2048" t="s">
        <v>1294</v>
      </c>
      <c r="D241" s="2057" t="s">
        <v>149</v>
      </c>
      <c r="E241" s="2044">
        <v>12</v>
      </c>
      <c r="F241" s="2248">
        <v>0</v>
      </c>
      <c r="G241" s="2097">
        <f t="shared" si="11"/>
        <v>0</v>
      </c>
      <c r="H241" s="1101"/>
      <c r="I241" s="964"/>
      <c r="J241" s="723"/>
      <c r="K241" s="723"/>
      <c r="L241" s="723"/>
      <c r="M241" s="723"/>
      <c r="N241" s="723"/>
      <c r="O241" s="723"/>
    </row>
    <row r="242" spans="2:15" ht="25.5" x14ac:dyDescent="0.2">
      <c r="B242" s="2051"/>
      <c r="C242" s="2048" t="s">
        <v>227</v>
      </c>
      <c r="D242" s="2057" t="s">
        <v>149</v>
      </c>
      <c r="E242" s="2044">
        <v>4</v>
      </c>
      <c r="F242" s="2248">
        <v>0</v>
      </c>
      <c r="G242" s="2097">
        <f t="shared" si="11"/>
        <v>0</v>
      </c>
      <c r="H242" s="1101"/>
      <c r="I242" s="964"/>
      <c r="J242" s="723"/>
      <c r="K242" s="723"/>
      <c r="L242" s="723"/>
      <c r="M242" s="723"/>
      <c r="N242" s="723"/>
      <c r="O242" s="723"/>
    </row>
    <row r="243" spans="2:15" ht="25.5" x14ac:dyDescent="0.2">
      <c r="B243" s="2051"/>
      <c r="C243" s="2050" t="s">
        <v>1196</v>
      </c>
      <c r="D243" s="2057" t="s">
        <v>149</v>
      </c>
      <c r="E243" s="2044">
        <v>4</v>
      </c>
      <c r="F243" s="2248">
        <v>0</v>
      </c>
      <c r="G243" s="2097">
        <f t="shared" si="11"/>
        <v>0</v>
      </c>
      <c r="H243" s="1101"/>
      <c r="I243" s="964"/>
      <c r="J243" s="723"/>
      <c r="K243" s="723"/>
      <c r="L243" s="723"/>
      <c r="M243" s="723"/>
      <c r="N243" s="723"/>
      <c r="O243" s="723"/>
    </row>
    <row r="244" spans="2:15" x14ac:dyDescent="0.2">
      <c r="B244" s="950"/>
      <c r="C244" s="955"/>
      <c r="D244" s="956"/>
      <c r="E244" s="2532"/>
      <c r="F244" s="2453"/>
      <c r="G244" s="2453"/>
      <c r="H244" s="1101"/>
      <c r="I244" s="964"/>
      <c r="J244" s="723"/>
      <c r="K244" s="723"/>
      <c r="L244" s="723"/>
      <c r="M244" s="723"/>
      <c r="N244" s="723"/>
      <c r="O244" s="723"/>
    </row>
    <row r="245" spans="2:15" ht="25.5" x14ac:dyDescent="0.2">
      <c r="B245" s="2051" t="s">
        <v>1395</v>
      </c>
      <c r="C245" s="2059" t="s">
        <v>1396</v>
      </c>
      <c r="D245" s="2070"/>
      <c r="E245" s="2577"/>
      <c r="F245" s="2455"/>
      <c r="G245" s="2455"/>
      <c r="H245" s="1101"/>
      <c r="I245" s="964"/>
      <c r="J245" s="723"/>
      <c r="K245" s="723"/>
      <c r="L245" s="723"/>
      <c r="M245" s="723"/>
      <c r="N245" s="723"/>
      <c r="O245" s="723"/>
    </row>
    <row r="246" spans="2:15" ht="54.75" customHeight="1" x14ac:dyDescent="0.2">
      <c r="B246" s="2051"/>
      <c r="C246" s="2056" t="s">
        <v>1397</v>
      </c>
      <c r="D246" s="2057" t="s">
        <v>149</v>
      </c>
      <c r="E246" s="2044">
        <v>2</v>
      </c>
      <c r="F246" s="2248">
        <v>0</v>
      </c>
      <c r="G246" s="2097">
        <f t="shared" ref="G246:G248" si="12">E246*F246</f>
        <v>0</v>
      </c>
      <c r="H246" s="1101"/>
      <c r="I246" s="964"/>
      <c r="J246" s="723"/>
      <c r="K246" s="723"/>
      <c r="L246" s="723"/>
      <c r="M246" s="723"/>
      <c r="N246" s="723"/>
      <c r="O246" s="723"/>
    </row>
    <row r="247" spans="2:15" ht="25.5" x14ac:dyDescent="0.2">
      <c r="B247" s="2051"/>
      <c r="C247" s="2048" t="s">
        <v>247</v>
      </c>
      <c r="D247" s="2057" t="s">
        <v>149</v>
      </c>
      <c r="E247" s="2044">
        <v>2</v>
      </c>
      <c r="F247" s="2248">
        <v>0</v>
      </c>
      <c r="G247" s="2097">
        <f t="shared" si="12"/>
        <v>0</v>
      </c>
      <c r="H247" s="1101"/>
      <c r="I247" s="964"/>
      <c r="J247" s="723"/>
      <c r="K247" s="723"/>
      <c r="L247" s="723"/>
      <c r="M247" s="723"/>
      <c r="N247" s="723"/>
      <c r="O247" s="723"/>
    </row>
    <row r="248" spans="2:15" ht="25.5" x14ac:dyDescent="0.2">
      <c r="B248" s="2051"/>
      <c r="C248" s="2050" t="s">
        <v>248</v>
      </c>
      <c r="D248" s="2057" t="s">
        <v>149</v>
      </c>
      <c r="E248" s="2044">
        <v>2</v>
      </c>
      <c r="F248" s="2248">
        <v>0</v>
      </c>
      <c r="G248" s="2097">
        <f t="shared" si="12"/>
        <v>0</v>
      </c>
      <c r="H248" s="1101"/>
      <c r="I248" s="964"/>
      <c r="J248" s="723"/>
      <c r="K248" s="723"/>
      <c r="L248" s="723"/>
      <c r="M248" s="723"/>
      <c r="N248" s="723"/>
      <c r="O248" s="723"/>
    </row>
    <row r="249" spans="2:15" x14ac:dyDescent="0.2">
      <c r="B249" s="950"/>
      <c r="C249" s="955"/>
      <c r="D249" s="956"/>
      <c r="E249" s="2532"/>
      <c r="F249" s="2453"/>
      <c r="G249" s="2453"/>
      <c r="H249" s="1101"/>
      <c r="I249" s="964"/>
      <c r="J249" s="723"/>
      <c r="K249" s="723"/>
      <c r="L249" s="723"/>
      <c r="M249" s="723"/>
      <c r="N249" s="723"/>
      <c r="O249" s="723"/>
    </row>
    <row r="250" spans="2:15" ht="25.5" x14ac:dyDescent="0.2">
      <c r="B250" s="2051" t="s">
        <v>1398</v>
      </c>
      <c r="C250" s="2059" t="s">
        <v>1399</v>
      </c>
      <c r="D250" s="2070"/>
      <c r="E250" s="2577"/>
      <c r="F250" s="2455"/>
      <c r="G250" s="2455"/>
      <c r="H250" s="1101"/>
      <c r="I250" s="964"/>
      <c r="J250" s="723"/>
      <c r="K250" s="723"/>
      <c r="L250" s="723"/>
      <c r="M250" s="723"/>
      <c r="N250" s="723"/>
      <c r="O250" s="723"/>
    </row>
    <row r="251" spans="2:15" ht="25.5" x14ac:dyDescent="0.2">
      <c r="B251" s="2051"/>
      <c r="C251" s="2056" t="s">
        <v>238</v>
      </c>
      <c r="D251" s="2057" t="s">
        <v>149</v>
      </c>
      <c r="E251" s="2044">
        <v>1</v>
      </c>
      <c r="F251" s="2248">
        <v>0</v>
      </c>
      <c r="G251" s="2097">
        <f t="shared" ref="G251:G257" si="13">E251*F251</f>
        <v>0</v>
      </c>
      <c r="H251" s="1101"/>
      <c r="I251" s="964"/>
      <c r="J251" s="723"/>
      <c r="K251" s="723"/>
      <c r="L251" s="723"/>
      <c r="M251" s="723"/>
      <c r="N251" s="723"/>
      <c r="O251" s="723"/>
    </row>
    <row r="252" spans="2:15" ht="25.5" x14ac:dyDescent="0.2">
      <c r="B252" s="2051"/>
      <c r="C252" s="2048" t="s">
        <v>195</v>
      </c>
      <c r="D252" s="2057" t="s">
        <v>149</v>
      </c>
      <c r="E252" s="2044">
        <v>2</v>
      </c>
      <c r="F252" s="2248">
        <v>0</v>
      </c>
      <c r="G252" s="2097">
        <f t="shared" si="13"/>
        <v>0</v>
      </c>
      <c r="H252" s="1101"/>
      <c r="I252" s="964"/>
      <c r="J252" s="723"/>
      <c r="K252" s="723"/>
      <c r="L252" s="723"/>
      <c r="M252" s="723"/>
      <c r="N252" s="723"/>
      <c r="O252" s="723"/>
    </row>
    <row r="253" spans="2:15" ht="25.5" x14ac:dyDescent="0.2">
      <c r="B253" s="2051"/>
      <c r="C253" s="2048" t="s">
        <v>239</v>
      </c>
      <c r="D253" s="2057" t="s">
        <v>149</v>
      </c>
      <c r="E253" s="2044">
        <v>1</v>
      </c>
      <c r="F253" s="2248">
        <v>0</v>
      </c>
      <c r="G253" s="2097">
        <f t="shared" si="13"/>
        <v>0</v>
      </c>
      <c r="H253" s="1101"/>
      <c r="I253" s="964"/>
      <c r="J253" s="723"/>
      <c r="K253" s="723"/>
      <c r="L253" s="723"/>
      <c r="M253" s="723"/>
      <c r="N253" s="723"/>
      <c r="O253" s="723"/>
    </row>
    <row r="254" spans="2:15" ht="25.5" x14ac:dyDescent="0.2">
      <c r="B254" s="2051"/>
      <c r="C254" s="2048" t="s">
        <v>1292</v>
      </c>
      <c r="D254" s="2057" t="s">
        <v>149</v>
      </c>
      <c r="E254" s="2044">
        <v>2</v>
      </c>
      <c r="F254" s="2248">
        <v>0</v>
      </c>
      <c r="G254" s="2097">
        <f t="shared" si="13"/>
        <v>0</v>
      </c>
      <c r="H254" s="1101"/>
      <c r="I254" s="964"/>
      <c r="J254" s="723"/>
      <c r="K254" s="723"/>
      <c r="L254" s="723"/>
      <c r="M254" s="723"/>
      <c r="N254" s="723"/>
      <c r="O254" s="723"/>
    </row>
    <row r="255" spans="2:15" ht="25.5" x14ac:dyDescent="0.2">
      <c r="B255" s="2051"/>
      <c r="C255" s="2048" t="s">
        <v>1267</v>
      </c>
      <c r="D255" s="2057" t="s">
        <v>149</v>
      </c>
      <c r="E255" s="2044">
        <v>1</v>
      </c>
      <c r="F255" s="2248">
        <v>0</v>
      </c>
      <c r="G255" s="2097">
        <f t="shared" si="13"/>
        <v>0</v>
      </c>
      <c r="H255" s="1101"/>
      <c r="I255" s="964"/>
      <c r="J255" s="723"/>
      <c r="K255" s="723"/>
      <c r="L255" s="723"/>
      <c r="M255" s="723"/>
      <c r="N255" s="723"/>
      <c r="O255" s="723"/>
    </row>
    <row r="256" spans="2:15" ht="25.5" x14ac:dyDescent="0.2">
      <c r="B256" s="2051"/>
      <c r="C256" s="2048" t="s">
        <v>227</v>
      </c>
      <c r="D256" s="2057" t="s">
        <v>149</v>
      </c>
      <c r="E256" s="2044">
        <v>1</v>
      </c>
      <c r="F256" s="2248">
        <v>0</v>
      </c>
      <c r="G256" s="2097">
        <f t="shared" si="13"/>
        <v>0</v>
      </c>
      <c r="H256" s="1101"/>
      <c r="I256" s="964"/>
      <c r="J256" s="723"/>
      <c r="K256" s="723"/>
      <c r="L256" s="723"/>
      <c r="M256" s="723"/>
      <c r="N256" s="723"/>
      <c r="O256" s="723"/>
    </row>
    <row r="257" spans="2:15" ht="25.5" x14ac:dyDescent="0.2">
      <c r="B257" s="2051"/>
      <c r="C257" s="2050" t="s">
        <v>1196</v>
      </c>
      <c r="D257" s="2057" t="s">
        <v>149</v>
      </c>
      <c r="E257" s="2044">
        <v>1</v>
      </c>
      <c r="F257" s="2248">
        <v>0</v>
      </c>
      <c r="G257" s="2097">
        <f t="shared" si="13"/>
        <v>0</v>
      </c>
      <c r="H257" s="1101"/>
      <c r="I257" s="964"/>
      <c r="J257" s="723"/>
      <c r="K257" s="723"/>
      <c r="L257" s="723"/>
      <c r="M257" s="723"/>
      <c r="N257" s="723"/>
      <c r="O257" s="723"/>
    </row>
    <row r="258" spans="2:15" x14ac:dyDescent="0.2">
      <c r="B258" s="950"/>
      <c r="C258" s="955"/>
      <c r="D258" s="956"/>
      <c r="E258" s="2532"/>
      <c r="F258" s="2453"/>
      <c r="G258" s="2453"/>
      <c r="H258" s="1101"/>
      <c r="I258" s="964"/>
      <c r="J258" s="723"/>
      <c r="K258" s="723"/>
      <c r="L258" s="723"/>
      <c r="M258" s="723"/>
      <c r="N258" s="723"/>
      <c r="O258" s="723"/>
    </row>
    <row r="259" spans="2:15" ht="25.5" x14ac:dyDescent="0.2">
      <c r="B259" s="2051" t="s">
        <v>1400</v>
      </c>
      <c r="C259" s="2059" t="s">
        <v>1401</v>
      </c>
      <c r="D259" s="2070"/>
      <c r="E259" s="2577"/>
      <c r="F259" s="2455"/>
      <c r="G259" s="2455"/>
      <c r="H259" s="1101"/>
      <c r="I259" s="964"/>
      <c r="J259" s="723"/>
      <c r="K259" s="723"/>
      <c r="L259" s="723"/>
      <c r="M259" s="723"/>
      <c r="N259" s="723"/>
      <c r="O259" s="723"/>
    </row>
    <row r="260" spans="2:15" ht="25.5" x14ac:dyDescent="0.2">
      <c r="B260" s="2051"/>
      <c r="C260" s="2056" t="s">
        <v>233</v>
      </c>
      <c r="D260" s="2057" t="s">
        <v>149</v>
      </c>
      <c r="E260" s="2044">
        <v>2</v>
      </c>
      <c r="F260" s="2248">
        <v>0</v>
      </c>
      <c r="G260" s="2097">
        <f t="shared" ref="G260:G264" si="14">E260*F260</f>
        <v>0</v>
      </c>
      <c r="H260" s="1101"/>
      <c r="I260" s="964"/>
      <c r="J260" s="723"/>
      <c r="K260" s="723"/>
      <c r="L260" s="723"/>
      <c r="M260" s="723"/>
      <c r="N260" s="723"/>
      <c r="O260" s="723"/>
    </row>
    <row r="261" spans="2:15" ht="25.5" x14ac:dyDescent="0.2">
      <c r="B261" s="2051"/>
      <c r="C261" s="2048" t="s">
        <v>195</v>
      </c>
      <c r="D261" s="2057" t="s">
        <v>149</v>
      </c>
      <c r="E261" s="2044">
        <v>6</v>
      </c>
      <c r="F261" s="2248">
        <v>0</v>
      </c>
      <c r="G261" s="2097">
        <f t="shared" si="14"/>
        <v>0</v>
      </c>
      <c r="H261" s="1101"/>
      <c r="I261" s="964"/>
      <c r="J261" s="723"/>
      <c r="K261" s="723"/>
      <c r="L261" s="723"/>
      <c r="M261" s="723"/>
      <c r="N261" s="723"/>
      <c r="O261" s="723"/>
    </row>
    <row r="262" spans="2:15" ht="25.5" x14ac:dyDescent="0.2">
      <c r="B262" s="2051"/>
      <c r="C262" s="2048" t="s">
        <v>1292</v>
      </c>
      <c r="D262" s="2057" t="s">
        <v>149</v>
      </c>
      <c r="E262" s="2044">
        <v>6</v>
      </c>
      <c r="F262" s="2248">
        <v>0</v>
      </c>
      <c r="G262" s="2097">
        <f t="shared" si="14"/>
        <v>0</v>
      </c>
      <c r="H262" s="1101"/>
      <c r="I262" s="964"/>
      <c r="J262" s="723"/>
      <c r="K262" s="723"/>
      <c r="L262" s="723"/>
      <c r="M262" s="723"/>
      <c r="N262" s="723"/>
      <c r="O262" s="723"/>
    </row>
    <row r="263" spans="2:15" ht="25.5" x14ac:dyDescent="0.2">
      <c r="B263" s="2051"/>
      <c r="C263" s="2048" t="s">
        <v>227</v>
      </c>
      <c r="D263" s="2057" t="s">
        <v>149</v>
      </c>
      <c r="E263" s="2044">
        <v>2</v>
      </c>
      <c r="F263" s="2248">
        <v>0</v>
      </c>
      <c r="G263" s="2097">
        <f t="shared" si="14"/>
        <v>0</v>
      </c>
      <c r="H263" s="1101"/>
      <c r="I263" s="964"/>
      <c r="J263" s="723"/>
      <c r="K263" s="723"/>
      <c r="L263" s="723"/>
      <c r="M263" s="723"/>
      <c r="N263" s="723"/>
      <c r="O263" s="723"/>
    </row>
    <row r="264" spans="2:15" ht="25.5" x14ac:dyDescent="0.2">
      <c r="B264" s="2051"/>
      <c r="C264" s="2050" t="s">
        <v>1196</v>
      </c>
      <c r="D264" s="2057" t="s">
        <v>149</v>
      </c>
      <c r="E264" s="2044">
        <v>2</v>
      </c>
      <c r="F264" s="2248">
        <v>0</v>
      </c>
      <c r="G264" s="2097">
        <f t="shared" si="14"/>
        <v>0</v>
      </c>
      <c r="H264" s="1101"/>
      <c r="I264" s="964"/>
      <c r="J264" s="723"/>
      <c r="K264" s="723"/>
      <c r="L264" s="723"/>
      <c r="M264" s="723"/>
      <c r="N264" s="723"/>
      <c r="O264" s="723"/>
    </row>
    <row r="265" spans="2:15" x14ac:dyDescent="0.2">
      <c r="B265" s="950"/>
      <c r="C265" s="955"/>
      <c r="D265" s="956"/>
      <c r="E265" s="2532"/>
      <c r="F265" s="2453"/>
      <c r="G265" s="2453"/>
      <c r="H265" s="1101"/>
      <c r="I265" s="964"/>
      <c r="J265" s="723"/>
      <c r="K265" s="723"/>
      <c r="L265" s="723"/>
      <c r="M265" s="723"/>
      <c r="N265" s="723"/>
      <c r="O265" s="723"/>
    </row>
    <row r="266" spans="2:15" ht="25.5" x14ac:dyDescent="0.2">
      <c r="B266" s="2051" t="s">
        <v>1402</v>
      </c>
      <c r="C266" s="2059" t="s">
        <v>1403</v>
      </c>
      <c r="D266" s="2070"/>
      <c r="E266" s="2577"/>
      <c r="F266" s="2455"/>
      <c r="G266" s="2455"/>
      <c r="H266" s="1101"/>
      <c r="I266" s="964"/>
      <c r="J266" s="723"/>
      <c r="K266" s="723"/>
      <c r="L266" s="723"/>
      <c r="M266" s="723"/>
      <c r="N266" s="723"/>
      <c r="O266" s="723"/>
    </row>
    <row r="267" spans="2:15" ht="25.5" x14ac:dyDescent="0.2">
      <c r="B267" s="2051"/>
      <c r="C267" s="2056" t="s">
        <v>238</v>
      </c>
      <c r="D267" s="2057" t="s">
        <v>149</v>
      </c>
      <c r="E267" s="2044">
        <v>4</v>
      </c>
      <c r="F267" s="2248">
        <v>0</v>
      </c>
      <c r="G267" s="2097">
        <f t="shared" ref="G267:G275" si="15">E267*F267</f>
        <v>0</v>
      </c>
      <c r="H267" s="1101"/>
      <c r="I267" s="964"/>
      <c r="J267" s="723"/>
      <c r="K267" s="723"/>
      <c r="L267" s="723"/>
      <c r="M267" s="723"/>
      <c r="N267" s="723"/>
      <c r="O267" s="723"/>
    </row>
    <row r="268" spans="2:15" ht="25.5" x14ac:dyDescent="0.2">
      <c r="B268" s="2051"/>
      <c r="C268" s="2048" t="s">
        <v>195</v>
      </c>
      <c r="D268" s="2057" t="s">
        <v>149</v>
      </c>
      <c r="E268" s="2044">
        <v>8</v>
      </c>
      <c r="F268" s="2248">
        <v>0</v>
      </c>
      <c r="G268" s="2097">
        <f t="shared" si="15"/>
        <v>0</v>
      </c>
      <c r="H268" s="1101"/>
      <c r="I268" s="964"/>
      <c r="J268" s="723"/>
      <c r="K268" s="723"/>
      <c r="L268" s="723"/>
      <c r="M268" s="723"/>
      <c r="N268" s="723"/>
      <c r="O268" s="723"/>
    </row>
    <row r="269" spans="2:15" ht="25.5" x14ac:dyDescent="0.2">
      <c r="B269" s="2051"/>
      <c r="C269" s="2048" t="s">
        <v>239</v>
      </c>
      <c r="D269" s="2057" t="s">
        <v>149</v>
      </c>
      <c r="E269" s="2044">
        <v>4</v>
      </c>
      <c r="F269" s="2248">
        <v>0</v>
      </c>
      <c r="G269" s="2097">
        <f t="shared" si="15"/>
        <v>0</v>
      </c>
      <c r="H269" s="1101"/>
      <c r="I269" s="964"/>
      <c r="J269" s="723"/>
      <c r="K269" s="723"/>
      <c r="L269" s="723"/>
      <c r="M269" s="723"/>
      <c r="N269" s="723"/>
      <c r="O269" s="723"/>
    </row>
    <row r="270" spans="2:15" ht="25.5" x14ac:dyDescent="0.2">
      <c r="B270" s="2051"/>
      <c r="C270" s="2048" t="s">
        <v>1292</v>
      </c>
      <c r="D270" s="2057" t="s">
        <v>149</v>
      </c>
      <c r="E270" s="2044">
        <v>8</v>
      </c>
      <c r="F270" s="2248">
        <v>0</v>
      </c>
      <c r="G270" s="2097">
        <f t="shared" si="15"/>
        <v>0</v>
      </c>
      <c r="H270" s="1101"/>
      <c r="I270" s="964"/>
      <c r="J270" s="723"/>
      <c r="K270" s="723"/>
      <c r="L270" s="723"/>
      <c r="M270" s="723"/>
      <c r="N270" s="723"/>
      <c r="O270" s="723"/>
    </row>
    <row r="271" spans="2:15" ht="25.5" x14ac:dyDescent="0.2">
      <c r="B271" s="2051"/>
      <c r="C271" s="2048" t="s">
        <v>1267</v>
      </c>
      <c r="D271" s="2057" t="s">
        <v>149</v>
      </c>
      <c r="E271" s="2044">
        <v>4</v>
      </c>
      <c r="F271" s="2248">
        <v>0</v>
      </c>
      <c r="G271" s="2097">
        <f t="shared" si="15"/>
        <v>0</v>
      </c>
      <c r="H271" s="1101"/>
      <c r="I271" s="964"/>
      <c r="J271" s="723"/>
      <c r="K271" s="723"/>
      <c r="L271" s="723"/>
      <c r="M271" s="723"/>
      <c r="N271" s="723"/>
      <c r="O271" s="723"/>
    </row>
    <row r="272" spans="2:15" x14ac:dyDescent="0.2">
      <c r="B272" s="2051"/>
      <c r="C272" s="2048" t="s">
        <v>1268</v>
      </c>
      <c r="D272" s="2057" t="s">
        <v>149</v>
      </c>
      <c r="E272" s="2044">
        <v>4</v>
      </c>
      <c r="F272" s="2248">
        <v>0</v>
      </c>
      <c r="G272" s="2097">
        <f t="shared" si="15"/>
        <v>0</v>
      </c>
      <c r="H272" s="1101"/>
      <c r="I272" s="964"/>
      <c r="J272" s="723"/>
      <c r="K272" s="723"/>
      <c r="L272" s="723"/>
      <c r="M272" s="723"/>
      <c r="N272" s="723"/>
      <c r="O272" s="723"/>
    </row>
    <row r="273" spans="2:15" ht="25.5" x14ac:dyDescent="0.2">
      <c r="B273" s="2051"/>
      <c r="C273" s="2048" t="s">
        <v>1269</v>
      </c>
      <c r="D273" s="2057" t="s">
        <v>149</v>
      </c>
      <c r="E273" s="2044">
        <v>4</v>
      </c>
      <c r="F273" s="2248">
        <v>0</v>
      </c>
      <c r="G273" s="2097">
        <f t="shared" si="15"/>
        <v>0</v>
      </c>
      <c r="H273" s="1101"/>
      <c r="I273" s="964"/>
      <c r="J273" s="723"/>
      <c r="K273" s="723"/>
      <c r="L273" s="723"/>
      <c r="M273" s="723"/>
      <c r="N273" s="723"/>
      <c r="O273" s="723"/>
    </row>
    <row r="274" spans="2:15" ht="25.5" x14ac:dyDescent="0.2">
      <c r="B274" s="2051"/>
      <c r="C274" s="2048" t="s">
        <v>227</v>
      </c>
      <c r="D274" s="2057" t="s">
        <v>149</v>
      </c>
      <c r="E274" s="2044">
        <v>4</v>
      </c>
      <c r="F274" s="2248">
        <v>0</v>
      </c>
      <c r="G274" s="2097">
        <f t="shared" si="15"/>
        <v>0</v>
      </c>
      <c r="H274" s="1101"/>
      <c r="I274" s="964"/>
      <c r="J274" s="723"/>
      <c r="K274" s="723"/>
      <c r="L274" s="723"/>
      <c r="M274" s="723"/>
      <c r="N274" s="723"/>
      <c r="O274" s="723"/>
    </row>
    <row r="275" spans="2:15" ht="25.5" x14ac:dyDescent="0.2">
      <c r="B275" s="2051"/>
      <c r="C275" s="2050" t="s">
        <v>1196</v>
      </c>
      <c r="D275" s="2057" t="s">
        <v>149</v>
      </c>
      <c r="E275" s="2044">
        <v>4</v>
      </c>
      <c r="F275" s="2248">
        <v>0</v>
      </c>
      <c r="G275" s="2097">
        <f t="shared" si="15"/>
        <v>0</v>
      </c>
      <c r="H275" s="1101"/>
      <c r="I275" s="964"/>
      <c r="J275" s="723"/>
      <c r="K275" s="723"/>
      <c r="L275" s="723"/>
      <c r="M275" s="723"/>
      <c r="N275" s="723"/>
      <c r="O275" s="723"/>
    </row>
    <row r="276" spans="2:15" x14ac:dyDescent="0.2">
      <c r="B276" s="950"/>
      <c r="C276" s="955"/>
      <c r="D276" s="956"/>
      <c r="E276" s="2532"/>
      <c r="F276" s="2453"/>
      <c r="G276" s="2453"/>
      <c r="H276" s="1101"/>
      <c r="I276" s="964"/>
      <c r="J276" s="723"/>
      <c r="K276" s="723"/>
      <c r="L276" s="723"/>
      <c r="M276" s="723"/>
      <c r="N276" s="723"/>
      <c r="O276" s="723"/>
    </row>
    <row r="277" spans="2:15" ht="25.5" x14ac:dyDescent="0.2">
      <c r="B277" s="2051" t="s">
        <v>1404</v>
      </c>
      <c r="C277" s="2059" t="s">
        <v>1405</v>
      </c>
      <c r="D277" s="2070"/>
      <c r="E277" s="2577"/>
      <c r="F277" s="2455"/>
      <c r="G277" s="2455"/>
      <c r="H277" s="1101"/>
      <c r="I277" s="964"/>
      <c r="J277" s="723"/>
      <c r="K277" s="723"/>
      <c r="L277" s="723"/>
      <c r="M277" s="723"/>
      <c r="N277" s="723"/>
      <c r="O277" s="723"/>
    </row>
    <row r="278" spans="2:15" ht="51" x14ac:dyDescent="0.2">
      <c r="B278" s="2051"/>
      <c r="C278" s="2056" t="s">
        <v>1406</v>
      </c>
      <c r="D278" s="2057" t="s">
        <v>149</v>
      </c>
      <c r="E278" s="2044">
        <v>1</v>
      </c>
      <c r="F278" s="2248">
        <v>0</v>
      </c>
      <c r="G278" s="2097">
        <f t="shared" ref="G278:G280" si="16">E278*F278</f>
        <v>0</v>
      </c>
      <c r="H278" s="1101"/>
      <c r="I278" s="964"/>
      <c r="J278" s="723"/>
      <c r="K278" s="723"/>
      <c r="L278" s="723"/>
      <c r="M278" s="723"/>
      <c r="N278" s="723"/>
      <c r="O278" s="723"/>
    </row>
    <row r="279" spans="2:15" ht="25.5" x14ac:dyDescent="0.2">
      <c r="B279" s="2051"/>
      <c r="C279" s="2048" t="s">
        <v>247</v>
      </c>
      <c r="D279" s="2057" t="s">
        <v>149</v>
      </c>
      <c r="E279" s="2044">
        <v>1</v>
      </c>
      <c r="F279" s="2248">
        <v>0</v>
      </c>
      <c r="G279" s="2097">
        <f t="shared" si="16"/>
        <v>0</v>
      </c>
      <c r="H279" s="1101"/>
      <c r="I279" s="964"/>
      <c r="J279" s="723"/>
      <c r="K279" s="723"/>
      <c r="L279" s="723"/>
      <c r="M279" s="723"/>
      <c r="N279" s="723"/>
      <c r="O279" s="723"/>
    </row>
    <row r="280" spans="2:15" ht="25.5" x14ac:dyDescent="0.2">
      <c r="B280" s="2051"/>
      <c r="C280" s="2050" t="s">
        <v>248</v>
      </c>
      <c r="D280" s="2057" t="s">
        <v>149</v>
      </c>
      <c r="E280" s="2044">
        <v>1</v>
      </c>
      <c r="F280" s="2248">
        <v>0</v>
      </c>
      <c r="G280" s="2097">
        <f t="shared" si="16"/>
        <v>0</v>
      </c>
      <c r="H280" s="1101"/>
      <c r="I280" s="964"/>
      <c r="J280" s="723"/>
      <c r="K280" s="723"/>
      <c r="L280" s="723"/>
      <c r="M280" s="723"/>
      <c r="N280" s="723"/>
      <c r="O280" s="723"/>
    </row>
    <row r="281" spans="2:15" x14ac:dyDescent="0.2">
      <c r="B281" s="950"/>
      <c r="C281" s="955"/>
      <c r="D281" s="956"/>
      <c r="E281" s="2532"/>
      <c r="F281" s="2453"/>
      <c r="G281" s="2453"/>
      <c r="H281" s="1101"/>
      <c r="I281" s="964"/>
      <c r="J281" s="723"/>
      <c r="K281" s="723"/>
      <c r="L281" s="723"/>
      <c r="M281" s="723"/>
      <c r="N281" s="723"/>
      <c r="O281" s="723"/>
    </row>
    <row r="282" spans="2:15" x14ac:dyDescent="0.2">
      <c r="B282" s="2490" t="s">
        <v>1407</v>
      </c>
      <c r="C282" s="2918" t="s">
        <v>1301</v>
      </c>
      <c r="D282" s="2919"/>
      <c r="E282" s="2920"/>
      <c r="F282" s="2921"/>
      <c r="G282" s="2921"/>
      <c r="H282" s="1101"/>
      <c r="I282" s="964"/>
      <c r="J282" s="723"/>
      <c r="K282" s="723"/>
      <c r="L282" s="723"/>
      <c r="M282" s="723"/>
      <c r="N282" s="723"/>
      <c r="O282" s="723"/>
    </row>
    <row r="283" spans="2:15" ht="25.5" x14ac:dyDescent="0.2">
      <c r="B283" s="2490"/>
      <c r="C283" s="2496" t="s">
        <v>1294</v>
      </c>
      <c r="D283" s="2501" t="s">
        <v>149</v>
      </c>
      <c r="E283" s="2502">
        <v>5</v>
      </c>
      <c r="F283" s="2499">
        <v>0</v>
      </c>
      <c r="G283" s="2500">
        <f t="shared" ref="G283:G285" si="17">E283*F283</f>
        <v>0</v>
      </c>
      <c r="H283" s="1101"/>
      <c r="I283" s="964"/>
      <c r="J283" s="723"/>
      <c r="K283" s="723"/>
      <c r="L283" s="723"/>
      <c r="M283" s="723"/>
      <c r="N283" s="723"/>
      <c r="O283" s="723"/>
    </row>
    <row r="284" spans="2:15" ht="25.5" x14ac:dyDescent="0.2">
      <c r="B284" s="2490"/>
      <c r="C284" s="2496" t="s">
        <v>1302</v>
      </c>
      <c r="D284" s="2501" t="s">
        <v>149</v>
      </c>
      <c r="E284" s="2502">
        <v>5</v>
      </c>
      <c r="F284" s="2499">
        <v>0</v>
      </c>
      <c r="G284" s="2500">
        <f t="shared" si="17"/>
        <v>0</v>
      </c>
      <c r="H284" s="1101"/>
      <c r="I284" s="964"/>
      <c r="J284" s="723"/>
      <c r="K284" s="723"/>
      <c r="L284" s="723"/>
      <c r="M284" s="723"/>
      <c r="N284" s="723"/>
      <c r="O284" s="723"/>
    </row>
    <row r="285" spans="2:15" ht="25.5" x14ac:dyDescent="0.2">
      <c r="B285" s="2490"/>
      <c r="C285" s="2496" t="s">
        <v>1269</v>
      </c>
      <c r="D285" s="2501" t="s">
        <v>149</v>
      </c>
      <c r="E285" s="2502">
        <v>5</v>
      </c>
      <c r="F285" s="2499">
        <v>0</v>
      </c>
      <c r="G285" s="2500">
        <f t="shared" si="17"/>
        <v>0</v>
      </c>
      <c r="H285" s="1101"/>
      <c r="I285" s="964"/>
      <c r="J285" s="723"/>
      <c r="K285" s="723"/>
      <c r="L285" s="723"/>
      <c r="M285" s="723"/>
      <c r="N285" s="723"/>
      <c r="O285" s="723"/>
    </row>
    <row r="286" spans="2:15" x14ac:dyDescent="0.2">
      <c r="B286" s="950"/>
      <c r="C286" s="955"/>
      <c r="D286" s="956"/>
      <c r="E286" s="2532"/>
      <c r="F286" s="2453"/>
      <c r="G286" s="2453"/>
      <c r="H286" s="1101"/>
      <c r="I286" s="964"/>
      <c r="J286" s="723"/>
      <c r="K286" s="723"/>
      <c r="L286" s="723"/>
      <c r="M286" s="723"/>
      <c r="N286" s="723"/>
      <c r="O286" s="723"/>
    </row>
    <row r="287" spans="2:15" x14ac:dyDescent="0.2">
      <c r="B287" s="2490" t="s">
        <v>1408</v>
      </c>
      <c r="C287" s="2491" t="s">
        <v>1409</v>
      </c>
      <c r="D287" s="2919"/>
      <c r="E287" s="2920"/>
      <c r="F287" s="2921"/>
      <c r="G287" s="2921"/>
      <c r="H287" s="1101"/>
      <c r="I287" s="964"/>
      <c r="J287" s="723"/>
      <c r="K287" s="723"/>
      <c r="L287" s="723"/>
      <c r="M287" s="723"/>
      <c r="N287" s="723"/>
      <c r="O287" s="723"/>
    </row>
    <row r="288" spans="2:15" ht="25.5" x14ac:dyDescent="0.2">
      <c r="B288" s="2490"/>
      <c r="C288" s="2496" t="s">
        <v>1292</v>
      </c>
      <c r="D288" s="2501" t="s">
        <v>149</v>
      </c>
      <c r="E288" s="2502">
        <v>1</v>
      </c>
      <c r="F288" s="2499">
        <v>0</v>
      </c>
      <c r="G288" s="2500">
        <f t="shared" ref="G288:G290" si="18">E288*F288</f>
        <v>0</v>
      </c>
      <c r="H288" s="1101"/>
      <c r="I288" s="964"/>
      <c r="J288" s="1102"/>
      <c r="K288" s="752"/>
      <c r="L288" s="1103"/>
      <c r="M288" s="723"/>
      <c r="N288" s="723"/>
      <c r="O288" s="723"/>
    </row>
    <row r="289" spans="2:15" ht="25.5" x14ac:dyDescent="0.2">
      <c r="B289" s="2490"/>
      <c r="C289" s="2496" t="s">
        <v>1391</v>
      </c>
      <c r="D289" s="2501" t="s">
        <v>149</v>
      </c>
      <c r="E289" s="2502">
        <v>1</v>
      </c>
      <c r="F289" s="2499">
        <v>0</v>
      </c>
      <c r="G289" s="2500">
        <f t="shared" si="18"/>
        <v>0</v>
      </c>
      <c r="H289" s="1101"/>
      <c r="I289" s="964"/>
      <c r="J289" s="1102"/>
      <c r="K289" s="752"/>
      <c r="L289" s="1103"/>
      <c r="M289" s="723"/>
      <c r="N289" s="723"/>
      <c r="O289" s="723"/>
    </row>
    <row r="290" spans="2:15" ht="25.5" x14ac:dyDescent="0.2">
      <c r="B290" s="2490"/>
      <c r="C290" s="2496" t="s">
        <v>1269</v>
      </c>
      <c r="D290" s="2501" t="s">
        <v>149</v>
      </c>
      <c r="E290" s="2502">
        <v>1</v>
      </c>
      <c r="F290" s="2499">
        <v>0</v>
      </c>
      <c r="G290" s="2500">
        <f t="shared" si="18"/>
        <v>0</v>
      </c>
      <c r="H290" s="1101"/>
      <c r="I290" s="964"/>
      <c r="J290" s="1102"/>
      <c r="K290" s="752"/>
      <c r="L290" s="1103"/>
      <c r="M290" s="723"/>
      <c r="N290" s="723"/>
      <c r="O290" s="723"/>
    </row>
    <row r="291" spans="2:15" x14ac:dyDescent="0.2">
      <c r="B291" s="950"/>
      <c r="C291" s="955"/>
      <c r="D291" s="956"/>
      <c r="E291" s="2532"/>
      <c r="F291" s="2453"/>
      <c r="G291" s="2453"/>
      <c r="H291" s="1101"/>
      <c r="I291" s="964"/>
      <c r="J291" s="1102"/>
      <c r="K291" s="752"/>
      <c r="L291" s="1103"/>
      <c r="M291" s="723"/>
      <c r="N291" s="723"/>
      <c r="O291" s="723"/>
    </row>
    <row r="292" spans="2:15" x14ac:dyDescent="0.2">
      <c r="B292" s="2490" t="s">
        <v>1410</v>
      </c>
      <c r="C292" s="2491" t="s">
        <v>1411</v>
      </c>
      <c r="D292" s="2919"/>
      <c r="E292" s="2920"/>
      <c r="F292" s="2921"/>
      <c r="G292" s="2921"/>
      <c r="H292" s="1101"/>
      <c r="I292" s="964"/>
      <c r="J292" s="1102"/>
      <c r="K292" s="752"/>
      <c r="L292" s="1103"/>
      <c r="M292" s="723"/>
      <c r="N292" s="723"/>
      <c r="O292" s="723"/>
    </row>
    <row r="293" spans="2:15" ht="25.5" x14ac:dyDescent="0.2">
      <c r="B293" s="2490"/>
      <c r="C293" s="2496" t="s">
        <v>1292</v>
      </c>
      <c r="D293" s="2501" t="s">
        <v>149</v>
      </c>
      <c r="E293" s="2502">
        <v>1</v>
      </c>
      <c r="F293" s="2499">
        <v>0</v>
      </c>
      <c r="G293" s="2500">
        <f t="shared" ref="G293:G295" si="19">E293*F293</f>
        <v>0</v>
      </c>
      <c r="H293" s="1101"/>
      <c r="I293" s="1102"/>
      <c r="J293" s="752"/>
      <c r="K293" s="1103"/>
      <c r="L293" s="1103"/>
      <c r="M293" s="723"/>
      <c r="N293" s="723"/>
      <c r="O293" s="723"/>
    </row>
    <row r="294" spans="2:15" ht="25.5" x14ac:dyDescent="0.2">
      <c r="B294" s="2490"/>
      <c r="C294" s="2496" t="s">
        <v>1294</v>
      </c>
      <c r="D294" s="2501" t="s">
        <v>149</v>
      </c>
      <c r="E294" s="2502">
        <v>1</v>
      </c>
      <c r="F294" s="2499">
        <v>0</v>
      </c>
      <c r="G294" s="2500">
        <f t="shared" si="19"/>
        <v>0</v>
      </c>
      <c r="H294" s="1101"/>
      <c r="I294" s="1102"/>
      <c r="J294" s="752"/>
      <c r="K294" s="1103"/>
      <c r="L294" s="1103"/>
      <c r="M294" s="723"/>
      <c r="N294" s="723"/>
      <c r="O294" s="723"/>
    </row>
    <row r="295" spans="2:15" ht="25.5" x14ac:dyDescent="0.2">
      <c r="B295" s="2490"/>
      <c r="C295" s="2496" t="s">
        <v>1412</v>
      </c>
      <c r="D295" s="2501" t="s">
        <v>149</v>
      </c>
      <c r="E295" s="2502">
        <v>1</v>
      </c>
      <c r="F295" s="2499">
        <v>0</v>
      </c>
      <c r="G295" s="2500">
        <f t="shared" si="19"/>
        <v>0</v>
      </c>
      <c r="H295" s="1101"/>
      <c r="I295" s="1102"/>
      <c r="J295" s="752"/>
      <c r="K295" s="1103"/>
      <c r="L295" s="1103"/>
      <c r="M295" s="723"/>
      <c r="N295" s="723"/>
      <c r="O295" s="723"/>
    </row>
    <row r="296" spans="2:15" x14ac:dyDescent="0.2">
      <c r="B296" s="950"/>
      <c r="C296" s="955"/>
      <c r="D296" s="956"/>
      <c r="E296" s="2532"/>
      <c r="F296" s="2453"/>
      <c r="G296" s="2453"/>
      <c r="H296" s="1101"/>
      <c r="I296" s="964"/>
      <c r="J296" s="1102"/>
      <c r="K296" s="752"/>
      <c r="L296" s="1103"/>
      <c r="M296" s="723"/>
      <c r="N296" s="723"/>
      <c r="O296" s="723"/>
    </row>
    <row r="297" spans="2:15" x14ac:dyDescent="0.2">
      <c r="B297" s="2051" t="s">
        <v>1413</v>
      </c>
      <c r="C297" s="2059" t="s">
        <v>1414</v>
      </c>
      <c r="D297" s="2070"/>
      <c r="E297" s="2577"/>
      <c r="F297" s="2455"/>
      <c r="G297" s="2455"/>
      <c r="H297" s="1101"/>
      <c r="I297" s="964"/>
      <c r="J297" s="1102"/>
      <c r="K297" s="752"/>
      <c r="L297" s="1103"/>
      <c r="M297" s="723"/>
      <c r="N297" s="723"/>
      <c r="O297" s="723"/>
    </row>
    <row r="298" spans="2:15" ht="25.5" x14ac:dyDescent="0.2">
      <c r="B298" s="2051"/>
      <c r="C298" s="2056" t="s">
        <v>1415</v>
      </c>
      <c r="D298" s="2057" t="s">
        <v>149</v>
      </c>
      <c r="E298" s="2044">
        <v>1</v>
      </c>
      <c r="F298" s="2248">
        <v>0</v>
      </c>
      <c r="G298" s="2097">
        <f t="shared" ref="G298:G302" si="20">E298*F298</f>
        <v>0</v>
      </c>
      <c r="H298" s="1101"/>
      <c r="I298" s="964"/>
      <c r="J298" s="1102"/>
      <c r="K298" s="752"/>
      <c r="L298" s="1103"/>
      <c r="M298" s="723"/>
      <c r="N298" s="723"/>
      <c r="O298" s="723"/>
    </row>
    <row r="299" spans="2:15" ht="25.5" x14ac:dyDescent="0.2">
      <c r="B299" s="2051"/>
      <c r="C299" s="2048" t="s">
        <v>195</v>
      </c>
      <c r="D299" s="2057" t="s">
        <v>149</v>
      </c>
      <c r="E299" s="2044">
        <v>2</v>
      </c>
      <c r="F299" s="2248">
        <v>0</v>
      </c>
      <c r="G299" s="2097">
        <f t="shared" si="20"/>
        <v>0</v>
      </c>
      <c r="H299" s="1101"/>
      <c r="I299" s="964"/>
      <c r="J299" s="1102"/>
      <c r="K299" s="752"/>
      <c r="L299" s="1103"/>
      <c r="M299" s="723"/>
      <c r="N299" s="723"/>
      <c r="O299" s="723"/>
    </row>
    <row r="300" spans="2:15" ht="25.5" x14ac:dyDescent="0.2">
      <c r="B300" s="2051"/>
      <c r="C300" s="2048" t="s">
        <v>1292</v>
      </c>
      <c r="D300" s="2057" t="s">
        <v>149</v>
      </c>
      <c r="E300" s="2044">
        <v>2</v>
      </c>
      <c r="F300" s="2248">
        <v>0</v>
      </c>
      <c r="G300" s="2097">
        <f t="shared" si="20"/>
        <v>0</v>
      </c>
      <c r="H300" s="1101"/>
      <c r="I300" s="964"/>
      <c r="J300" s="1102"/>
      <c r="K300" s="752"/>
      <c r="L300" s="1103"/>
      <c r="M300" s="723"/>
      <c r="N300" s="723"/>
      <c r="O300" s="723"/>
    </row>
    <row r="301" spans="2:15" ht="25.5" x14ac:dyDescent="0.2">
      <c r="B301" s="2051"/>
      <c r="C301" s="2048" t="s">
        <v>227</v>
      </c>
      <c r="D301" s="2057" t="s">
        <v>149</v>
      </c>
      <c r="E301" s="2044">
        <v>1</v>
      </c>
      <c r="F301" s="2248">
        <v>0</v>
      </c>
      <c r="G301" s="2097">
        <f t="shared" si="20"/>
        <v>0</v>
      </c>
      <c r="H301" s="1101"/>
      <c r="I301" s="964"/>
      <c r="J301" s="1102"/>
      <c r="K301" s="752"/>
      <c r="L301" s="1103"/>
      <c r="M301" s="723"/>
      <c r="N301" s="723"/>
      <c r="O301" s="723"/>
    </row>
    <row r="302" spans="2:15" ht="25.5" x14ac:dyDescent="0.2">
      <c r="B302" s="2051"/>
      <c r="C302" s="2050" t="s">
        <v>1196</v>
      </c>
      <c r="D302" s="2057" t="s">
        <v>149</v>
      </c>
      <c r="E302" s="2044">
        <v>1</v>
      </c>
      <c r="F302" s="2248">
        <v>0</v>
      </c>
      <c r="G302" s="2097">
        <f t="shared" si="20"/>
        <v>0</v>
      </c>
      <c r="H302" s="1101"/>
      <c r="I302" s="964"/>
      <c r="J302" s="1102"/>
      <c r="K302" s="752"/>
      <c r="L302" s="1103"/>
      <c r="M302" s="723"/>
      <c r="N302" s="723"/>
      <c r="O302" s="723"/>
    </row>
    <row r="303" spans="2:15" s="723" customFormat="1" ht="14.25" customHeight="1" x14ac:dyDescent="0.2">
      <c r="B303" s="950"/>
      <c r="C303" s="955"/>
      <c r="D303" s="956"/>
      <c r="E303" s="2532"/>
      <c r="F303" s="2453"/>
      <c r="G303" s="2453"/>
      <c r="H303" s="953"/>
      <c r="I303" s="965"/>
      <c r="J303" s="743"/>
    </row>
    <row r="304" spans="2:15" ht="38.25" x14ac:dyDescent="0.2">
      <c r="B304" s="950" t="s">
        <v>1416</v>
      </c>
      <c r="C304" s="959" t="s">
        <v>229</v>
      </c>
      <c r="D304" s="1091" t="s">
        <v>149</v>
      </c>
      <c r="E304" s="1092">
        <v>24</v>
      </c>
      <c r="F304" s="2010">
        <v>0</v>
      </c>
      <c r="G304" s="976">
        <f>E304*F304</f>
        <v>0</v>
      </c>
      <c r="H304" s="1101"/>
      <c r="I304" s="964"/>
      <c r="J304" s="723"/>
      <c r="K304" s="723"/>
      <c r="L304" s="723"/>
      <c r="M304" s="723"/>
      <c r="N304" s="723"/>
      <c r="O304" s="723"/>
    </row>
    <row r="305" spans="2:15" x14ac:dyDescent="0.2">
      <c r="B305" s="950"/>
      <c r="C305" s="959"/>
      <c r="D305" s="1091"/>
      <c r="E305" s="1092"/>
      <c r="F305" s="1104"/>
      <c r="G305" s="1105"/>
      <c r="H305" s="1101"/>
      <c r="I305" s="964"/>
      <c r="J305" s="723"/>
      <c r="K305" s="723"/>
      <c r="L305" s="723"/>
      <c r="M305" s="723"/>
      <c r="N305" s="723"/>
      <c r="O305" s="723"/>
    </row>
    <row r="306" spans="2:15" x14ac:dyDescent="0.2">
      <c r="B306" s="2490" t="s">
        <v>1417</v>
      </c>
      <c r="C306" s="2491" t="s">
        <v>1418</v>
      </c>
      <c r="D306" s="2492"/>
      <c r="E306" s="2493"/>
      <c r="F306" s="2494"/>
      <c r="G306" s="2495"/>
      <c r="H306" s="1101"/>
      <c r="I306" s="964"/>
      <c r="J306" s="723"/>
      <c r="K306" s="723"/>
      <c r="L306" s="723"/>
      <c r="M306" s="723"/>
      <c r="N306" s="723"/>
      <c r="O306" s="723"/>
    </row>
    <row r="307" spans="2:15" s="136" customFormat="1" x14ac:dyDescent="0.2">
      <c r="B307" s="2478"/>
      <c r="C307" s="267" t="s">
        <v>207</v>
      </c>
      <c r="D307" s="231" t="s">
        <v>149</v>
      </c>
      <c r="E307" s="265">
        <v>1</v>
      </c>
      <c r="F307" s="2433">
        <v>0</v>
      </c>
      <c r="G307" s="2434">
        <f t="shared" ref="G307:G322" si="21">E307*F307</f>
        <v>0</v>
      </c>
      <c r="H307" s="2426"/>
    </row>
    <row r="308" spans="2:15" s="136" customFormat="1" ht="24" x14ac:dyDescent="0.2">
      <c r="B308" s="2478"/>
      <c r="C308" s="267" t="s">
        <v>208</v>
      </c>
      <c r="D308" s="231" t="s">
        <v>149</v>
      </c>
      <c r="E308" s="265">
        <v>2</v>
      </c>
      <c r="F308" s="2433">
        <v>0</v>
      </c>
      <c r="G308" s="2434">
        <f t="shared" si="21"/>
        <v>0</v>
      </c>
      <c r="H308" s="2426"/>
    </row>
    <row r="309" spans="2:15" s="136" customFormat="1" ht="23.25" customHeight="1" x14ac:dyDescent="0.2">
      <c r="B309" s="2478"/>
      <c r="C309" s="268" t="s">
        <v>209</v>
      </c>
      <c r="D309" s="231" t="s">
        <v>149</v>
      </c>
      <c r="E309" s="265">
        <v>1</v>
      </c>
      <c r="F309" s="2433">
        <v>0</v>
      </c>
      <c r="G309" s="2434">
        <f t="shared" si="21"/>
        <v>0</v>
      </c>
      <c r="H309" s="2426"/>
    </row>
    <row r="310" spans="2:15" s="136" customFormat="1" x14ac:dyDescent="0.2">
      <c r="B310" s="2478"/>
      <c r="C310" s="268" t="s">
        <v>210</v>
      </c>
      <c r="D310" s="231" t="s">
        <v>149</v>
      </c>
      <c r="E310" s="265">
        <v>1</v>
      </c>
      <c r="F310" s="2433">
        <v>0</v>
      </c>
      <c r="G310" s="2434">
        <f t="shared" si="21"/>
        <v>0</v>
      </c>
      <c r="H310" s="2426"/>
    </row>
    <row r="311" spans="2:15" s="136" customFormat="1" x14ac:dyDescent="0.2">
      <c r="B311" s="2478"/>
      <c r="C311" s="268" t="s">
        <v>211</v>
      </c>
      <c r="D311" s="231" t="s">
        <v>149</v>
      </c>
      <c r="E311" s="265">
        <v>1</v>
      </c>
      <c r="F311" s="2433">
        <v>0</v>
      </c>
      <c r="G311" s="2434">
        <f t="shared" si="21"/>
        <v>0</v>
      </c>
      <c r="H311" s="2426"/>
    </row>
    <row r="312" spans="2:15" s="136" customFormat="1" x14ac:dyDescent="0.2">
      <c r="B312" s="2478"/>
      <c r="C312" s="268" t="s">
        <v>212</v>
      </c>
      <c r="D312" s="231" t="s">
        <v>149</v>
      </c>
      <c r="E312" s="265">
        <v>1</v>
      </c>
      <c r="F312" s="2433">
        <v>0</v>
      </c>
      <c r="G312" s="2434">
        <f t="shared" si="21"/>
        <v>0</v>
      </c>
      <c r="H312" s="2426"/>
    </row>
    <row r="313" spans="2:15" s="136" customFormat="1" x14ac:dyDescent="0.2">
      <c r="B313" s="2478"/>
      <c r="C313" s="268" t="s">
        <v>1104</v>
      </c>
      <c r="D313" s="231" t="s">
        <v>149</v>
      </c>
      <c r="E313" s="265">
        <v>1</v>
      </c>
      <c r="F313" s="2433">
        <v>0</v>
      </c>
      <c r="G313" s="2434">
        <f t="shared" si="21"/>
        <v>0</v>
      </c>
      <c r="H313" s="2426"/>
    </row>
    <row r="314" spans="2:15" s="136" customFormat="1" x14ac:dyDescent="0.2">
      <c r="B314" s="2478"/>
      <c r="C314" s="268" t="s">
        <v>214</v>
      </c>
      <c r="D314" s="231" t="s">
        <v>149</v>
      </c>
      <c r="E314" s="265">
        <v>1</v>
      </c>
      <c r="F314" s="2433">
        <v>0</v>
      </c>
      <c r="G314" s="2434">
        <f t="shared" si="21"/>
        <v>0</v>
      </c>
      <c r="H314" s="2426"/>
    </row>
    <row r="315" spans="2:15" s="136" customFormat="1" x14ac:dyDescent="0.2">
      <c r="B315" s="2478"/>
      <c r="C315" s="268" t="s">
        <v>215</v>
      </c>
      <c r="D315" s="231" t="s">
        <v>149</v>
      </c>
      <c r="E315" s="265">
        <v>1</v>
      </c>
      <c r="F315" s="2433">
        <v>0</v>
      </c>
      <c r="G315" s="2434">
        <f t="shared" si="21"/>
        <v>0</v>
      </c>
      <c r="H315" s="2426"/>
    </row>
    <row r="316" spans="2:15" s="136" customFormat="1" x14ac:dyDescent="0.2">
      <c r="B316" s="2478"/>
      <c r="C316" s="2435" t="s">
        <v>216</v>
      </c>
      <c r="D316" s="231" t="s">
        <v>149</v>
      </c>
      <c r="E316" s="265">
        <v>1</v>
      </c>
      <c r="F316" s="2433">
        <v>0</v>
      </c>
      <c r="G316" s="2434">
        <f t="shared" si="21"/>
        <v>0</v>
      </c>
      <c r="H316" s="2426"/>
    </row>
    <row r="317" spans="2:15" s="136" customFormat="1" x14ac:dyDescent="0.2">
      <c r="B317" s="2478"/>
      <c r="C317" s="2435" t="s">
        <v>217</v>
      </c>
      <c r="D317" s="231" t="s">
        <v>149</v>
      </c>
      <c r="E317" s="265">
        <v>1</v>
      </c>
      <c r="F317" s="2433">
        <v>0</v>
      </c>
      <c r="G317" s="2434">
        <f t="shared" si="21"/>
        <v>0</v>
      </c>
      <c r="H317" s="2426"/>
    </row>
    <row r="318" spans="2:15" s="136" customFormat="1" ht="24" x14ac:dyDescent="0.2">
      <c r="B318" s="2478"/>
      <c r="C318" s="2435" t="s">
        <v>195</v>
      </c>
      <c r="D318" s="231" t="s">
        <v>149</v>
      </c>
      <c r="E318" s="265">
        <v>2</v>
      </c>
      <c r="F318" s="2433">
        <v>0</v>
      </c>
      <c r="G318" s="2434">
        <f t="shared" si="21"/>
        <v>0</v>
      </c>
      <c r="H318" s="2426"/>
    </row>
    <row r="319" spans="2:15" s="136" customFormat="1" ht="24" x14ac:dyDescent="0.2">
      <c r="B319" s="2478"/>
      <c r="C319" s="2435" t="s">
        <v>218</v>
      </c>
      <c r="D319" s="231" t="s">
        <v>149</v>
      </c>
      <c r="E319" s="265">
        <v>2</v>
      </c>
      <c r="F319" s="2433">
        <v>0</v>
      </c>
      <c r="G319" s="2434">
        <f t="shared" si="21"/>
        <v>0</v>
      </c>
      <c r="H319" s="2426"/>
    </row>
    <row r="320" spans="2:15" s="136" customFormat="1" ht="24" x14ac:dyDescent="0.2">
      <c r="B320" s="2478"/>
      <c r="C320" s="2435" t="s">
        <v>219</v>
      </c>
      <c r="D320" s="231" t="s">
        <v>149</v>
      </c>
      <c r="E320" s="265">
        <v>1</v>
      </c>
      <c r="F320" s="2433">
        <v>0</v>
      </c>
      <c r="G320" s="2434">
        <f t="shared" si="21"/>
        <v>0</v>
      </c>
      <c r="H320" s="2426"/>
    </row>
    <row r="321" spans="2:15" s="136" customFormat="1" ht="24" x14ac:dyDescent="0.2">
      <c r="B321" s="2478"/>
      <c r="C321" s="2435" t="s">
        <v>227</v>
      </c>
      <c r="D321" s="231" t="s">
        <v>149</v>
      </c>
      <c r="E321" s="265">
        <v>3</v>
      </c>
      <c r="F321" s="2433">
        <v>0</v>
      </c>
      <c r="G321" s="2434">
        <f t="shared" si="21"/>
        <v>0</v>
      </c>
      <c r="H321" s="2426"/>
    </row>
    <row r="322" spans="2:15" s="136" customFormat="1" ht="24" x14ac:dyDescent="0.2">
      <c r="B322" s="2478"/>
      <c r="C322" s="2436" t="s">
        <v>198</v>
      </c>
      <c r="D322" s="231" t="s">
        <v>149</v>
      </c>
      <c r="E322" s="265">
        <v>1</v>
      </c>
      <c r="F322" s="2433">
        <v>0</v>
      </c>
      <c r="G322" s="2434">
        <f t="shared" si="21"/>
        <v>0</v>
      </c>
      <c r="H322" s="2426"/>
    </row>
    <row r="323" spans="2:15" ht="25.5" x14ac:dyDescent="0.2">
      <c r="B323" s="2490"/>
      <c r="C323" s="2496" t="s">
        <v>183</v>
      </c>
      <c r="D323" s="2497" t="s">
        <v>149</v>
      </c>
      <c r="E323" s="2498">
        <v>4</v>
      </c>
      <c r="F323" s="2499">
        <v>0</v>
      </c>
      <c r="G323" s="2500">
        <f t="shared" ref="G323" si="22">E323*F323</f>
        <v>0</v>
      </c>
      <c r="H323" s="1101"/>
      <c r="I323" s="964"/>
      <c r="J323" s="723"/>
      <c r="K323" s="723"/>
      <c r="L323" s="723"/>
      <c r="M323" s="723"/>
      <c r="N323" s="723"/>
      <c r="O323" s="723"/>
    </row>
    <row r="324" spans="2:15" x14ac:dyDescent="0.2">
      <c r="B324" s="950"/>
      <c r="C324" s="959"/>
      <c r="D324" s="1091"/>
      <c r="E324" s="1092"/>
      <c r="F324" s="1104"/>
      <c r="G324" s="1105"/>
      <c r="H324" s="1101"/>
      <c r="I324" s="964"/>
      <c r="J324" s="723"/>
      <c r="K324" s="723"/>
      <c r="L324" s="723"/>
      <c r="M324" s="723"/>
      <c r="N324" s="723"/>
      <c r="O324" s="723"/>
    </row>
    <row r="325" spans="2:15" x14ac:dyDescent="0.2">
      <c r="B325" s="2051" t="s">
        <v>1419</v>
      </c>
      <c r="C325" s="2059" t="s">
        <v>1420</v>
      </c>
      <c r="D325" s="2249"/>
      <c r="E325" s="2250"/>
      <c r="F325" s="2251"/>
      <c r="G325" s="2252"/>
      <c r="H325" s="1101"/>
      <c r="I325" s="964"/>
      <c r="J325" s="723"/>
      <c r="K325" s="723"/>
      <c r="L325" s="723"/>
      <c r="M325" s="723"/>
      <c r="N325" s="723"/>
      <c r="O325" s="723"/>
    </row>
    <row r="326" spans="2:15" x14ac:dyDescent="0.2">
      <c r="B326" s="2051"/>
      <c r="C326" s="2056" t="s">
        <v>207</v>
      </c>
      <c r="D326" s="2057" t="s">
        <v>149</v>
      </c>
      <c r="E326" s="2044">
        <v>2</v>
      </c>
      <c r="F326" s="2248">
        <v>0</v>
      </c>
      <c r="G326" s="2097">
        <f t="shared" ref="G326:G350" si="23">E326*F326</f>
        <v>0</v>
      </c>
      <c r="H326" s="1101"/>
      <c r="I326" s="964"/>
      <c r="J326" s="723"/>
      <c r="K326" s="723"/>
      <c r="L326" s="723"/>
      <c r="M326" s="723"/>
      <c r="N326" s="723"/>
      <c r="O326" s="723"/>
    </row>
    <row r="327" spans="2:15" ht="25.5" x14ac:dyDescent="0.2">
      <c r="B327" s="2051"/>
      <c r="C327" s="2056" t="s">
        <v>208</v>
      </c>
      <c r="D327" s="2057" t="s">
        <v>149</v>
      </c>
      <c r="E327" s="2044">
        <v>4</v>
      </c>
      <c r="F327" s="2248">
        <v>0</v>
      </c>
      <c r="G327" s="2097">
        <f t="shared" si="23"/>
        <v>0</v>
      </c>
      <c r="H327" s="1101"/>
      <c r="I327" s="964"/>
      <c r="J327" s="723"/>
      <c r="K327" s="723"/>
      <c r="L327" s="723"/>
      <c r="M327" s="723"/>
      <c r="N327" s="723"/>
      <c r="O327" s="723"/>
    </row>
    <row r="328" spans="2:15" ht="25.5" x14ac:dyDescent="0.2">
      <c r="B328" s="2051"/>
      <c r="C328" s="2053" t="s">
        <v>843</v>
      </c>
      <c r="D328" s="2057" t="s">
        <v>149</v>
      </c>
      <c r="E328" s="2044">
        <v>2</v>
      </c>
      <c r="F328" s="2248">
        <v>0</v>
      </c>
      <c r="G328" s="2097">
        <f t="shared" si="23"/>
        <v>0</v>
      </c>
      <c r="H328" s="1101"/>
      <c r="I328" s="964"/>
      <c r="J328" s="723"/>
      <c r="K328" s="723"/>
      <c r="L328" s="723"/>
      <c r="M328" s="723"/>
      <c r="N328" s="723"/>
      <c r="O328" s="723"/>
    </row>
    <row r="329" spans="2:15" x14ac:dyDescent="0.2">
      <c r="B329" s="2051"/>
      <c r="C329" s="2053" t="s">
        <v>210</v>
      </c>
      <c r="D329" s="2057" t="s">
        <v>149</v>
      </c>
      <c r="E329" s="2044">
        <v>2</v>
      </c>
      <c r="F329" s="2248">
        <v>0</v>
      </c>
      <c r="G329" s="2097">
        <f t="shared" si="23"/>
        <v>0</v>
      </c>
      <c r="H329" s="1101"/>
      <c r="I329" s="964"/>
      <c r="J329" s="723"/>
      <c r="K329" s="723"/>
      <c r="L329" s="723"/>
      <c r="M329" s="723"/>
      <c r="N329" s="723"/>
      <c r="O329" s="723"/>
    </row>
    <row r="330" spans="2:15" x14ac:dyDescent="0.2">
      <c r="B330" s="2051"/>
      <c r="C330" s="2053" t="s">
        <v>211</v>
      </c>
      <c r="D330" s="2057" t="s">
        <v>149</v>
      </c>
      <c r="E330" s="2044">
        <v>2</v>
      </c>
      <c r="F330" s="2248">
        <v>0</v>
      </c>
      <c r="G330" s="2097">
        <f t="shared" si="23"/>
        <v>0</v>
      </c>
      <c r="H330" s="1101"/>
      <c r="I330" s="964"/>
      <c r="J330" s="723"/>
      <c r="K330" s="723"/>
      <c r="L330" s="723"/>
      <c r="M330" s="723"/>
      <c r="N330" s="723"/>
      <c r="O330" s="723"/>
    </row>
    <row r="331" spans="2:15" x14ac:dyDescent="0.2">
      <c r="B331" s="2051"/>
      <c r="C331" s="2053" t="s">
        <v>212</v>
      </c>
      <c r="D331" s="2057" t="s">
        <v>149</v>
      </c>
      <c r="E331" s="2044">
        <v>2</v>
      </c>
      <c r="F331" s="2248">
        <v>0</v>
      </c>
      <c r="G331" s="2097">
        <f t="shared" si="23"/>
        <v>0</v>
      </c>
      <c r="H331" s="1101"/>
      <c r="I331" s="964"/>
      <c r="J331" s="723"/>
      <c r="K331" s="723"/>
      <c r="L331" s="723"/>
      <c r="M331" s="723"/>
      <c r="N331" s="723"/>
      <c r="O331" s="723"/>
    </row>
    <row r="332" spans="2:15" x14ac:dyDescent="0.2">
      <c r="B332" s="2051"/>
      <c r="C332" s="2053" t="s">
        <v>1104</v>
      </c>
      <c r="D332" s="2057" t="s">
        <v>149</v>
      </c>
      <c r="E332" s="2044">
        <v>2</v>
      </c>
      <c r="F332" s="2248">
        <v>0</v>
      </c>
      <c r="G332" s="2097">
        <f t="shared" si="23"/>
        <v>0</v>
      </c>
      <c r="H332" s="1101"/>
      <c r="I332" s="964"/>
      <c r="J332" s="723"/>
      <c r="K332" s="723"/>
      <c r="L332" s="723"/>
      <c r="M332" s="723"/>
      <c r="N332" s="723"/>
      <c r="O332" s="723"/>
    </row>
    <row r="333" spans="2:15" x14ac:dyDescent="0.2">
      <c r="B333" s="2051"/>
      <c r="C333" s="2053" t="s">
        <v>214</v>
      </c>
      <c r="D333" s="2057" t="s">
        <v>149</v>
      </c>
      <c r="E333" s="2044">
        <v>2</v>
      </c>
      <c r="F333" s="2248">
        <v>0</v>
      </c>
      <c r="G333" s="2097">
        <f t="shared" si="23"/>
        <v>0</v>
      </c>
      <c r="H333" s="1101"/>
      <c r="I333" s="964"/>
      <c r="J333" s="723"/>
      <c r="K333" s="723"/>
      <c r="L333" s="723"/>
      <c r="M333" s="723"/>
      <c r="N333" s="723"/>
      <c r="O333" s="723"/>
    </row>
    <row r="334" spans="2:15" x14ac:dyDescent="0.2">
      <c r="B334" s="2051"/>
      <c r="C334" s="2053" t="s">
        <v>215</v>
      </c>
      <c r="D334" s="2057" t="s">
        <v>149</v>
      </c>
      <c r="E334" s="2044">
        <v>2</v>
      </c>
      <c r="F334" s="2248">
        <v>0</v>
      </c>
      <c r="G334" s="2097">
        <f t="shared" si="23"/>
        <v>0</v>
      </c>
      <c r="H334" s="1101"/>
      <c r="I334" s="964"/>
      <c r="J334" s="723"/>
      <c r="K334" s="723"/>
      <c r="L334" s="723"/>
      <c r="M334" s="723"/>
      <c r="N334" s="723"/>
      <c r="O334" s="723"/>
    </row>
    <row r="335" spans="2:15" x14ac:dyDescent="0.2">
      <c r="B335" s="2051"/>
      <c r="C335" s="2048" t="s">
        <v>216</v>
      </c>
      <c r="D335" s="2057" t="s">
        <v>149</v>
      </c>
      <c r="E335" s="2044">
        <v>2</v>
      </c>
      <c r="F335" s="2248">
        <v>0</v>
      </c>
      <c r="G335" s="2097">
        <f t="shared" si="23"/>
        <v>0</v>
      </c>
      <c r="H335" s="1101"/>
      <c r="I335" s="964"/>
      <c r="J335" s="723"/>
      <c r="K335" s="723"/>
      <c r="L335" s="723"/>
      <c r="M335" s="723"/>
      <c r="N335" s="723"/>
      <c r="O335" s="723"/>
    </row>
    <row r="336" spans="2:15" x14ac:dyDescent="0.2">
      <c r="B336" s="2051"/>
      <c r="C336" s="2048" t="s">
        <v>329</v>
      </c>
      <c r="D336" s="2057" t="s">
        <v>149</v>
      </c>
      <c r="E336" s="2044">
        <v>2</v>
      </c>
      <c r="F336" s="2248">
        <v>0</v>
      </c>
      <c r="G336" s="2097">
        <f t="shared" si="23"/>
        <v>0</v>
      </c>
      <c r="H336" s="1101"/>
      <c r="I336" s="964"/>
      <c r="J336" s="723"/>
      <c r="K336" s="723"/>
      <c r="L336" s="723"/>
      <c r="M336" s="723"/>
      <c r="N336" s="723"/>
      <c r="O336" s="723"/>
    </row>
    <row r="337" spans="2:15" ht="25.5" x14ac:dyDescent="0.2">
      <c r="B337" s="2051"/>
      <c r="C337" s="2048" t="s">
        <v>235</v>
      </c>
      <c r="D337" s="2057" t="s">
        <v>149</v>
      </c>
      <c r="E337" s="2044">
        <v>4</v>
      </c>
      <c r="F337" s="2248">
        <v>0</v>
      </c>
      <c r="G337" s="2097">
        <f t="shared" si="23"/>
        <v>0</v>
      </c>
      <c r="H337" s="1101"/>
      <c r="I337" s="964"/>
      <c r="J337" s="723"/>
      <c r="K337" s="723"/>
      <c r="L337" s="723"/>
      <c r="M337" s="723"/>
      <c r="N337" s="723"/>
      <c r="O337" s="723"/>
    </row>
    <row r="338" spans="2:15" ht="25.5" x14ac:dyDescent="0.2">
      <c r="B338" s="2051"/>
      <c r="C338" s="2048" t="s">
        <v>1294</v>
      </c>
      <c r="D338" s="2057" t="s">
        <v>149</v>
      </c>
      <c r="E338" s="2044">
        <v>4</v>
      </c>
      <c r="F338" s="2248">
        <v>0</v>
      </c>
      <c r="G338" s="2097">
        <f t="shared" si="23"/>
        <v>0</v>
      </c>
      <c r="H338" s="1101"/>
      <c r="I338" s="964"/>
      <c r="J338" s="723"/>
      <c r="K338" s="723"/>
      <c r="L338" s="723"/>
      <c r="M338" s="723"/>
      <c r="N338" s="723"/>
      <c r="O338" s="723"/>
    </row>
    <row r="339" spans="2:15" ht="25.5" x14ac:dyDescent="0.2">
      <c r="B339" s="2051"/>
      <c r="C339" s="2048" t="s">
        <v>219</v>
      </c>
      <c r="D339" s="2057" t="s">
        <v>149</v>
      </c>
      <c r="E339" s="2044">
        <v>2</v>
      </c>
      <c r="F339" s="2248">
        <v>0</v>
      </c>
      <c r="G339" s="2097">
        <f t="shared" si="23"/>
        <v>0</v>
      </c>
      <c r="H339" s="1101"/>
      <c r="I339" s="964"/>
      <c r="J339" s="723"/>
      <c r="K339" s="723"/>
      <c r="L339" s="723"/>
      <c r="M339" s="723"/>
      <c r="N339" s="723"/>
      <c r="O339" s="723"/>
    </row>
    <row r="340" spans="2:15" ht="25.5" x14ac:dyDescent="0.2">
      <c r="B340" s="2051"/>
      <c r="C340" s="2048" t="s">
        <v>227</v>
      </c>
      <c r="D340" s="2057" t="s">
        <v>149</v>
      </c>
      <c r="E340" s="2044">
        <v>6</v>
      </c>
      <c r="F340" s="2248">
        <v>0</v>
      </c>
      <c r="G340" s="2097">
        <f t="shared" si="23"/>
        <v>0</v>
      </c>
      <c r="H340" s="1101"/>
      <c r="I340" s="964"/>
      <c r="J340" s="723"/>
      <c r="K340" s="723"/>
      <c r="L340" s="723"/>
      <c r="M340" s="723"/>
      <c r="N340" s="723"/>
      <c r="O340" s="723"/>
    </row>
    <row r="341" spans="2:15" ht="25.5" x14ac:dyDescent="0.2">
      <c r="B341" s="2051"/>
      <c r="C341" s="2050" t="s">
        <v>1196</v>
      </c>
      <c r="D341" s="2057" t="s">
        <v>149</v>
      </c>
      <c r="E341" s="2044">
        <v>2</v>
      </c>
      <c r="F341" s="2248">
        <v>0</v>
      </c>
      <c r="G341" s="2097">
        <f t="shared" si="23"/>
        <v>0</v>
      </c>
      <c r="H341" s="1101"/>
      <c r="I341" s="964"/>
      <c r="J341" s="723"/>
      <c r="K341" s="723"/>
      <c r="L341" s="723"/>
      <c r="M341" s="723"/>
      <c r="N341" s="723"/>
      <c r="O341" s="723"/>
    </row>
    <row r="342" spans="2:15" x14ac:dyDescent="0.2">
      <c r="B342" s="2051"/>
      <c r="C342" s="2056" t="s">
        <v>207</v>
      </c>
      <c r="D342" s="2057" t="s">
        <v>149</v>
      </c>
      <c r="E342" s="2044">
        <v>2</v>
      </c>
      <c r="F342" s="2248">
        <v>0</v>
      </c>
      <c r="G342" s="2097">
        <f t="shared" si="23"/>
        <v>0</v>
      </c>
      <c r="H342" s="1101"/>
      <c r="I342" s="964"/>
      <c r="J342" s="723"/>
      <c r="K342" s="723"/>
      <c r="L342" s="723"/>
      <c r="M342" s="723"/>
      <c r="N342" s="723"/>
      <c r="O342" s="723"/>
    </row>
    <row r="343" spans="2:15" ht="63.75" x14ac:dyDescent="0.2">
      <c r="B343" s="2051"/>
      <c r="C343" s="2053" t="s">
        <v>192</v>
      </c>
      <c r="D343" s="2057" t="s">
        <v>149</v>
      </c>
      <c r="E343" s="2044">
        <v>2</v>
      </c>
      <c r="F343" s="2248">
        <v>0</v>
      </c>
      <c r="G343" s="2097">
        <f t="shared" si="23"/>
        <v>0</v>
      </c>
      <c r="H343" s="1101"/>
      <c r="I343" s="964"/>
      <c r="J343" s="723"/>
      <c r="K343" s="723"/>
      <c r="L343" s="723"/>
      <c r="M343" s="723"/>
      <c r="N343" s="723"/>
      <c r="O343" s="723"/>
    </row>
    <row r="344" spans="2:15" x14ac:dyDescent="0.2">
      <c r="B344" s="2051"/>
      <c r="C344" s="2053" t="s">
        <v>193</v>
      </c>
      <c r="D344" s="2057" t="s">
        <v>149</v>
      </c>
      <c r="E344" s="2044">
        <v>2</v>
      </c>
      <c r="F344" s="2248">
        <v>0</v>
      </c>
      <c r="G344" s="2097">
        <f t="shared" si="23"/>
        <v>0</v>
      </c>
      <c r="H344" s="1101"/>
      <c r="I344" s="964"/>
      <c r="J344" s="723"/>
      <c r="K344" s="723"/>
      <c r="L344" s="723"/>
      <c r="M344" s="723"/>
      <c r="N344" s="723"/>
      <c r="O344" s="723"/>
    </row>
    <row r="345" spans="2:15" x14ac:dyDescent="0.2">
      <c r="B345" s="2051"/>
      <c r="C345" s="2053" t="s">
        <v>194</v>
      </c>
      <c r="D345" s="2057" t="s">
        <v>149</v>
      </c>
      <c r="E345" s="2044">
        <v>2</v>
      </c>
      <c r="F345" s="2248">
        <v>0</v>
      </c>
      <c r="G345" s="2097">
        <f t="shared" si="23"/>
        <v>0</v>
      </c>
      <c r="H345" s="1101"/>
      <c r="I345" s="964"/>
      <c r="J345" s="723"/>
      <c r="K345" s="723"/>
      <c r="L345" s="723"/>
      <c r="M345" s="723"/>
      <c r="N345" s="723"/>
      <c r="O345" s="723"/>
    </row>
    <row r="346" spans="2:15" ht="25.5" x14ac:dyDescent="0.2">
      <c r="B346" s="2051"/>
      <c r="C346" s="2053" t="s">
        <v>235</v>
      </c>
      <c r="D346" s="2057" t="s">
        <v>149</v>
      </c>
      <c r="E346" s="2044">
        <v>4</v>
      </c>
      <c r="F346" s="2248">
        <v>0</v>
      </c>
      <c r="G346" s="2097">
        <f t="shared" si="23"/>
        <v>0</v>
      </c>
      <c r="H346" s="1101"/>
      <c r="I346" s="964"/>
      <c r="J346" s="723"/>
      <c r="K346" s="723"/>
      <c r="L346" s="723"/>
      <c r="M346" s="723"/>
      <c r="N346" s="723"/>
      <c r="O346" s="723"/>
    </row>
    <row r="347" spans="2:15" ht="25.5" x14ac:dyDescent="0.2">
      <c r="B347" s="2051"/>
      <c r="C347" s="2053" t="s">
        <v>1307</v>
      </c>
      <c r="D347" s="2057" t="s">
        <v>149</v>
      </c>
      <c r="E347" s="2044">
        <v>4</v>
      </c>
      <c r="F347" s="2248">
        <v>0</v>
      </c>
      <c r="G347" s="2097">
        <f t="shared" si="23"/>
        <v>0</v>
      </c>
      <c r="H347" s="1101"/>
      <c r="I347" s="964"/>
      <c r="J347" s="723"/>
      <c r="K347" s="723"/>
      <c r="L347" s="723"/>
      <c r="M347" s="723"/>
      <c r="N347" s="723"/>
      <c r="O347" s="723"/>
    </row>
    <row r="348" spans="2:15" ht="25.5" x14ac:dyDescent="0.2">
      <c r="B348" s="2051"/>
      <c r="C348" s="2053" t="s">
        <v>197</v>
      </c>
      <c r="D348" s="2057" t="s">
        <v>149</v>
      </c>
      <c r="E348" s="2044">
        <v>2</v>
      </c>
      <c r="F348" s="2248">
        <v>0</v>
      </c>
      <c r="G348" s="2097">
        <f t="shared" si="23"/>
        <v>0</v>
      </c>
      <c r="H348" s="1101"/>
      <c r="I348" s="964"/>
      <c r="J348" s="723"/>
      <c r="K348" s="723"/>
      <c r="L348" s="723"/>
      <c r="M348" s="723"/>
      <c r="N348" s="723"/>
      <c r="O348" s="723"/>
    </row>
    <row r="349" spans="2:15" ht="25.5" x14ac:dyDescent="0.2">
      <c r="B349" s="2051"/>
      <c r="C349" s="2053" t="s">
        <v>1196</v>
      </c>
      <c r="D349" s="2057" t="s">
        <v>149</v>
      </c>
      <c r="E349" s="2044">
        <v>2</v>
      </c>
      <c r="F349" s="2248">
        <v>0</v>
      </c>
      <c r="G349" s="2097">
        <f t="shared" si="23"/>
        <v>0</v>
      </c>
      <c r="H349" s="1101"/>
      <c r="I349" s="964"/>
      <c r="J349" s="723"/>
      <c r="K349" s="723"/>
      <c r="L349" s="723"/>
      <c r="M349" s="723"/>
      <c r="N349" s="723"/>
      <c r="O349" s="723"/>
    </row>
    <row r="350" spans="2:15" ht="25.5" x14ac:dyDescent="0.2">
      <c r="B350" s="2051"/>
      <c r="C350" s="2048" t="s">
        <v>837</v>
      </c>
      <c r="D350" s="2253" t="s">
        <v>149</v>
      </c>
      <c r="E350" s="2254">
        <v>8</v>
      </c>
      <c r="F350" s="2248">
        <v>0</v>
      </c>
      <c r="G350" s="2097">
        <f t="shared" si="23"/>
        <v>0</v>
      </c>
      <c r="H350" s="1101"/>
      <c r="I350" s="964"/>
      <c r="J350" s="723"/>
      <c r="K350" s="723"/>
      <c r="L350" s="723"/>
      <c r="M350" s="723"/>
      <c r="N350" s="723"/>
      <c r="O350" s="723"/>
    </row>
    <row r="351" spans="2:15" x14ac:dyDescent="0.2">
      <c r="B351" s="950"/>
      <c r="C351" s="959"/>
      <c r="D351" s="1091"/>
      <c r="E351" s="1092"/>
      <c r="F351" s="1104"/>
      <c r="G351" s="1105"/>
      <c r="H351" s="1101"/>
      <c r="I351" s="964"/>
      <c r="J351" s="723"/>
      <c r="K351" s="723"/>
      <c r="L351" s="723"/>
      <c r="M351" s="723"/>
      <c r="N351" s="723"/>
      <c r="O351" s="723"/>
    </row>
    <row r="352" spans="2:15" x14ac:dyDescent="0.2">
      <c r="B352" s="2051" t="s">
        <v>1421</v>
      </c>
      <c r="C352" s="2059" t="s">
        <v>1422</v>
      </c>
      <c r="D352" s="2249"/>
      <c r="E352" s="2250"/>
      <c r="F352" s="2251"/>
      <c r="G352" s="2252"/>
      <c r="H352" s="1101"/>
      <c r="I352" s="964"/>
      <c r="J352" s="723"/>
      <c r="K352" s="723"/>
      <c r="L352" s="723"/>
      <c r="M352" s="723"/>
      <c r="N352" s="723"/>
      <c r="O352" s="723"/>
    </row>
    <row r="353" spans="2:15" ht="38.25" x14ac:dyDescent="0.2">
      <c r="B353" s="2051"/>
      <c r="C353" s="2053" t="s">
        <v>1388</v>
      </c>
      <c r="D353" s="2057" t="s">
        <v>149</v>
      </c>
      <c r="E353" s="2044">
        <v>1</v>
      </c>
      <c r="F353" s="2248">
        <v>0</v>
      </c>
      <c r="G353" s="2097">
        <f t="shared" ref="G353:G366" si="24">E353*F353</f>
        <v>0</v>
      </c>
      <c r="H353" s="1101"/>
      <c r="I353" s="964"/>
      <c r="J353" s="723"/>
      <c r="K353" s="723"/>
      <c r="L353" s="723"/>
      <c r="M353" s="723"/>
      <c r="N353" s="723"/>
      <c r="O353" s="723"/>
    </row>
    <row r="354" spans="2:15" ht="25.5" x14ac:dyDescent="0.2">
      <c r="B354" s="2051"/>
      <c r="C354" s="2048" t="s">
        <v>203</v>
      </c>
      <c r="D354" s="2057" t="s">
        <v>149</v>
      </c>
      <c r="E354" s="2044">
        <v>1</v>
      </c>
      <c r="F354" s="2248">
        <v>0</v>
      </c>
      <c r="G354" s="2097">
        <f t="shared" si="24"/>
        <v>0</v>
      </c>
      <c r="H354" s="1101"/>
      <c r="I354" s="964"/>
      <c r="J354" s="723"/>
      <c r="K354" s="723"/>
      <c r="L354" s="723"/>
      <c r="M354" s="723"/>
      <c r="N354" s="723"/>
      <c r="O354" s="723"/>
    </row>
    <row r="355" spans="2:15" ht="25.5" x14ac:dyDescent="0.2">
      <c r="B355" s="2051"/>
      <c r="C355" s="2050" t="s">
        <v>1196</v>
      </c>
      <c r="D355" s="2057" t="s">
        <v>149</v>
      </c>
      <c r="E355" s="2044">
        <v>1</v>
      </c>
      <c r="F355" s="2248">
        <v>0</v>
      </c>
      <c r="G355" s="2097">
        <f t="shared" si="24"/>
        <v>0</v>
      </c>
      <c r="H355" s="1101"/>
      <c r="I355" s="964"/>
      <c r="J355" s="723"/>
      <c r="K355" s="723"/>
      <c r="L355" s="723"/>
      <c r="M355" s="723"/>
      <c r="N355" s="723"/>
      <c r="O355" s="723"/>
    </row>
    <row r="356" spans="2:15" x14ac:dyDescent="0.2">
      <c r="B356" s="2051"/>
      <c r="C356" s="2056" t="s">
        <v>841</v>
      </c>
      <c r="D356" s="2057" t="s">
        <v>149</v>
      </c>
      <c r="E356" s="2044">
        <v>1</v>
      </c>
      <c r="F356" s="2248">
        <v>0</v>
      </c>
      <c r="G356" s="2097">
        <f t="shared" si="24"/>
        <v>0</v>
      </c>
      <c r="H356" s="1101"/>
      <c r="I356" s="964"/>
      <c r="J356" s="723"/>
      <c r="K356" s="723"/>
      <c r="L356" s="723"/>
      <c r="M356" s="723"/>
      <c r="N356" s="723"/>
      <c r="O356" s="723"/>
    </row>
    <row r="357" spans="2:15" ht="63.75" x14ac:dyDescent="0.2">
      <c r="B357" s="2051"/>
      <c r="C357" s="2053" t="s">
        <v>285</v>
      </c>
      <c r="D357" s="2057" t="s">
        <v>149</v>
      </c>
      <c r="E357" s="2044">
        <v>1</v>
      </c>
      <c r="F357" s="2248">
        <v>0</v>
      </c>
      <c r="G357" s="2097">
        <f t="shared" si="24"/>
        <v>0</v>
      </c>
      <c r="H357" s="1101"/>
      <c r="I357" s="964"/>
      <c r="J357" s="723"/>
      <c r="K357" s="723"/>
      <c r="L357" s="723"/>
      <c r="M357" s="723"/>
      <c r="N357" s="723"/>
      <c r="O357" s="723"/>
    </row>
    <row r="358" spans="2:15" x14ac:dyDescent="0.2">
      <c r="B358" s="2051"/>
      <c r="C358" s="2053" t="s">
        <v>193</v>
      </c>
      <c r="D358" s="2057" t="s">
        <v>149</v>
      </c>
      <c r="E358" s="2044">
        <v>1</v>
      </c>
      <c r="F358" s="2248">
        <v>0</v>
      </c>
      <c r="G358" s="2097">
        <f t="shared" si="24"/>
        <v>0</v>
      </c>
      <c r="H358" s="1101"/>
      <c r="I358" s="964"/>
      <c r="J358" s="723"/>
      <c r="K358" s="723"/>
      <c r="L358" s="723"/>
      <c r="M358" s="723"/>
      <c r="N358" s="723"/>
      <c r="O358" s="723"/>
    </row>
    <row r="359" spans="2:15" x14ac:dyDescent="0.2">
      <c r="B359" s="2051"/>
      <c r="C359" s="2053" t="s">
        <v>194</v>
      </c>
      <c r="D359" s="2057" t="s">
        <v>149</v>
      </c>
      <c r="E359" s="2044">
        <v>1</v>
      </c>
      <c r="F359" s="2248">
        <v>0</v>
      </c>
      <c r="G359" s="2097">
        <f t="shared" si="24"/>
        <v>0</v>
      </c>
      <c r="H359" s="1101"/>
      <c r="I359" s="964"/>
      <c r="J359" s="723"/>
      <c r="K359" s="723"/>
      <c r="L359" s="723"/>
      <c r="M359" s="723"/>
      <c r="N359" s="723"/>
      <c r="O359" s="723"/>
    </row>
    <row r="360" spans="2:15" ht="25.5" x14ac:dyDescent="0.2">
      <c r="B360" s="2051"/>
      <c r="C360" s="2048" t="s">
        <v>239</v>
      </c>
      <c r="D360" s="2057" t="s">
        <v>149</v>
      </c>
      <c r="E360" s="2044">
        <v>2</v>
      </c>
      <c r="F360" s="2248">
        <v>0</v>
      </c>
      <c r="G360" s="2097">
        <f t="shared" si="24"/>
        <v>0</v>
      </c>
      <c r="H360" s="1101"/>
      <c r="I360" s="964"/>
      <c r="J360" s="723"/>
      <c r="K360" s="723"/>
      <c r="L360" s="723"/>
      <c r="M360" s="723"/>
      <c r="N360" s="723"/>
      <c r="O360" s="723"/>
    </row>
    <row r="361" spans="2:15" ht="25.5" x14ac:dyDescent="0.2">
      <c r="B361" s="2051"/>
      <c r="C361" s="2048" t="s">
        <v>1267</v>
      </c>
      <c r="D361" s="2057" t="s">
        <v>149</v>
      </c>
      <c r="E361" s="2044">
        <v>2</v>
      </c>
      <c r="F361" s="2248">
        <v>0</v>
      </c>
      <c r="G361" s="2097">
        <f t="shared" si="24"/>
        <v>0</v>
      </c>
      <c r="H361" s="1101"/>
      <c r="I361" s="964"/>
      <c r="J361" s="723"/>
      <c r="K361" s="723"/>
      <c r="L361" s="723"/>
      <c r="M361" s="723"/>
      <c r="N361" s="723"/>
      <c r="O361" s="723"/>
    </row>
    <row r="362" spans="2:15" x14ac:dyDescent="0.2">
      <c r="B362" s="2051"/>
      <c r="C362" s="2048" t="s">
        <v>1268</v>
      </c>
      <c r="D362" s="2057" t="s">
        <v>149</v>
      </c>
      <c r="E362" s="2044">
        <v>2</v>
      </c>
      <c r="F362" s="2248">
        <v>0</v>
      </c>
      <c r="G362" s="2097">
        <f t="shared" si="24"/>
        <v>0</v>
      </c>
      <c r="H362" s="1101"/>
      <c r="I362" s="964"/>
      <c r="J362" s="723"/>
      <c r="K362" s="723"/>
      <c r="L362" s="723"/>
      <c r="M362" s="723"/>
      <c r="N362" s="723"/>
      <c r="O362" s="723"/>
    </row>
    <row r="363" spans="2:15" ht="25.5" x14ac:dyDescent="0.2">
      <c r="B363" s="2051"/>
      <c r="C363" s="2048" t="s">
        <v>1269</v>
      </c>
      <c r="D363" s="2057" t="s">
        <v>149</v>
      </c>
      <c r="E363" s="2044">
        <v>2</v>
      </c>
      <c r="F363" s="2248">
        <v>0</v>
      </c>
      <c r="G363" s="2097">
        <f t="shared" si="24"/>
        <v>0</v>
      </c>
      <c r="H363" s="1101"/>
      <c r="I363" s="964"/>
      <c r="J363" s="723"/>
      <c r="K363" s="723"/>
      <c r="L363" s="723"/>
      <c r="M363" s="723"/>
      <c r="N363" s="723"/>
      <c r="O363" s="723"/>
    </row>
    <row r="364" spans="2:15" ht="25.5" x14ac:dyDescent="0.2">
      <c r="B364" s="2051"/>
      <c r="C364" s="2048" t="s">
        <v>197</v>
      </c>
      <c r="D364" s="2057" t="s">
        <v>149</v>
      </c>
      <c r="E364" s="2044">
        <v>1</v>
      </c>
      <c r="F364" s="2248">
        <v>0</v>
      </c>
      <c r="G364" s="2097">
        <f t="shared" si="24"/>
        <v>0</v>
      </c>
      <c r="H364" s="1101"/>
      <c r="I364" s="964"/>
      <c r="J364" s="723"/>
      <c r="K364" s="723"/>
      <c r="L364" s="723"/>
      <c r="M364" s="723"/>
      <c r="N364" s="723"/>
      <c r="O364" s="723"/>
    </row>
    <row r="365" spans="2:15" ht="25.5" x14ac:dyDescent="0.2">
      <c r="B365" s="2051"/>
      <c r="C365" s="2050" t="s">
        <v>1196</v>
      </c>
      <c r="D365" s="2057" t="s">
        <v>149</v>
      </c>
      <c r="E365" s="2044">
        <v>1</v>
      </c>
      <c r="F365" s="2248">
        <v>0</v>
      </c>
      <c r="G365" s="2097">
        <f t="shared" si="24"/>
        <v>0</v>
      </c>
      <c r="H365" s="1101"/>
      <c r="I365" s="964"/>
      <c r="J365" s="723"/>
      <c r="K365" s="723"/>
      <c r="L365" s="723"/>
      <c r="M365" s="723"/>
      <c r="N365" s="723"/>
      <c r="O365" s="723"/>
    </row>
    <row r="366" spans="2:15" ht="25.5" x14ac:dyDescent="0.2">
      <c r="B366" s="2051"/>
      <c r="C366" s="2048" t="s">
        <v>186</v>
      </c>
      <c r="D366" s="2253" t="s">
        <v>149</v>
      </c>
      <c r="E366" s="2254">
        <v>4</v>
      </c>
      <c r="F366" s="2248">
        <v>0</v>
      </c>
      <c r="G366" s="2097">
        <f t="shared" si="24"/>
        <v>0</v>
      </c>
      <c r="H366" s="1101"/>
      <c r="I366" s="964"/>
      <c r="J366" s="723"/>
      <c r="K366" s="723"/>
      <c r="L366" s="723"/>
      <c r="M366" s="723"/>
      <c r="N366" s="723"/>
      <c r="O366" s="723"/>
    </row>
    <row r="367" spans="2:15" x14ac:dyDescent="0.2">
      <c r="B367" s="950"/>
      <c r="C367" s="959"/>
      <c r="D367" s="1091"/>
      <c r="E367" s="1092"/>
      <c r="F367" s="1104"/>
      <c r="G367" s="1105"/>
      <c r="H367" s="1101"/>
      <c r="I367" s="964"/>
      <c r="J367" s="723"/>
      <c r="K367" s="723"/>
      <c r="L367" s="723"/>
      <c r="M367" s="723"/>
      <c r="N367" s="723"/>
      <c r="O367" s="723"/>
    </row>
    <row r="368" spans="2:15" s="723" customFormat="1" x14ac:dyDescent="0.2">
      <c r="B368" s="950" t="s">
        <v>1423</v>
      </c>
      <c r="C368" s="963" t="s">
        <v>1271</v>
      </c>
      <c r="D368" s="951"/>
      <c r="E368" s="2579"/>
      <c r="F368" s="2452"/>
      <c r="G368" s="2452"/>
      <c r="H368" s="953"/>
      <c r="I368" s="964"/>
      <c r="J368" s="748"/>
      <c r="K368" s="748"/>
    </row>
    <row r="369" spans="2:11" s="723" customFormat="1" x14ac:dyDescent="0.2">
      <c r="B369" s="950"/>
      <c r="C369" s="1106" t="s">
        <v>182</v>
      </c>
      <c r="D369" s="960"/>
      <c r="E369" s="913"/>
      <c r="F369" s="2452"/>
      <c r="G369" s="2452"/>
      <c r="H369" s="953"/>
      <c r="I369" s="964"/>
      <c r="J369" s="748"/>
      <c r="K369" s="748"/>
    </row>
    <row r="370" spans="2:11" s="723" customFormat="1" ht="25.5" x14ac:dyDescent="0.2">
      <c r="B370" s="950"/>
      <c r="C370" s="962" t="s">
        <v>183</v>
      </c>
      <c r="D370" s="966" t="s">
        <v>149</v>
      </c>
      <c r="E370" s="913">
        <v>25</v>
      </c>
      <c r="F370" s="914">
        <v>0</v>
      </c>
      <c r="G370" s="915">
        <f>E370*F370</f>
        <v>0</v>
      </c>
      <c r="H370" s="953"/>
      <c r="I370" s="964"/>
      <c r="J370" s="748"/>
      <c r="K370" s="748"/>
    </row>
    <row r="371" spans="2:11" s="723" customFormat="1" ht="25.5" x14ac:dyDescent="0.2">
      <c r="B371" s="950"/>
      <c r="C371" s="962" t="s">
        <v>184</v>
      </c>
      <c r="D371" s="966" t="s">
        <v>149</v>
      </c>
      <c r="E371" s="913">
        <v>25</v>
      </c>
      <c r="F371" s="914">
        <v>0</v>
      </c>
      <c r="G371" s="915">
        <f>E371*F371</f>
        <v>0</v>
      </c>
      <c r="H371" s="953"/>
      <c r="I371" s="964"/>
      <c r="J371" s="748"/>
      <c r="K371" s="748"/>
    </row>
    <row r="372" spans="2:11" s="723" customFormat="1" x14ac:dyDescent="0.2">
      <c r="B372" s="950"/>
      <c r="C372" s="1106" t="s">
        <v>836</v>
      </c>
      <c r="D372" s="960"/>
      <c r="E372" s="913"/>
      <c r="F372" s="2452"/>
      <c r="G372" s="2452"/>
      <c r="H372" s="953"/>
      <c r="I372" s="964"/>
      <c r="J372" s="748"/>
      <c r="K372" s="748"/>
    </row>
    <row r="373" spans="2:11" s="723" customFormat="1" ht="25.5" x14ac:dyDescent="0.2">
      <c r="B373" s="950"/>
      <c r="C373" s="962" t="s">
        <v>837</v>
      </c>
      <c r="D373" s="966" t="s">
        <v>149</v>
      </c>
      <c r="E373" s="913">
        <v>30</v>
      </c>
      <c r="F373" s="914">
        <v>0</v>
      </c>
      <c r="G373" s="915">
        <f>E373*F373</f>
        <v>0</v>
      </c>
      <c r="H373" s="953"/>
      <c r="I373" s="964"/>
      <c r="J373" s="748"/>
      <c r="K373" s="748"/>
    </row>
    <row r="374" spans="2:11" s="723" customFormat="1" ht="25.5" x14ac:dyDescent="0.2">
      <c r="B374" s="950"/>
      <c r="C374" s="962" t="s">
        <v>900</v>
      </c>
      <c r="D374" s="966" t="s">
        <v>149</v>
      </c>
      <c r="E374" s="913">
        <v>30</v>
      </c>
      <c r="F374" s="914">
        <v>0</v>
      </c>
      <c r="G374" s="915">
        <f>E374*F374</f>
        <v>0</v>
      </c>
      <c r="H374" s="953"/>
      <c r="I374" s="964"/>
      <c r="J374" s="748"/>
      <c r="K374" s="748"/>
    </row>
    <row r="375" spans="2:11" s="723" customFormat="1" x14ac:dyDescent="0.2">
      <c r="B375" s="950"/>
      <c r="C375" s="1106" t="s">
        <v>1424</v>
      </c>
      <c r="D375" s="960"/>
      <c r="E375" s="913"/>
      <c r="F375" s="2452"/>
      <c r="G375" s="2452"/>
      <c r="H375" s="953"/>
      <c r="I375" s="964"/>
      <c r="J375" s="748"/>
      <c r="K375" s="748"/>
    </row>
    <row r="376" spans="2:11" s="723" customFormat="1" ht="25.5" x14ac:dyDescent="0.2">
      <c r="B376" s="950"/>
      <c r="C376" s="962" t="s">
        <v>1089</v>
      </c>
      <c r="D376" s="966" t="s">
        <v>149</v>
      </c>
      <c r="E376" s="913">
        <v>3</v>
      </c>
      <c r="F376" s="914">
        <v>0</v>
      </c>
      <c r="G376" s="915">
        <f>E376*F376</f>
        <v>0</v>
      </c>
      <c r="H376" s="953"/>
      <c r="I376" s="964"/>
      <c r="J376" s="748"/>
      <c r="K376" s="748"/>
    </row>
    <row r="377" spans="2:11" s="723" customFormat="1" ht="25.5" x14ac:dyDescent="0.2">
      <c r="B377" s="950"/>
      <c r="C377" s="962" t="s">
        <v>1425</v>
      </c>
      <c r="D377" s="966" t="s">
        <v>149</v>
      </c>
      <c r="E377" s="913">
        <v>3</v>
      </c>
      <c r="F377" s="914">
        <v>0</v>
      </c>
      <c r="G377" s="915">
        <f>E377*F377</f>
        <v>0</v>
      </c>
      <c r="H377" s="953"/>
      <c r="I377" s="964"/>
      <c r="J377" s="748"/>
      <c r="K377" s="748"/>
    </row>
    <row r="378" spans="2:11" s="723" customFormat="1" x14ac:dyDescent="0.2">
      <c r="B378" s="950"/>
      <c r="C378" s="1106" t="s">
        <v>185</v>
      </c>
      <c r="D378" s="960"/>
      <c r="E378" s="913"/>
      <c r="F378" s="2452"/>
      <c r="G378" s="2452"/>
      <c r="H378" s="953"/>
      <c r="I378" s="964"/>
      <c r="J378" s="748"/>
      <c r="K378" s="748"/>
    </row>
    <row r="379" spans="2:11" s="723" customFormat="1" ht="25.5" x14ac:dyDescent="0.2">
      <c r="B379" s="950"/>
      <c r="C379" s="962" t="s">
        <v>186</v>
      </c>
      <c r="D379" s="966" t="s">
        <v>149</v>
      </c>
      <c r="E379" s="913">
        <v>35</v>
      </c>
      <c r="F379" s="914">
        <v>0</v>
      </c>
      <c r="G379" s="915">
        <f>E379*F379</f>
        <v>0</v>
      </c>
      <c r="H379" s="953"/>
      <c r="I379" s="964"/>
      <c r="J379" s="748"/>
      <c r="K379" s="748"/>
    </row>
    <row r="380" spans="2:11" s="723" customFormat="1" ht="25.5" x14ac:dyDescent="0.2">
      <c r="B380" s="950"/>
      <c r="C380" s="962" t="s">
        <v>187</v>
      </c>
      <c r="D380" s="966" t="s">
        <v>149</v>
      </c>
      <c r="E380" s="913">
        <v>35</v>
      </c>
      <c r="F380" s="914">
        <v>0</v>
      </c>
      <c r="G380" s="915">
        <f>E380*F380</f>
        <v>0</v>
      </c>
      <c r="H380" s="953"/>
      <c r="I380" s="964"/>
      <c r="J380" s="748"/>
      <c r="K380" s="748"/>
    </row>
    <row r="381" spans="2:11" s="723" customFormat="1" x14ac:dyDescent="0.2">
      <c r="B381" s="950"/>
      <c r="C381" s="963"/>
      <c r="D381" s="951"/>
      <c r="E381" s="2579"/>
      <c r="F381" s="2452"/>
      <c r="G381" s="2452"/>
      <c r="H381" s="953"/>
      <c r="I381" s="964"/>
      <c r="J381" s="748"/>
      <c r="K381" s="748"/>
    </row>
    <row r="382" spans="2:11" s="723" customFormat="1" x14ac:dyDescent="0.2">
      <c r="B382" s="950" t="s">
        <v>1426</v>
      </c>
      <c r="C382" s="967" t="s">
        <v>244</v>
      </c>
      <c r="D382" s="967"/>
      <c r="E382" s="2532"/>
      <c r="F382" s="2453"/>
      <c r="G382" s="2453"/>
      <c r="H382" s="953"/>
      <c r="I382" s="965"/>
      <c r="J382" s="748"/>
      <c r="K382" s="748"/>
    </row>
    <row r="383" spans="2:11" s="723" customFormat="1" ht="25.5" x14ac:dyDescent="0.2">
      <c r="B383" s="950"/>
      <c r="C383" s="2255" t="s">
        <v>249</v>
      </c>
      <c r="D383" s="960"/>
      <c r="E383" s="961"/>
      <c r="F383" s="968"/>
      <c r="G383" s="969"/>
      <c r="H383" s="953"/>
      <c r="I383" s="965"/>
      <c r="J383" s="748"/>
      <c r="K383" s="748"/>
    </row>
    <row r="384" spans="2:11" s="723" customFormat="1" ht="51" x14ac:dyDescent="0.2">
      <c r="B384" s="970"/>
      <c r="C384" s="959" t="s">
        <v>1427</v>
      </c>
      <c r="D384" s="960" t="s">
        <v>149</v>
      </c>
      <c r="E384" s="961">
        <v>64</v>
      </c>
      <c r="F384" s="914">
        <v>0</v>
      </c>
      <c r="G384" s="915">
        <f>E384*F384</f>
        <v>0</v>
      </c>
      <c r="H384" s="953"/>
      <c r="I384" s="965"/>
      <c r="J384" s="748"/>
      <c r="K384" s="748"/>
    </row>
    <row r="385" spans="2:11" s="723" customFormat="1" ht="25.5" x14ac:dyDescent="0.2">
      <c r="B385" s="950"/>
      <c r="C385" s="962" t="s">
        <v>247</v>
      </c>
      <c r="D385" s="960" t="s">
        <v>149</v>
      </c>
      <c r="E385" s="961">
        <v>64</v>
      </c>
      <c r="F385" s="914">
        <v>0</v>
      </c>
      <c r="G385" s="915">
        <f>E385*F385</f>
        <v>0</v>
      </c>
      <c r="H385" s="953"/>
      <c r="I385" s="965"/>
      <c r="J385" s="748"/>
      <c r="K385" s="748"/>
    </row>
    <row r="386" spans="2:11" s="723" customFormat="1" ht="25.5" x14ac:dyDescent="0.2">
      <c r="B386" s="950"/>
      <c r="C386" s="869" t="s">
        <v>1196</v>
      </c>
      <c r="D386" s="960" t="s">
        <v>149</v>
      </c>
      <c r="E386" s="961">
        <v>64</v>
      </c>
      <c r="F386" s="914">
        <v>0</v>
      </c>
      <c r="G386" s="915">
        <f>E386*F386</f>
        <v>0</v>
      </c>
      <c r="H386" s="953"/>
      <c r="I386" s="965"/>
      <c r="J386" s="748"/>
      <c r="K386" s="748"/>
    </row>
    <row r="387" spans="2:11" s="723" customFormat="1" ht="25.5" x14ac:dyDescent="0.2">
      <c r="B387" s="950"/>
      <c r="C387" s="2255" t="s">
        <v>849</v>
      </c>
      <c r="D387" s="960"/>
      <c r="E387" s="961"/>
      <c r="F387" s="971"/>
      <c r="G387" s="915"/>
      <c r="H387" s="953"/>
      <c r="I387" s="965"/>
      <c r="J387" s="748"/>
      <c r="K387" s="748"/>
    </row>
    <row r="388" spans="2:11" s="723" customFormat="1" ht="51" x14ac:dyDescent="0.2">
      <c r="B388" s="950"/>
      <c r="C388" s="959" t="s">
        <v>1428</v>
      </c>
      <c r="D388" s="960" t="s">
        <v>149</v>
      </c>
      <c r="E388" s="961">
        <v>166</v>
      </c>
      <c r="F388" s="914">
        <v>0</v>
      </c>
      <c r="G388" s="915">
        <f>E388*F388</f>
        <v>0</v>
      </c>
      <c r="H388" s="953"/>
      <c r="I388" s="965"/>
      <c r="J388" s="748"/>
      <c r="K388" s="748"/>
    </row>
    <row r="389" spans="2:11" s="723" customFormat="1" ht="25.5" x14ac:dyDescent="0.2">
      <c r="B389" s="950"/>
      <c r="C389" s="962" t="s">
        <v>247</v>
      </c>
      <c r="D389" s="960" t="s">
        <v>149</v>
      </c>
      <c r="E389" s="961">
        <v>166</v>
      </c>
      <c r="F389" s="914">
        <v>0</v>
      </c>
      <c r="G389" s="915">
        <f>E389*F389</f>
        <v>0</v>
      </c>
      <c r="H389" s="953"/>
      <c r="I389" s="965"/>
      <c r="J389" s="748"/>
      <c r="K389" s="748"/>
    </row>
    <row r="390" spans="2:11" s="723" customFormat="1" ht="25.5" x14ac:dyDescent="0.2">
      <c r="B390" s="950"/>
      <c r="C390" s="869" t="s">
        <v>1196</v>
      </c>
      <c r="D390" s="960" t="s">
        <v>149</v>
      </c>
      <c r="E390" s="961">
        <v>166</v>
      </c>
      <c r="F390" s="914">
        <v>0</v>
      </c>
      <c r="G390" s="915">
        <f>E390*F390</f>
        <v>0</v>
      </c>
      <c r="H390" s="953"/>
      <c r="I390" s="965"/>
      <c r="J390" s="748"/>
      <c r="K390" s="748"/>
    </row>
    <row r="391" spans="2:11" s="723" customFormat="1" ht="21" customHeight="1" x14ac:dyDescent="0.2">
      <c r="B391" s="950"/>
      <c r="C391" s="2255" t="s">
        <v>1429</v>
      </c>
      <c r="D391" s="960"/>
      <c r="E391" s="961"/>
      <c r="F391" s="971"/>
      <c r="G391" s="915"/>
      <c r="H391" s="953"/>
      <c r="I391" s="965"/>
      <c r="J391" s="748"/>
      <c r="K391" s="748"/>
    </row>
    <row r="392" spans="2:11" s="723" customFormat="1" ht="51" x14ac:dyDescent="0.2">
      <c r="B392" s="950"/>
      <c r="C392" s="959" t="s">
        <v>1430</v>
      </c>
      <c r="D392" s="960" t="s">
        <v>149</v>
      </c>
      <c r="E392" s="961">
        <v>10</v>
      </c>
      <c r="F392" s="914">
        <v>0</v>
      </c>
      <c r="G392" s="915">
        <f>E392*F392</f>
        <v>0</v>
      </c>
      <c r="H392" s="953"/>
      <c r="I392" s="965"/>
      <c r="J392" s="748"/>
      <c r="K392" s="748"/>
    </row>
    <row r="393" spans="2:11" s="723" customFormat="1" ht="25.5" x14ac:dyDescent="0.2">
      <c r="B393" s="950"/>
      <c r="C393" s="962" t="s">
        <v>247</v>
      </c>
      <c r="D393" s="960" t="s">
        <v>149</v>
      </c>
      <c r="E393" s="961">
        <v>10</v>
      </c>
      <c r="F393" s="914">
        <v>0</v>
      </c>
      <c r="G393" s="915">
        <f>E393*F393</f>
        <v>0</v>
      </c>
      <c r="H393" s="953"/>
      <c r="I393" s="965"/>
      <c r="J393" s="748"/>
      <c r="K393" s="748"/>
    </row>
    <row r="394" spans="2:11" s="723" customFormat="1" ht="25.5" x14ac:dyDescent="0.2">
      <c r="B394" s="950"/>
      <c r="C394" s="869" t="s">
        <v>1196</v>
      </c>
      <c r="D394" s="960" t="s">
        <v>149</v>
      </c>
      <c r="E394" s="961">
        <v>10</v>
      </c>
      <c r="F394" s="914">
        <v>0</v>
      </c>
      <c r="G394" s="915">
        <f>E394*F394</f>
        <v>0</v>
      </c>
      <c r="H394" s="953"/>
      <c r="I394" s="965"/>
      <c r="J394" s="748"/>
      <c r="K394" s="748"/>
    </row>
    <row r="395" spans="2:11" s="723" customFormat="1" ht="18.75" customHeight="1" x14ac:dyDescent="0.2">
      <c r="B395" s="950"/>
      <c r="C395" s="2255" t="s">
        <v>828</v>
      </c>
      <c r="D395" s="960"/>
      <c r="E395" s="961"/>
      <c r="F395" s="971"/>
      <c r="G395" s="915"/>
      <c r="H395" s="953"/>
      <c r="I395" s="965"/>
      <c r="J395" s="748"/>
      <c r="K395" s="748"/>
    </row>
    <row r="396" spans="2:11" s="723" customFormat="1" ht="51" x14ac:dyDescent="0.2">
      <c r="B396" s="950"/>
      <c r="C396" s="959" t="s">
        <v>1276</v>
      </c>
      <c r="D396" s="960" t="s">
        <v>149</v>
      </c>
      <c r="E396" s="961">
        <v>135</v>
      </c>
      <c r="F396" s="914">
        <v>0</v>
      </c>
      <c r="G396" s="915">
        <f>E396*F396</f>
        <v>0</v>
      </c>
      <c r="H396" s="953"/>
      <c r="I396" s="965"/>
      <c r="J396" s="748"/>
      <c r="K396" s="748"/>
    </row>
    <row r="397" spans="2:11" s="723" customFormat="1" ht="25.5" x14ac:dyDescent="0.2">
      <c r="B397" s="950"/>
      <c r="C397" s="962" t="s">
        <v>247</v>
      </c>
      <c r="D397" s="960" t="s">
        <v>149</v>
      </c>
      <c r="E397" s="961">
        <v>135</v>
      </c>
      <c r="F397" s="914">
        <v>0</v>
      </c>
      <c r="G397" s="915">
        <f>E397*F397</f>
        <v>0</v>
      </c>
      <c r="H397" s="953"/>
      <c r="I397" s="965"/>
      <c r="J397" s="748"/>
      <c r="K397" s="748"/>
    </row>
    <row r="398" spans="2:11" s="723" customFormat="1" ht="25.5" x14ac:dyDescent="0.2">
      <c r="B398" s="950"/>
      <c r="C398" s="869" t="s">
        <v>1196</v>
      </c>
      <c r="D398" s="960" t="s">
        <v>149</v>
      </c>
      <c r="E398" s="961">
        <v>135</v>
      </c>
      <c r="F398" s="914">
        <v>0</v>
      </c>
      <c r="G398" s="915">
        <f>E398*F398</f>
        <v>0</v>
      </c>
      <c r="H398" s="953"/>
      <c r="I398" s="965"/>
      <c r="J398" s="748"/>
      <c r="K398" s="748"/>
    </row>
    <row r="399" spans="2:11" s="723" customFormat="1" x14ac:dyDescent="0.2">
      <c r="B399" s="950"/>
      <c r="C399" s="955"/>
      <c r="D399" s="956"/>
      <c r="E399" s="2532"/>
      <c r="F399" s="2453"/>
      <c r="G399" s="2453"/>
      <c r="H399" s="953"/>
      <c r="I399" s="965"/>
      <c r="J399" s="748"/>
      <c r="K399" s="748"/>
    </row>
    <row r="400" spans="2:11" s="723" customFormat="1" x14ac:dyDescent="0.2">
      <c r="B400" s="970" t="s">
        <v>199</v>
      </c>
      <c r="C400" s="972" t="s">
        <v>300</v>
      </c>
      <c r="D400" s="973"/>
      <c r="E400" s="974"/>
      <c r="F400" s="975"/>
      <c r="G400" s="976"/>
      <c r="H400" s="953"/>
      <c r="I400" s="965"/>
      <c r="J400" s="748"/>
      <c r="K400" s="748"/>
    </row>
    <row r="401" spans="2:11" s="723" customFormat="1" ht="102" x14ac:dyDescent="0.2">
      <c r="B401" s="977"/>
      <c r="C401" s="954" t="s">
        <v>301</v>
      </c>
      <c r="D401" s="960" t="s">
        <v>149</v>
      </c>
      <c r="E401" s="961">
        <v>380</v>
      </c>
      <c r="F401" s="914">
        <v>0</v>
      </c>
      <c r="G401" s="915">
        <f>E401*F401</f>
        <v>0</v>
      </c>
      <c r="H401" s="953"/>
      <c r="I401" s="965"/>
      <c r="J401" s="748"/>
      <c r="K401" s="748"/>
    </row>
    <row r="402" spans="2:11" s="723" customFormat="1" x14ac:dyDescent="0.2">
      <c r="B402" s="978"/>
      <c r="C402" s="979"/>
      <c r="D402" s="980"/>
      <c r="E402" s="2543"/>
      <c r="F402" s="2458"/>
      <c r="G402" s="2544"/>
      <c r="H402" s="744"/>
      <c r="J402" s="748"/>
    </row>
    <row r="403" spans="2:11" s="723" customFormat="1" x14ac:dyDescent="0.2">
      <c r="B403" s="984" t="s">
        <v>17</v>
      </c>
      <c r="C403" s="985" t="s">
        <v>302</v>
      </c>
      <c r="D403" s="986"/>
      <c r="E403" s="987"/>
      <c r="F403" s="988"/>
      <c r="G403" s="876">
        <f>SUM(G113:G401)</f>
        <v>0</v>
      </c>
      <c r="H403" s="744"/>
      <c r="J403" s="748"/>
    </row>
    <row r="404" spans="2:11" s="723" customFormat="1" x14ac:dyDescent="0.2">
      <c r="B404" s="908"/>
      <c r="C404" s="989"/>
      <c r="D404" s="908"/>
      <c r="E404" s="2560"/>
      <c r="F404" s="1218"/>
      <c r="G404" s="1179"/>
      <c r="H404" s="744"/>
      <c r="J404" s="748"/>
    </row>
    <row r="405" spans="2:11" s="723" customFormat="1" x14ac:dyDescent="0.2">
      <c r="B405" s="739"/>
      <c r="C405" s="740"/>
      <c r="D405" s="741"/>
      <c r="E405" s="2560"/>
      <c r="F405" s="1218"/>
      <c r="G405" s="1179"/>
      <c r="H405" s="991"/>
      <c r="J405" s="748"/>
    </row>
    <row r="406" spans="2:11" s="723" customFormat="1" x14ac:dyDescent="0.2">
      <c r="B406" s="739"/>
      <c r="C406" s="740"/>
      <c r="D406" s="741"/>
      <c r="E406" s="2560"/>
      <c r="F406" s="1218"/>
      <c r="G406" s="1179"/>
      <c r="H406" s="991"/>
      <c r="J406" s="748"/>
    </row>
    <row r="407" spans="2:11" s="723" customFormat="1" x14ac:dyDescent="0.2">
      <c r="B407" s="739"/>
      <c r="C407" s="740"/>
      <c r="D407" s="741"/>
      <c r="E407" s="2560"/>
      <c r="F407" s="1218"/>
      <c r="G407" s="1179"/>
      <c r="H407" s="744"/>
      <c r="J407" s="748"/>
    </row>
    <row r="408" spans="2:11" s="723" customFormat="1" x14ac:dyDescent="0.2">
      <c r="B408" s="739"/>
      <c r="C408" s="740"/>
      <c r="D408" s="741"/>
      <c r="E408" s="2560"/>
      <c r="F408" s="1218"/>
      <c r="G408" s="1179"/>
      <c r="H408" s="744"/>
      <c r="J408" s="748"/>
    </row>
    <row r="409" spans="2:11" s="723" customFormat="1" x14ac:dyDescent="0.2">
      <c r="B409" s="739"/>
      <c r="C409" s="740"/>
      <c r="D409" s="741"/>
      <c r="E409" s="2560"/>
      <c r="F409" s="1218"/>
      <c r="G409" s="1179"/>
      <c r="H409" s="744"/>
      <c r="J409" s="748"/>
    </row>
    <row r="410" spans="2:11" s="723" customFormat="1" ht="15" customHeight="1" x14ac:dyDescent="0.2">
      <c r="B410" s="739"/>
      <c r="C410" s="740"/>
      <c r="D410" s="741"/>
      <c r="E410" s="2560"/>
      <c r="F410" s="1218"/>
      <c r="G410" s="1179"/>
      <c r="H410" s="744"/>
      <c r="J410" s="748"/>
    </row>
    <row r="411" spans="2:11" s="723" customFormat="1" x14ac:dyDescent="0.2">
      <c r="B411" s="739"/>
      <c r="C411" s="740"/>
      <c r="D411" s="741"/>
      <c r="E411" s="2560"/>
      <c r="F411" s="1218"/>
      <c r="G411" s="1179"/>
      <c r="H411" s="744"/>
      <c r="J411" s="748"/>
    </row>
    <row r="412" spans="2:11" s="723" customFormat="1" ht="16.5" customHeight="1" x14ac:dyDescent="0.2">
      <c r="B412" s="739"/>
      <c r="C412" s="740"/>
      <c r="D412" s="741"/>
      <c r="E412" s="2560"/>
      <c r="F412" s="1218"/>
      <c r="G412" s="1179"/>
      <c r="H412" s="744"/>
    </row>
    <row r="413" spans="2:11" s="723" customFormat="1" x14ac:dyDescent="0.2">
      <c r="B413" s="739"/>
      <c r="C413" s="740"/>
      <c r="D413" s="741"/>
      <c r="E413" s="2560"/>
      <c r="F413" s="1218"/>
      <c r="G413" s="1179"/>
      <c r="H413" s="744"/>
    </row>
    <row r="414" spans="2:11" s="723" customFormat="1" x14ac:dyDescent="0.2">
      <c r="B414" s="739"/>
      <c r="C414" s="740"/>
      <c r="D414" s="741"/>
      <c r="E414" s="2560"/>
      <c r="F414" s="1218"/>
      <c r="G414" s="1179"/>
      <c r="H414" s="744"/>
    </row>
    <row r="415" spans="2:11" s="723" customFormat="1" x14ac:dyDescent="0.2">
      <c r="B415" s="739"/>
      <c r="C415" s="740"/>
      <c r="D415" s="741"/>
      <c r="E415" s="2560"/>
      <c r="F415" s="1218"/>
      <c r="G415" s="1179"/>
      <c r="H415" s="744"/>
    </row>
    <row r="416" spans="2:11" s="723" customFormat="1" x14ac:dyDescent="0.2">
      <c r="B416" s="739"/>
      <c r="C416" s="740"/>
      <c r="D416" s="741"/>
      <c r="E416" s="2560"/>
      <c r="F416" s="1218"/>
      <c r="G416" s="1179"/>
      <c r="H416" s="744"/>
      <c r="J416" s="748"/>
    </row>
    <row r="417" spans="2:10" s="723" customFormat="1" x14ac:dyDescent="0.2">
      <c r="B417" s="739"/>
      <c r="C417" s="740"/>
      <c r="D417" s="741"/>
      <c r="E417" s="2560"/>
      <c r="F417" s="1218"/>
      <c r="G417" s="1179"/>
      <c r="H417" s="744"/>
      <c r="J417" s="748"/>
    </row>
    <row r="418" spans="2:10" s="723" customFormat="1" x14ac:dyDescent="0.2">
      <c r="B418" s="739"/>
      <c r="C418" s="740"/>
      <c r="D418" s="741"/>
      <c r="E418" s="2560"/>
      <c r="F418" s="1218"/>
      <c r="G418" s="1179"/>
      <c r="H418" s="744"/>
      <c r="J418" s="748"/>
    </row>
    <row r="419" spans="2:10" s="723" customFormat="1" x14ac:dyDescent="0.2">
      <c r="B419" s="739"/>
      <c r="C419" s="740"/>
      <c r="D419" s="741"/>
      <c r="E419" s="2560"/>
      <c r="F419" s="1218"/>
      <c r="G419" s="1179"/>
      <c r="H419" s="744"/>
      <c r="J419" s="748"/>
    </row>
    <row r="420" spans="2:10" s="723" customFormat="1" x14ac:dyDescent="0.2">
      <c r="B420" s="739"/>
      <c r="C420" s="740"/>
      <c r="D420" s="741"/>
      <c r="E420" s="2560"/>
      <c r="F420" s="1218"/>
      <c r="G420" s="1179"/>
      <c r="H420" s="744"/>
      <c r="J420" s="748"/>
    </row>
    <row r="421" spans="2:10" s="723" customFormat="1" x14ac:dyDescent="0.2">
      <c r="B421" s="739"/>
      <c r="C421" s="740"/>
      <c r="D421" s="741"/>
      <c r="E421" s="2560"/>
      <c r="F421" s="1218"/>
      <c r="G421" s="1179"/>
      <c r="H421" s="744"/>
      <c r="J421" s="748"/>
    </row>
    <row r="422" spans="2:10" s="723" customFormat="1" x14ac:dyDescent="0.2">
      <c r="B422" s="739"/>
      <c r="C422" s="740"/>
      <c r="D422" s="741"/>
      <c r="E422" s="2560"/>
      <c r="F422" s="1218"/>
      <c r="G422" s="1179"/>
      <c r="H422" s="744"/>
    </row>
    <row r="423" spans="2:10" s="723" customFormat="1" x14ac:dyDescent="0.2">
      <c r="B423" s="739"/>
      <c r="C423" s="740"/>
      <c r="D423" s="741"/>
      <c r="E423" s="2560"/>
      <c r="F423" s="1218"/>
      <c r="G423" s="1179"/>
      <c r="H423" s="744"/>
    </row>
    <row r="424" spans="2:10" s="723" customFormat="1" x14ac:dyDescent="0.2">
      <c r="B424" s="739"/>
      <c r="C424" s="740"/>
      <c r="D424" s="741"/>
      <c r="E424" s="2560"/>
      <c r="F424" s="1218"/>
      <c r="G424" s="1179"/>
      <c r="H424" s="744"/>
    </row>
    <row r="425" spans="2:10" s="723" customFormat="1" x14ac:dyDescent="0.2">
      <c r="B425" s="739"/>
      <c r="C425" s="740"/>
      <c r="D425" s="741"/>
      <c r="E425" s="2560"/>
      <c r="F425" s="1218"/>
      <c r="G425" s="1179"/>
      <c r="H425" s="744"/>
    </row>
    <row r="426" spans="2:10" s="723" customFormat="1" x14ac:dyDescent="0.2">
      <c r="B426" s="739"/>
      <c r="C426" s="740"/>
      <c r="D426" s="741"/>
      <c r="E426" s="2560"/>
      <c r="F426" s="1218"/>
      <c r="G426" s="1179"/>
      <c r="H426" s="744"/>
      <c r="J426" s="748"/>
    </row>
    <row r="427" spans="2:10" s="723" customFormat="1" x14ac:dyDescent="0.2">
      <c r="B427" s="739"/>
      <c r="C427" s="740"/>
      <c r="D427" s="741"/>
      <c r="E427" s="2560"/>
      <c r="F427" s="1218"/>
      <c r="G427" s="1179"/>
      <c r="H427" s="744"/>
      <c r="J427" s="748"/>
    </row>
    <row r="428" spans="2:10" s="723" customFormat="1" x14ac:dyDescent="0.2">
      <c r="B428" s="739"/>
      <c r="C428" s="740"/>
      <c r="D428" s="741"/>
      <c r="E428" s="2560"/>
      <c r="F428" s="1218"/>
      <c r="G428" s="1179"/>
      <c r="H428" s="744"/>
    </row>
    <row r="429" spans="2:10" s="723" customFormat="1" x14ac:dyDescent="0.2">
      <c r="B429" s="739"/>
      <c r="C429" s="740"/>
      <c r="D429" s="741"/>
      <c r="E429" s="2560"/>
      <c r="F429" s="1218"/>
      <c r="G429" s="1179"/>
      <c r="H429" s="744"/>
      <c r="I429" s="741"/>
    </row>
    <row r="430" spans="2:10" s="723" customFormat="1" x14ac:dyDescent="0.2">
      <c r="B430" s="739"/>
      <c r="C430" s="740"/>
      <c r="D430" s="741"/>
      <c r="E430" s="2560"/>
      <c r="F430" s="1218"/>
      <c r="G430" s="1179"/>
      <c r="H430" s="744"/>
      <c r="I430" s="741"/>
    </row>
    <row r="431" spans="2:10" s="723" customFormat="1" x14ac:dyDescent="0.2">
      <c r="B431" s="739"/>
      <c r="C431" s="740"/>
      <c r="D431" s="741"/>
      <c r="E431" s="2560"/>
      <c r="F431" s="1218"/>
      <c r="G431" s="1179"/>
      <c r="H431" s="744"/>
      <c r="I431" s="741"/>
    </row>
    <row r="432" spans="2:10" s="723" customFormat="1" x14ac:dyDescent="0.2">
      <c r="B432" s="739"/>
      <c r="C432" s="740"/>
      <c r="D432" s="741"/>
      <c r="E432" s="2560"/>
      <c r="F432" s="1218"/>
      <c r="G432" s="1179"/>
      <c r="H432" s="744"/>
      <c r="I432" s="741"/>
    </row>
    <row r="433" spans="2:9" s="723" customFormat="1" x14ac:dyDescent="0.2">
      <c r="B433" s="739"/>
      <c r="C433" s="740"/>
      <c r="D433" s="741"/>
      <c r="E433" s="2560"/>
      <c r="F433" s="1218"/>
      <c r="G433" s="1179"/>
      <c r="H433" s="744"/>
      <c r="I433" s="741"/>
    </row>
    <row r="434" spans="2:9" s="723" customFormat="1" x14ac:dyDescent="0.2">
      <c r="B434" s="739"/>
      <c r="C434" s="740"/>
      <c r="D434" s="741"/>
      <c r="E434" s="2560"/>
      <c r="F434" s="1218"/>
      <c r="G434" s="1179"/>
      <c r="H434" s="744"/>
      <c r="I434" s="741"/>
    </row>
    <row r="435" spans="2:9" s="723" customFormat="1" x14ac:dyDescent="0.2">
      <c r="B435" s="739"/>
      <c r="C435" s="740"/>
      <c r="D435" s="741"/>
      <c r="E435" s="2560"/>
      <c r="F435" s="1218"/>
      <c r="G435" s="1179"/>
      <c r="H435" s="744"/>
      <c r="I435" s="741"/>
    </row>
    <row r="436" spans="2:9" s="723" customFormat="1" x14ac:dyDescent="0.2">
      <c r="B436" s="739"/>
      <c r="C436" s="740"/>
      <c r="D436" s="741"/>
      <c r="E436" s="2560"/>
      <c r="F436" s="1218"/>
      <c r="G436" s="1179"/>
      <c r="H436" s="744"/>
      <c r="I436" s="741"/>
    </row>
    <row r="437" spans="2:9" s="723" customFormat="1" x14ac:dyDescent="0.2">
      <c r="B437" s="739"/>
      <c r="C437" s="740"/>
      <c r="D437" s="741"/>
      <c r="E437" s="2560"/>
      <c r="F437" s="1218"/>
      <c r="G437" s="1179"/>
      <c r="H437" s="744"/>
      <c r="I437" s="741"/>
    </row>
    <row r="438" spans="2:9" s="723" customFormat="1" x14ac:dyDescent="0.2">
      <c r="B438" s="739"/>
      <c r="C438" s="740"/>
      <c r="D438" s="741"/>
      <c r="E438" s="2560"/>
      <c r="F438" s="1218"/>
      <c r="G438" s="1179"/>
      <c r="H438" s="744"/>
      <c r="I438" s="741"/>
    </row>
    <row r="439" spans="2:9" s="723" customFormat="1" x14ac:dyDescent="0.2">
      <c r="B439" s="739"/>
      <c r="C439" s="740"/>
      <c r="D439" s="741"/>
      <c r="E439" s="2560"/>
      <c r="F439" s="1218"/>
      <c r="G439" s="1179"/>
      <c r="H439" s="744"/>
      <c r="I439" s="741"/>
    </row>
    <row r="440" spans="2:9" s="723" customFormat="1" x14ac:dyDescent="0.2">
      <c r="B440" s="739"/>
      <c r="C440" s="740"/>
      <c r="D440" s="741"/>
      <c r="E440" s="2560"/>
      <c r="F440" s="1218"/>
      <c r="G440" s="1179"/>
      <c r="H440" s="744"/>
      <c r="I440" s="741"/>
    </row>
    <row r="441" spans="2:9" s="723" customFormat="1" x14ac:dyDescent="0.2">
      <c r="B441" s="739"/>
      <c r="C441" s="740"/>
      <c r="D441" s="741"/>
      <c r="E441" s="2560"/>
      <c r="F441" s="1218"/>
      <c r="G441" s="1179"/>
      <c r="H441" s="744"/>
      <c r="I441" s="741"/>
    </row>
    <row r="442" spans="2:9" s="723" customFormat="1" ht="12.75" customHeight="1" x14ac:dyDescent="0.2">
      <c r="B442" s="739"/>
      <c r="C442" s="740"/>
      <c r="D442" s="741"/>
      <c r="E442" s="2560"/>
      <c r="F442" s="1218"/>
      <c r="G442" s="1179"/>
      <c r="H442" s="744"/>
      <c r="I442" s="992"/>
    </row>
    <row r="443" spans="2:9" s="723" customFormat="1" x14ac:dyDescent="0.2">
      <c r="B443" s="739"/>
      <c r="C443" s="740"/>
      <c r="D443" s="741"/>
      <c r="E443" s="2560"/>
      <c r="F443" s="1218"/>
      <c r="G443" s="1179"/>
      <c r="H443" s="744"/>
      <c r="I443" s="992"/>
    </row>
    <row r="444" spans="2:9" s="723" customFormat="1" x14ac:dyDescent="0.2">
      <c r="B444" s="739"/>
      <c r="C444" s="740"/>
      <c r="D444" s="741"/>
      <c r="E444" s="2560"/>
      <c r="F444" s="1218"/>
      <c r="G444" s="1179"/>
      <c r="H444" s="744"/>
      <c r="I444" s="741"/>
    </row>
    <row r="445" spans="2:9" s="723" customFormat="1" x14ac:dyDescent="0.2">
      <c r="B445" s="739"/>
      <c r="C445" s="740"/>
      <c r="D445" s="741"/>
      <c r="E445" s="2560"/>
      <c r="F445" s="1218"/>
      <c r="G445" s="1179"/>
      <c r="H445" s="744"/>
      <c r="I445" s="741"/>
    </row>
    <row r="446" spans="2:9" s="723" customFormat="1" x14ac:dyDescent="0.2">
      <c r="B446" s="739"/>
      <c r="C446" s="740"/>
      <c r="D446" s="741"/>
      <c r="E446" s="2560"/>
      <c r="F446" s="1218"/>
      <c r="G446" s="1179"/>
      <c r="H446" s="744"/>
      <c r="I446" s="741"/>
    </row>
    <row r="447" spans="2:9" s="723" customFormat="1" x14ac:dyDescent="0.2">
      <c r="B447" s="739"/>
      <c r="C447" s="740"/>
      <c r="D447" s="741"/>
      <c r="E447" s="2560"/>
      <c r="F447" s="1218"/>
      <c r="G447" s="1179"/>
      <c r="H447" s="744"/>
      <c r="I447" s="741"/>
    </row>
    <row r="448" spans="2:9" s="723" customFormat="1" x14ac:dyDescent="0.2">
      <c r="B448" s="739"/>
      <c r="C448" s="740"/>
      <c r="D448" s="741"/>
      <c r="E448" s="2560"/>
      <c r="F448" s="1218"/>
      <c r="G448" s="1179"/>
      <c r="H448" s="744"/>
      <c r="I448" s="741"/>
    </row>
    <row r="449" spans="2:10" s="723" customFormat="1" x14ac:dyDescent="0.2">
      <c r="B449" s="739"/>
      <c r="C449" s="740"/>
      <c r="D449" s="741"/>
      <c r="E449" s="2560"/>
      <c r="F449" s="1218"/>
      <c r="G449" s="1179"/>
      <c r="H449" s="744"/>
      <c r="I449" s="741"/>
    </row>
    <row r="450" spans="2:10" s="723" customFormat="1" x14ac:dyDescent="0.2">
      <c r="B450" s="739"/>
      <c r="C450" s="740"/>
      <c r="D450" s="741"/>
      <c r="E450" s="2560"/>
      <c r="F450" s="1218"/>
      <c r="G450" s="1179"/>
      <c r="H450" s="744"/>
      <c r="I450" s="741"/>
    </row>
    <row r="451" spans="2:10" s="723" customFormat="1" x14ac:dyDescent="0.2">
      <c r="B451" s="739"/>
      <c r="C451" s="740"/>
      <c r="D451" s="741"/>
      <c r="E451" s="2560"/>
      <c r="F451" s="1218"/>
      <c r="G451" s="1179"/>
      <c r="H451" s="744"/>
      <c r="I451" s="741"/>
    </row>
    <row r="452" spans="2:10" s="723" customFormat="1" ht="12.75" customHeight="1" x14ac:dyDescent="0.2">
      <c r="B452" s="739"/>
      <c r="C452" s="740"/>
      <c r="D452" s="741"/>
      <c r="E452" s="2560"/>
      <c r="F452" s="1218"/>
      <c r="G452" s="1179"/>
      <c r="H452" s="744"/>
      <c r="I452" s="741"/>
    </row>
    <row r="453" spans="2:10" s="723" customFormat="1" x14ac:dyDescent="0.2">
      <c r="B453" s="739"/>
      <c r="C453" s="740"/>
      <c r="D453" s="741"/>
      <c r="E453" s="2560"/>
      <c r="F453" s="1218"/>
      <c r="G453" s="1179"/>
      <c r="H453" s="744"/>
      <c r="I453" s="741"/>
    </row>
    <row r="454" spans="2:10" s="723" customFormat="1" x14ac:dyDescent="0.2">
      <c r="B454" s="739"/>
      <c r="C454" s="740"/>
      <c r="D454" s="741"/>
      <c r="E454" s="2560"/>
      <c r="F454" s="1218"/>
      <c r="G454" s="1179"/>
      <c r="H454" s="744"/>
      <c r="I454" s="741"/>
    </row>
    <row r="455" spans="2:10" s="723" customFormat="1" x14ac:dyDescent="0.2">
      <c r="B455" s="739"/>
      <c r="C455" s="740"/>
      <c r="D455" s="741"/>
      <c r="E455" s="2560"/>
      <c r="F455" s="1218"/>
      <c r="G455" s="1179"/>
      <c r="H455" s="744"/>
      <c r="I455" s="741"/>
    </row>
    <row r="456" spans="2:10" s="723" customFormat="1" x14ac:dyDescent="0.2">
      <c r="B456" s="739"/>
      <c r="C456" s="740"/>
      <c r="D456" s="741"/>
      <c r="E456" s="2560"/>
      <c r="F456" s="1218"/>
      <c r="G456" s="1179"/>
      <c r="H456" s="744"/>
      <c r="I456" s="741"/>
    </row>
    <row r="457" spans="2:10" s="723" customFormat="1" x14ac:dyDescent="0.2">
      <c r="B457" s="739"/>
      <c r="C457" s="740"/>
      <c r="D457" s="741"/>
      <c r="E457" s="2560"/>
      <c r="F457" s="1218"/>
      <c r="G457" s="1179"/>
      <c r="H457" s="744"/>
      <c r="I457" s="741"/>
      <c r="J457" s="741"/>
    </row>
    <row r="458" spans="2:10" s="723" customFormat="1" x14ac:dyDescent="0.2">
      <c r="B458" s="739"/>
      <c r="C458" s="740"/>
      <c r="D458" s="741"/>
      <c r="E458" s="2560"/>
      <c r="F458" s="1218"/>
      <c r="G458" s="1179"/>
      <c r="H458" s="744"/>
      <c r="I458" s="741"/>
      <c r="J458" s="741"/>
    </row>
    <row r="459" spans="2:10" s="723" customFormat="1" x14ac:dyDescent="0.2">
      <c r="B459" s="739"/>
      <c r="C459" s="740"/>
      <c r="D459" s="741"/>
      <c r="E459" s="2560"/>
      <c r="F459" s="1218"/>
      <c r="G459" s="1179"/>
      <c r="H459" s="744"/>
      <c r="I459" s="741"/>
      <c r="J459" s="741"/>
    </row>
    <row r="460" spans="2:10" s="723" customFormat="1" x14ac:dyDescent="0.2">
      <c r="B460" s="739"/>
      <c r="C460" s="740"/>
      <c r="D460" s="741"/>
      <c r="E460" s="2560"/>
      <c r="F460" s="1218"/>
      <c r="G460" s="1179"/>
      <c r="H460" s="744"/>
      <c r="I460" s="741"/>
      <c r="J460" s="741"/>
    </row>
    <row r="461" spans="2:10" s="723" customFormat="1" x14ac:dyDescent="0.2">
      <c r="B461" s="739"/>
      <c r="C461" s="740"/>
      <c r="D461" s="741"/>
      <c r="E461" s="2560"/>
      <c r="F461" s="1218"/>
      <c r="G461" s="1179"/>
      <c r="H461" s="744"/>
      <c r="I461" s="741"/>
      <c r="J461" s="741"/>
    </row>
    <row r="462" spans="2:10" s="723" customFormat="1" x14ac:dyDescent="0.2">
      <c r="B462" s="739"/>
      <c r="C462" s="740"/>
      <c r="D462" s="741"/>
      <c r="E462" s="2560"/>
      <c r="F462" s="1218"/>
      <c r="G462" s="1179"/>
      <c r="H462" s="744"/>
      <c r="I462" s="741"/>
      <c r="J462" s="741"/>
    </row>
    <row r="463" spans="2:10" s="723" customFormat="1" x14ac:dyDescent="0.2">
      <c r="B463" s="739"/>
      <c r="C463" s="740"/>
      <c r="D463" s="741"/>
      <c r="E463" s="2560"/>
      <c r="F463" s="1218"/>
      <c r="G463" s="1179"/>
      <c r="H463" s="744"/>
      <c r="I463" s="741"/>
      <c r="J463" s="741"/>
    </row>
    <row r="464" spans="2:10" s="723" customFormat="1" x14ac:dyDescent="0.2">
      <c r="B464" s="739"/>
      <c r="C464" s="740"/>
      <c r="D464" s="741"/>
      <c r="E464" s="2560"/>
      <c r="F464" s="1218"/>
      <c r="G464" s="1179"/>
      <c r="H464" s="744"/>
      <c r="I464" s="741"/>
      <c r="J464" s="741"/>
    </row>
    <row r="465" spans="2:12" s="723" customFormat="1" x14ac:dyDescent="0.2">
      <c r="B465" s="739"/>
      <c r="C465" s="740"/>
      <c r="D465" s="741"/>
      <c r="E465" s="2560"/>
      <c r="F465" s="1218"/>
      <c r="G465" s="1179"/>
      <c r="H465" s="744"/>
      <c r="I465" s="741"/>
      <c r="J465" s="741"/>
    </row>
    <row r="466" spans="2:12" s="723" customFormat="1" x14ac:dyDescent="0.2">
      <c r="B466" s="739"/>
      <c r="C466" s="740"/>
      <c r="D466" s="741"/>
      <c r="E466" s="2560"/>
      <c r="F466" s="1218"/>
      <c r="G466" s="1179"/>
      <c r="H466" s="744"/>
      <c r="I466" s="741"/>
      <c r="J466" s="741"/>
    </row>
    <row r="467" spans="2:12" s="723" customFormat="1" x14ac:dyDescent="0.2">
      <c r="B467" s="739"/>
      <c r="C467" s="740"/>
      <c r="D467" s="741"/>
      <c r="E467" s="2560"/>
      <c r="F467" s="1218"/>
      <c r="G467" s="1179"/>
      <c r="H467" s="744"/>
      <c r="I467" s="741"/>
      <c r="J467" s="741"/>
    </row>
    <row r="468" spans="2:12" s="723" customFormat="1" x14ac:dyDescent="0.2">
      <c r="B468" s="739"/>
      <c r="C468" s="740"/>
      <c r="D468" s="741"/>
      <c r="E468" s="2560"/>
      <c r="F468" s="1218"/>
      <c r="G468" s="1179"/>
      <c r="H468" s="744"/>
      <c r="I468" s="741"/>
      <c r="J468" s="741"/>
    </row>
    <row r="469" spans="2:12" s="723" customFormat="1" x14ac:dyDescent="0.2">
      <c r="B469" s="739"/>
      <c r="C469" s="740"/>
      <c r="D469" s="741"/>
      <c r="E469" s="2560"/>
      <c r="F469" s="1218"/>
      <c r="G469" s="1179"/>
      <c r="H469" s="744"/>
      <c r="I469" s="741"/>
      <c r="J469" s="741"/>
    </row>
    <row r="470" spans="2:12" s="723" customFormat="1" x14ac:dyDescent="0.2">
      <c r="B470" s="739"/>
      <c r="C470" s="740"/>
      <c r="D470" s="741"/>
      <c r="E470" s="2560"/>
      <c r="F470" s="1218"/>
      <c r="G470" s="1179"/>
      <c r="H470" s="744"/>
      <c r="I470" s="741"/>
      <c r="J470" s="992"/>
    </row>
    <row r="471" spans="2:12" s="723" customFormat="1" x14ac:dyDescent="0.2">
      <c r="B471" s="739"/>
      <c r="C471" s="740"/>
      <c r="D471" s="741"/>
      <c r="E471" s="2560"/>
      <c r="F471" s="1218"/>
      <c r="G471" s="1179"/>
      <c r="H471" s="744"/>
      <c r="I471" s="741"/>
      <c r="J471" s="992"/>
    </row>
    <row r="472" spans="2:12" s="723" customFormat="1" x14ac:dyDescent="0.2">
      <c r="B472" s="739"/>
      <c r="C472" s="740"/>
      <c r="D472" s="741"/>
      <c r="E472" s="2560"/>
      <c r="F472" s="1218"/>
      <c r="G472" s="1179"/>
      <c r="H472" s="744"/>
      <c r="I472" s="741"/>
      <c r="J472" s="741"/>
    </row>
    <row r="473" spans="2:12" s="723" customFormat="1" x14ac:dyDescent="0.2">
      <c r="B473" s="739"/>
      <c r="C473" s="740"/>
      <c r="D473" s="741"/>
      <c r="E473" s="2560"/>
      <c r="F473" s="1218"/>
      <c r="G473" s="1179"/>
      <c r="H473" s="744"/>
      <c r="I473" s="741"/>
      <c r="J473" s="741"/>
    </row>
    <row r="474" spans="2:12" s="723" customFormat="1" x14ac:dyDescent="0.2">
      <c r="B474" s="739"/>
      <c r="C474" s="740"/>
      <c r="D474" s="741"/>
      <c r="E474" s="2560"/>
      <c r="F474" s="1218"/>
      <c r="G474" s="1179"/>
      <c r="H474" s="744"/>
      <c r="I474" s="741"/>
      <c r="J474" s="741"/>
    </row>
    <row r="475" spans="2:12" s="723" customFormat="1" x14ac:dyDescent="0.2">
      <c r="B475" s="739"/>
      <c r="C475" s="740"/>
      <c r="D475" s="741"/>
      <c r="E475" s="2560"/>
      <c r="F475" s="1218"/>
      <c r="G475" s="1179"/>
      <c r="H475" s="744"/>
      <c r="I475" s="741"/>
      <c r="J475" s="741"/>
    </row>
    <row r="476" spans="2:12" s="723" customFormat="1" x14ac:dyDescent="0.2">
      <c r="B476" s="739"/>
      <c r="C476" s="740"/>
      <c r="D476" s="741"/>
      <c r="E476" s="2560"/>
      <c r="F476" s="1218"/>
      <c r="G476" s="1179"/>
      <c r="H476" s="744"/>
      <c r="I476" s="741"/>
      <c r="J476" s="741"/>
    </row>
    <row r="477" spans="2:12" s="723" customFormat="1" x14ac:dyDescent="0.2">
      <c r="B477" s="739"/>
      <c r="C477" s="740"/>
      <c r="D477" s="741"/>
      <c r="E477" s="2560"/>
      <c r="F477" s="1218"/>
      <c r="G477" s="1179"/>
      <c r="H477" s="744"/>
      <c r="I477" s="741"/>
      <c r="J477" s="741"/>
      <c r="K477" s="741"/>
      <c r="L477" s="741"/>
    </row>
    <row r="478" spans="2:12" s="723" customFormat="1" x14ac:dyDescent="0.2">
      <c r="B478" s="739"/>
      <c r="C478" s="740"/>
      <c r="D478" s="741"/>
      <c r="E478" s="2560"/>
      <c r="F478" s="1218"/>
      <c r="G478" s="1179"/>
      <c r="H478" s="744"/>
      <c r="I478" s="741"/>
      <c r="J478" s="741"/>
      <c r="K478" s="741"/>
      <c r="L478" s="741"/>
    </row>
    <row r="479" spans="2:12" s="723" customFormat="1" x14ac:dyDescent="0.2">
      <c r="B479" s="739"/>
      <c r="C479" s="740"/>
      <c r="D479" s="741"/>
      <c r="E479" s="2560"/>
      <c r="F479" s="1218"/>
      <c r="G479" s="1179"/>
      <c r="H479" s="744"/>
      <c r="I479" s="741"/>
      <c r="J479" s="741"/>
      <c r="K479" s="741"/>
      <c r="L479" s="741"/>
    </row>
    <row r="480" spans="2:12" s="723" customFormat="1" x14ac:dyDescent="0.2">
      <c r="B480" s="739"/>
      <c r="C480" s="740"/>
      <c r="D480" s="741"/>
      <c r="E480" s="2560"/>
      <c r="F480" s="1218"/>
      <c r="G480" s="1179"/>
      <c r="H480" s="744"/>
      <c r="I480" s="741"/>
      <c r="J480" s="741"/>
      <c r="K480" s="741"/>
      <c r="L480" s="741"/>
    </row>
    <row r="481" spans="2:15" s="723" customFormat="1" x14ac:dyDescent="0.2">
      <c r="B481" s="739"/>
      <c r="C481" s="740"/>
      <c r="D481" s="741"/>
      <c r="E481" s="2560"/>
      <c r="F481" s="1218"/>
      <c r="G481" s="1179"/>
      <c r="H481" s="744"/>
      <c r="I481" s="741"/>
      <c r="J481" s="741"/>
      <c r="K481" s="741"/>
      <c r="L481" s="741"/>
      <c r="M481" s="741"/>
    </row>
    <row r="482" spans="2:15" s="723" customFormat="1" x14ac:dyDescent="0.2">
      <c r="B482" s="739"/>
      <c r="C482" s="740"/>
      <c r="D482" s="741"/>
      <c r="E482" s="2560"/>
      <c r="F482" s="1218"/>
      <c r="G482" s="1179"/>
      <c r="H482" s="744"/>
      <c r="I482" s="741"/>
      <c r="J482" s="741"/>
      <c r="K482" s="741"/>
      <c r="L482" s="741"/>
      <c r="M482" s="741"/>
    </row>
    <row r="483" spans="2:15" s="723" customFormat="1" x14ac:dyDescent="0.2">
      <c r="B483" s="739"/>
      <c r="C483" s="740"/>
      <c r="D483" s="741"/>
      <c r="E483" s="2560"/>
      <c r="F483" s="1218"/>
      <c r="G483" s="1179"/>
      <c r="H483" s="744"/>
      <c r="I483" s="741"/>
      <c r="J483" s="741"/>
      <c r="K483" s="741"/>
      <c r="L483" s="741"/>
      <c r="M483" s="741"/>
      <c r="N483" s="741"/>
      <c r="O483" s="741"/>
    </row>
    <row r="490" spans="2:15" x14ac:dyDescent="0.2">
      <c r="K490" s="992"/>
      <c r="L490" s="992"/>
    </row>
    <row r="491" spans="2:15" x14ac:dyDescent="0.2">
      <c r="K491" s="992"/>
      <c r="L491" s="992"/>
    </row>
    <row r="494" spans="2:15" x14ac:dyDescent="0.2">
      <c r="M494" s="992"/>
    </row>
    <row r="495" spans="2:15" x14ac:dyDescent="0.2">
      <c r="M495" s="992"/>
    </row>
    <row r="496" spans="2:15" x14ac:dyDescent="0.2">
      <c r="N496" s="992"/>
      <c r="O496" s="992"/>
    </row>
    <row r="497" spans="2:15" s="992" customFormat="1" x14ac:dyDescent="0.2">
      <c r="B497" s="739"/>
      <c r="C497" s="740"/>
      <c r="D497" s="741"/>
      <c r="E497" s="2560"/>
      <c r="F497" s="1218"/>
      <c r="G497" s="1179"/>
      <c r="H497" s="744"/>
      <c r="I497" s="741"/>
      <c r="J497" s="741"/>
      <c r="K497" s="741"/>
      <c r="L497" s="741"/>
      <c r="M497" s="741"/>
    </row>
    <row r="498" spans="2:15" s="992" customFormat="1" x14ac:dyDescent="0.2">
      <c r="B498" s="739"/>
      <c r="C498" s="740"/>
      <c r="D498" s="741"/>
      <c r="E498" s="2560"/>
      <c r="F498" s="1218"/>
      <c r="G498" s="1179"/>
      <c r="H498" s="744"/>
      <c r="I498" s="741"/>
      <c r="J498" s="741"/>
      <c r="K498" s="741"/>
      <c r="L498" s="741"/>
      <c r="M498" s="741"/>
      <c r="N498" s="741"/>
      <c r="O498" s="741"/>
    </row>
    <row r="503" spans="2:15" ht="43.5" customHeight="1" x14ac:dyDescent="0.2"/>
  </sheetData>
  <mergeCells count="6">
    <mergeCell ref="B124:B125"/>
    <mergeCell ref="C6:F6"/>
    <mergeCell ref="B57:G57"/>
    <mergeCell ref="B108:G108"/>
    <mergeCell ref="B109:G109"/>
    <mergeCell ref="B110:G110"/>
  </mergeCells>
  <pageMargins left="0.7" right="0.7" top="0.75" bottom="0.75" header="0.3" footer="0.3"/>
  <pageSetup paperSize="9" orientation="portrait" r:id="rId1"/>
  <headerFooter alignWithMargins="0"/>
  <rowBreaks count="4" manualBreakCount="4">
    <brk id="19" max="16383" man="1"/>
    <brk id="55" max="16383" man="1"/>
    <brk id="108" max="16383" man="1"/>
    <brk id="16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3803-11C7-4A89-8C18-77B6BD77E351}">
  <sheetPr codeName="Sheet68">
    <tabColor rgb="FF0070C0"/>
  </sheetPr>
  <dimension ref="A2:L439"/>
  <sheetViews>
    <sheetView showZeros="0" topLeftCell="A181" zoomScaleNormal="110" workbookViewId="0">
      <selection activeCell="B202" sqref="B202:G202"/>
    </sheetView>
  </sheetViews>
  <sheetFormatPr defaultColWidth="10.42578125" defaultRowHeight="12.75" x14ac:dyDescent="0.2"/>
  <cols>
    <col min="1" max="1" width="4.42578125" style="1107" customWidth="1"/>
    <col min="2" max="2" width="7.42578125" style="750" customWidth="1"/>
    <col min="3" max="3" width="49.28515625" style="751" customWidth="1"/>
    <col min="4" max="4" width="10.42578125" style="752" customWidth="1"/>
    <col min="5" max="5" width="9.28515625" style="753" customWidth="1"/>
    <col min="6" max="6" width="15.5703125" style="754" customWidth="1"/>
    <col min="7" max="7" width="14.28515625" style="755" customWidth="1"/>
    <col min="8" max="8" width="16" style="1108" customWidth="1"/>
    <col min="9" max="9" width="26.28515625" style="1107" customWidth="1"/>
    <col min="10" max="10" width="10.42578125" style="1107" customWidth="1"/>
    <col min="11" max="256" width="10.42578125" style="1107"/>
    <col min="257" max="257" width="4.42578125" style="1107" customWidth="1"/>
    <col min="258" max="258" width="7.42578125" style="1107" customWidth="1"/>
    <col min="259" max="259" width="42.85546875" style="1107" customWidth="1"/>
    <col min="260" max="260" width="10.42578125" style="1107"/>
    <col min="261" max="261" width="9.28515625" style="1107" customWidth="1"/>
    <col min="262" max="262" width="15.5703125" style="1107" customWidth="1"/>
    <col min="263" max="263" width="14.28515625" style="1107" customWidth="1"/>
    <col min="264" max="264" width="16" style="1107" customWidth="1"/>
    <col min="265" max="265" width="26.28515625" style="1107" customWidth="1"/>
    <col min="266" max="512" width="10.42578125" style="1107"/>
    <col min="513" max="513" width="4.42578125" style="1107" customWidth="1"/>
    <col min="514" max="514" width="7.42578125" style="1107" customWidth="1"/>
    <col min="515" max="515" width="42.85546875" style="1107" customWidth="1"/>
    <col min="516" max="516" width="10.42578125" style="1107"/>
    <col min="517" max="517" width="9.28515625" style="1107" customWidth="1"/>
    <col min="518" max="518" width="15.5703125" style="1107" customWidth="1"/>
    <col min="519" max="519" width="14.28515625" style="1107" customWidth="1"/>
    <col min="520" max="520" width="16" style="1107" customWidth="1"/>
    <col min="521" max="521" width="26.28515625" style="1107" customWidth="1"/>
    <col min="522" max="768" width="10.42578125" style="1107"/>
    <col min="769" max="769" width="4.42578125" style="1107" customWidth="1"/>
    <col min="770" max="770" width="7.42578125" style="1107" customWidth="1"/>
    <col min="771" max="771" width="42.85546875" style="1107" customWidth="1"/>
    <col min="772" max="772" width="10.42578125" style="1107"/>
    <col min="773" max="773" width="9.28515625" style="1107" customWidth="1"/>
    <col min="774" max="774" width="15.5703125" style="1107" customWidth="1"/>
    <col min="775" max="775" width="14.28515625" style="1107" customWidth="1"/>
    <col min="776" max="776" width="16" style="1107" customWidth="1"/>
    <col min="777" max="777" width="26.28515625" style="1107" customWidth="1"/>
    <col min="778" max="1024" width="10.42578125" style="1107"/>
    <col min="1025" max="1025" width="4.42578125" style="1107" customWidth="1"/>
    <col min="1026" max="1026" width="7.42578125" style="1107" customWidth="1"/>
    <col min="1027" max="1027" width="42.85546875" style="1107" customWidth="1"/>
    <col min="1028" max="1028" width="10.42578125" style="1107"/>
    <col min="1029" max="1029" width="9.28515625" style="1107" customWidth="1"/>
    <col min="1030" max="1030" width="15.5703125" style="1107" customWidth="1"/>
    <col min="1031" max="1031" width="14.28515625" style="1107" customWidth="1"/>
    <col min="1032" max="1032" width="16" style="1107" customWidth="1"/>
    <col min="1033" max="1033" width="26.28515625" style="1107" customWidth="1"/>
    <col min="1034" max="1280" width="10.42578125" style="1107"/>
    <col min="1281" max="1281" width="4.42578125" style="1107" customWidth="1"/>
    <col min="1282" max="1282" width="7.42578125" style="1107" customWidth="1"/>
    <col min="1283" max="1283" width="42.85546875" style="1107" customWidth="1"/>
    <col min="1284" max="1284" width="10.42578125" style="1107"/>
    <col min="1285" max="1285" width="9.28515625" style="1107" customWidth="1"/>
    <col min="1286" max="1286" width="15.5703125" style="1107" customWidth="1"/>
    <col min="1287" max="1287" width="14.28515625" style="1107" customWidth="1"/>
    <col min="1288" max="1288" width="16" style="1107" customWidth="1"/>
    <col min="1289" max="1289" width="26.28515625" style="1107" customWidth="1"/>
    <col min="1290" max="1536" width="10.42578125" style="1107"/>
    <col min="1537" max="1537" width="4.42578125" style="1107" customWidth="1"/>
    <col min="1538" max="1538" width="7.42578125" style="1107" customWidth="1"/>
    <col min="1539" max="1539" width="42.85546875" style="1107" customWidth="1"/>
    <col min="1540" max="1540" width="10.42578125" style="1107"/>
    <col min="1541" max="1541" width="9.28515625" style="1107" customWidth="1"/>
    <col min="1542" max="1542" width="15.5703125" style="1107" customWidth="1"/>
    <col min="1543" max="1543" width="14.28515625" style="1107" customWidth="1"/>
    <col min="1544" max="1544" width="16" style="1107" customWidth="1"/>
    <col min="1545" max="1545" width="26.28515625" style="1107" customWidth="1"/>
    <col min="1546" max="1792" width="10.42578125" style="1107"/>
    <col min="1793" max="1793" width="4.42578125" style="1107" customWidth="1"/>
    <col min="1794" max="1794" width="7.42578125" style="1107" customWidth="1"/>
    <col min="1795" max="1795" width="42.85546875" style="1107" customWidth="1"/>
    <col min="1796" max="1796" width="10.42578125" style="1107"/>
    <col min="1797" max="1797" width="9.28515625" style="1107" customWidth="1"/>
    <col min="1798" max="1798" width="15.5703125" style="1107" customWidth="1"/>
    <col min="1799" max="1799" width="14.28515625" style="1107" customWidth="1"/>
    <col min="1800" max="1800" width="16" style="1107" customWidth="1"/>
    <col min="1801" max="1801" width="26.28515625" style="1107" customWidth="1"/>
    <col min="1802" max="2048" width="10.42578125" style="1107"/>
    <col min="2049" max="2049" width="4.42578125" style="1107" customWidth="1"/>
    <col min="2050" max="2050" width="7.42578125" style="1107" customWidth="1"/>
    <col min="2051" max="2051" width="42.85546875" style="1107" customWidth="1"/>
    <col min="2052" max="2052" width="10.42578125" style="1107"/>
    <col min="2053" max="2053" width="9.28515625" style="1107" customWidth="1"/>
    <col min="2054" max="2054" width="15.5703125" style="1107" customWidth="1"/>
    <col min="2055" max="2055" width="14.28515625" style="1107" customWidth="1"/>
    <col min="2056" max="2056" width="16" style="1107" customWidth="1"/>
    <col min="2057" max="2057" width="26.28515625" style="1107" customWidth="1"/>
    <col min="2058" max="2304" width="10.42578125" style="1107"/>
    <col min="2305" max="2305" width="4.42578125" style="1107" customWidth="1"/>
    <col min="2306" max="2306" width="7.42578125" style="1107" customWidth="1"/>
    <col min="2307" max="2307" width="42.85546875" style="1107" customWidth="1"/>
    <col min="2308" max="2308" width="10.42578125" style="1107"/>
    <col min="2309" max="2309" width="9.28515625" style="1107" customWidth="1"/>
    <col min="2310" max="2310" width="15.5703125" style="1107" customWidth="1"/>
    <col min="2311" max="2311" width="14.28515625" style="1107" customWidth="1"/>
    <col min="2312" max="2312" width="16" style="1107" customWidth="1"/>
    <col min="2313" max="2313" width="26.28515625" style="1107" customWidth="1"/>
    <col min="2314" max="2560" width="10.42578125" style="1107"/>
    <col min="2561" max="2561" width="4.42578125" style="1107" customWidth="1"/>
    <col min="2562" max="2562" width="7.42578125" style="1107" customWidth="1"/>
    <col min="2563" max="2563" width="42.85546875" style="1107" customWidth="1"/>
    <col min="2564" max="2564" width="10.42578125" style="1107"/>
    <col min="2565" max="2565" width="9.28515625" style="1107" customWidth="1"/>
    <col min="2566" max="2566" width="15.5703125" style="1107" customWidth="1"/>
    <col min="2567" max="2567" width="14.28515625" style="1107" customWidth="1"/>
    <col min="2568" max="2568" width="16" style="1107" customWidth="1"/>
    <col min="2569" max="2569" width="26.28515625" style="1107" customWidth="1"/>
    <col min="2570" max="2816" width="10.42578125" style="1107"/>
    <col min="2817" max="2817" width="4.42578125" style="1107" customWidth="1"/>
    <col min="2818" max="2818" width="7.42578125" style="1107" customWidth="1"/>
    <col min="2819" max="2819" width="42.85546875" style="1107" customWidth="1"/>
    <col min="2820" max="2820" width="10.42578125" style="1107"/>
    <col min="2821" max="2821" width="9.28515625" style="1107" customWidth="1"/>
    <col min="2822" max="2822" width="15.5703125" style="1107" customWidth="1"/>
    <col min="2823" max="2823" width="14.28515625" style="1107" customWidth="1"/>
    <col min="2824" max="2824" width="16" style="1107" customWidth="1"/>
    <col min="2825" max="2825" width="26.28515625" style="1107" customWidth="1"/>
    <col min="2826" max="3072" width="10.42578125" style="1107"/>
    <col min="3073" max="3073" width="4.42578125" style="1107" customWidth="1"/>
    <col min="3074" max="3074" width="7.42578125" style="1107" customWidth="1"/>
    <col min="3075" max="3075" width="42.85546875" style="1107" customWidth="1"/>
    <col min="3076" max="3076" width="10.42578125" style="1107"/>
    <col min="3077" max="3077" width="9.28515625" style="1107" customWidth="1"/>
    <col min="3078" max="3078" width="15.5703125" style="1107" customWidth="1"/>
    <col min="3079" max="3079" width="14.28515625" style="1107" customWidth="1"/>
    <col min="3080" max="3080" width="16" style="1107" customWidth="1"/>
    <col min="3081" max="3081" width="26.28515625" style="1107" customWidth="1"/>
    <col min="3082" max="3328" width="10.42578125" style="1107"/>
    <col min="3329" max="3329" width="4.42578125" style="1107" customWidth="1"/>
    <col min="3330" max="3330" width="7.42578125" style="1107" customWidth="1"/>
    <col min="3331" max="3331" width="42.85546875" style="1107" customWidth="1"/>
    <col min="3332" max="3332" width="10.42578125" style="1107"/>
    <col min="3333" max="3333" width="9.28515625" style="1107" customWidth="1"/>
    <col min="3334" max="3334" width="15.5703125" style="1107" customWidth="1"/>
    <col min="3335" max="3335" width="14.28515625" style="1107" customWidth="1"/>
    <col min="3336" max="3336" width="16" style="1107" customWidth="1"/>
    <col min="3337" max="3337" width="26.28515625" style="1107" customWidth="1"/>
    <col min="3338" max="3584" width="10.42578125" style="1107"/>
    <col min="3585" max="3585" width="4.42578125" style="1107" customWidth="1"/>
    <col min="3586" max="3586" width="7.42578125" style="1107" customWidth="1"/>
    <col min="3587" max="3587" width="42.85546875" style="1107" customWidth="1"/>
    <col min="3588" max="3588" width="10.42578125" style="1107"/>
    <col min="3589" max="3589" width="9.28515625" style="1107" customWidth="1"/>
    <col min="3590" max="3590" width="15.5703125" style="1107" customWidth="1"/>
    <col min="3591" max="3591" width="14.28515625" style="1107" customWidth="1"/>
    <col min="3592" max="3592" width="16" style="1107" customWidth="1"/>
    <col min="3593" max="3593" width="26.28515625" style="1107" customWidth="1"/>
    <col min="3594" max="3840" width="10.42578125" style="1107"/>
    <col min="3841" max="3841" width="4.42578125" style="1107" customWidth="1"/>
    <col min="3842" max="3842" width="7.42578125" style="1107" customWidth="1"/>
    <col min="3843" max="3843" width="42.85546875" style="1107" customWidth="1"/>
    <col min="3844" max="3844" width="10.42578125" style="1107"/>
    <col min="3845" max="3845" width="9.28515625" style="1107" customWidth="1"/>
    <col min="3846" max="3846" width="15.5703125" style="1107" customWidth="1"/>
    <col min="3847" max="3847" width="14.28515625" style="1107" customWidth="1"/>
    <col min="3848" max="3848" width="16" style="1107" customWidth="1"/>
    <col min="3849" max="3849" width="26.28515625" style="1107" customWidth="1"/>
    <col min="3850" max="4096" width="10.42578125" style="1107"/>
    <col min="4097" max="4097" width="4.42578125" style="1107" customWidth="1"/>
    <col min="4098" max="4098" width="7.42578125" style="1107" customWidth="1"/>
    <col min="4099" max="4099" width="42.85546875" style="1107" customWidth="1"/>
    <col min="4100" max="4100" width="10.42578125" style="1107"/>
    <col min="4101" max="4101" width="9.28515625" style="1107" customWidth="1"/>
    <col min="4102" max="4102" width="15.5703125" style="1107" customWidth="1"/>
    <col min="4103" max="4103" width="14.28515625" style="1107" customWidth="1"/>
    <col min="4104" max="4104" width="16" style="1107" customWidth="1"/>
    <col min="4105" max="4105" width="26.28515625" style="1107" customWidth="1"/>
    <col min="4106" max="4352" width="10.42578125" style="1107"/>
    <col min="4353" max="4353" width="4.42578125" style="1107" customWidth="1"/>
    <col min="4354" max="4354" width="7.42578125" style="1107" customWidth="1"/>
    <col min="4355" max="4355" width="42.85546875" style="1107" customWidth="1"/>
    <col min="4356" max="4356" width="10.42578125" style="1107"/>
    <col min="4357" max="4357" width="9.28515625" style="1107" customWidth="1"/>
    <col min="4358" max="4358" width="15.5703125" style="1107" customWidth="1"/>
    <col min="4359" max="4359" width="14.28515625" style="1107" customWidth="1"/>
    <col min="4360" max="4360" width="16" style="1107" customWidth="1"/>
    <col min="4361" max="4361" width="26.28515625" style="1107" customWidth="1"/>
    <col min="4362" max="4608" width="10.42578125" style="1107"/>
    <col min="4609" max="4609" width="4.42578125" style="1107" customWidth="1"/>
    <col min="4610" max="4610" width="7.42578125" style="1107" customWidth="1"/>
    <col min="4611" max="4611" width="42.85546875" style="1107" customWidth="1"/>
    <col min="4612" max="4612" width="10.42578125" style="1107"/>
    <col min="4613" max="4613" width="9.28515625" style="1107" customWidth="1"/>
    <col min="4614" max="4614" width="15.5703125" style="1107" customWidth="1"/>
    <col min="4615" max="4615" width="14.28515625" style="1107" customWidth="1"/>
    <col min="4616" max="4616" width="16" style="1107" customWidth="1"/>
    <col min="4617" max="4617" width="26.28515625" style="1107" customWidth="1"/>
    <col min="4618" max="4864" width="10.42578125" style="1107"/>
    <col min="4865" max="4865" width="4.42578125" style="1107" customWidth="1"/>
    <col min="4866" max="4866" width="7.42578125" style="1107" customWidth="1"/>
    <col min="4867" max="4867" width="42.85546875" style="1107" customWidth="1"/>
    <col min="4868" max="4868" width="10.42578125" style="1107"/>
    <col min="4869" max="4869" width="9.28515625" style="1107" customWidth="1"/>
    <col min="4870" max="4870" width="15.5703125" style="1107" customWidth="1"/>
    <col min="4871" max="4871" width="14.28515625" style="1107" customWidth="1"/>
    <col min="4872" max="4872" width="16" style="1107" customWidth="1"/>
    <col min="4873" max="4873" width="26.28515625" style="1107" customWidth="1"/>
    <col min="4874" max="5120" width="10.42578125" style="1107"/>
    <col min="5121" max="5121" width="4.42578125" style="1107" customWidth="1"/>
    <col min="5122" max="5122" width="7.42578125" style="1107" customWidth="1"/>
    <col min="5123" max="5123" width="42.85546875" style="1107" customWidth="1"/>
    <col min="5124" max="5124" width="10.42578125" style="1107"/>
    <col min="5125" max="5125" width="9.28515625" style="1107" customWidth="1"/>
    <col min="5126" max="5126" width="15.5703125" style="1107" customWidth="1"/>
    <col min="5127" max="5127" width="14.28515625" style="1107" customWidth="1"/>
    <col min="5128" max="5128" width="16" style="1107" customWidth="1"/>
    <col min="5129" max="5129" width="26.28515625" style="1107" customWidth="1"/>
    <col min="5130" max="5376" width="10.42578125" style="1107"/>
    <col min="5377" max="5377" width="4.42578125" style="1107" customWidth="1"/>
    <col min="5378" max="5378" width="7.42578125" style="1107" customWidth="1"/>
    <col min="5379" max="5379" width="42.85546875" style="1107" customWidth="1"/>
    <col min="5380" max="5380" width="10.42578125" style="1107"/>
    <col min="5381" max="5381" width="9.28515625" style="1107" customWidth="1"/>
    <col min="5382" max="5382" width="15.5703125" style="1107" customWidth="1"/>
    <col min="5383" max="5383" width="14.28515625" style="1107" customWidth="1"/>
    <col min="5384" max="5384" width="16" style="1107" customWidth="1"/>
    <col min="5385" max="5385" width="26.28515625" style="1107" customWidth="1"/>
    <col min="5386" max="5632" width="10.42578125" style="1107"/>
    <col min="5633" max="5633" width="4.42578125" style="1107" customWidth="1"/>
    <col min="5634" max="5634" width="7.42578125" style="1107" customWidth="1"/>
    <col min="5635" max="5635" width="42.85546875" style="1107" customWidth="1"/>
    <col min="5636" max="5636" width="10.42578125" style="1107"/>
    <col min="5637" max="5637" width="9.28515625" style="1107" customWidth="1"/>
    <col min="5638" max="5638" width="15.5703125" style="1107" customWidth="1"/>
    <col min="5639" max="5639" width="14.28515625" style="1107" customWidth="1"/>
    <col min="5640" max="5640" width="16" style="1107" customWidth="1"/>
    <col min="5641" max="5641" width="26.28515625" style="1107" customWidth="1"/>
    <col min="5642" max="5888" width="10.42578125" style="1107"/>
    <col min="5889" max="5889" width="4.42578125" style="1107" customWidth="1"/>
    <col min="5890" max="5890" width="7.42578125" style="1107" customWidth="1"/>
    <col min="5891" max="5891" width="42.85546875" style="1107" customWidth="1"/>
    <col min="5892" max="5892" width="10.42578125" style="1107"/>
    <col min="5893" max="5893" width="9.28515625" style="1107" customWidth="1"/>
    <col min="5894" max="5894" width="15.5703125" style="1107" customWidth="1"/>
    <col min="5895" max="5895" width="14.28515625" style="1107" customWidth="1"/>
    <col min="5896" max="5896" width="16" style="1107" customWidth="1"/>
    <col min="5897" max="5897" width="26.28515625" style="1107" customWidth="1"/>
    <col min="5898" max="6144" width="10.42578125" style="1107"/>
    <col min="6145" max="6145" width="4.42578125" style="1107" customWidth="1"/>
    <col min="6146" max="6146" width="7.42578125" style="1107" customWidth="1"/>
    <col min="6147" max="6147" width="42.85546875" style="1107" customWidth="1"/>
    <col min="6148" max="6148" width="10.42578125" style="1107"/>
    <col min="6149" max="6149" width="9.28515625" style="1107" customWidth="1"/>
    <col min="6150" max="6150" width="15.5703125" style="1107" customWidth="1"/>
    <col min="6151" max="6151" width="14.28515625" style="1107" customWidth="1"/>
    <col min="6152" max="6152" width="16" style="1107" customWidth="1"/>
    <col min="6153" max="6153" width="26.28515625" style="1107" customWidth="1"/>
    <col min="6154" max="6400" width="10.42578125" style="1107"/>
    <col min="6401" max="6401" width="4.42578125" style="1107" customWidth="1"/>
    <col min="6402" max="6402" width="7.42578125" style="1107" customWidth="1"/>
    <col min="6403" max="6403" width="42.85546875" style="1107" customWidth="1"/>
    <col min="6404" max="6404" width="10.42578125" style="1107"/>
    <col min="6405" max="6405" width="9.28515625" style="1107" customWidth="1"/>
    <col min="6406" max="6406" width="15.5703125" style="1107" customWidth="1"/>
    <col min="6407" max="6407" width="14.28515625" style="1107" customWidth="1"/>
    <col min="6408" max="6408" width="16" style="1107" customWidth="1"/>
    <col min="6409" max="6409" width="26.28515625" style="1107" customWidth="1"/>
    <col min="6410" max="6656" width="10.42578125" style="1107"/>
    <col min="6657" max="6657" width="4.42578125" style="1107" customWidth="1"/>
    <col min="6658" max="6658" width="7.42578125" style="1107" customWidth="1"/>
    <col min="6659" max="6659" width="42.85546875" style="1107" customWidth="1"/>
    <col min="6660" max="6660" width="10.42578125" style="1107"/>
    <col min="6661" max="6661" width="9.28515625" style="1107" customWidth="1"/>
    <col min="6662" max="6662" width="15.5703125" style="1107" customWidth="1"/>
    <col min="6663" max="6663" width="14.28515625" style="1107" customWidth="1"/>
    <col min="6664" max="6664" width="16" style="1107" customWidth="1"/>
    <col min="6665" max="6665" width="26.28515625" style="1107" customWidth="1"/>
    <col min="6666" max="6912" width="10.42578125" style="1107"/>
    <col min="6913" max="6913" width="4.42578125" style="1107" customWidth="1"/>
    <col min="6914" max="6914" width="7.42578125" style="1107" customWidth="1"/>
    <col min="6915" max="6915" width="42.85546875" style="1107" customWidth="1"/>
    <col min="6916" max="6916" width="10.42578125" style="1107"/>
    <col min="6917" max="6917" width="9.28515625" style="1107" customWidth="1"/>
    <col min="6918" max="6918" width="15.5703125" style="1107" customWidth="1"/>
    <col min="6919" max="6919" width="14.28515625" style="1107" customWidth="1"/>
    <col min="6920" max="6920" width="16" style="1107" customWidth="1"/>
    <col min="6921" max="6921" width="26.28515625" style="1107" customWidth="1"/>
    <col min="6922" max="7168" width="10.42578125" style="1107"/>
    <col min="7169" max="7169" width="4.42578125" style="1107" customWidth="1"/>
    <col min="7170" max="7170" width="7.42578125" style="1107" customWidth="1"/>
    <col min="7171" max="7171" width="42.85546875" style="1107" customWidth="1"/>
    <col min="7172" max="7172" width="10.42578125" style="1107"/>
    <col min="7173" max="7173" width="9.28515625" style="1107" customWidth="1"/>
    <col min="7174" max="7174" width="15.5703125" style="1107" customWidth="1"/>
    <col min="7175" max="7175" width="14.28515625" style="1107" customWidth="1"/>
    <col min="7176" max="7176" width="16" style="1107" customWidth="1"/>
    <col min="7177" max="7177" width="26.28515625" style="1107" customWidth="1"/>
    <col min="7178" max="7424" width="10.42578125" style="1107"/>
    <col min="7425" max="7425" width="4.42578125" style="1107" customWidth="1"/>
    <col min="7426" max="7426" width="7.42578125" style="1107" customWidth="1"/>
    <col min="7427" max="7427" width="42.85546875" style="1107" customWidth="1"/>
    <col min="7428" max="7428" width="10.42578125" style="1107"/>
    <col min="7429" max="7429" width="9.28515625" style="1107" customWidth="1"/>
    <col min="7430" max="7430" width="15.5703125" style="1107" customWidth="1"/>
    <col min="7431" max="7431" width="14.28515625" style="1107" customWidth="1"/>
    <col min="7432" max="7432" width="16" style="1107" customWidth="1"/>
    <col min="7433" max="7433" width="26.28515625" style="1107" customWidth="1"/>
    <col min="7434" max="7680" width="10.42578125" style="1107"/>
    <col min="7681" max="7681" width="4.42578125" style="1107" customWidth="1"/>
    <col min="7682" max="7682" width="7.42578125" style="1107" customWidth="1"/>
    <col min="7683" max="7683" width="42.85546875" style="1107" customWidth="1"/>
    <col min="7684" max="7684" width="10.42578125" style="1107"/>
    <col min="7685" max="7685" width="9.28515625" style="1107" customWidth="1"/>
    <col min="7686" max="7686" width="15.5703125" style="1107" customWidth="1"/>
    <col min="7687" max="7687" width="14.28515625" style="1107" customWidth="1"/>
    <col min="7688" max="7688" width="16" style="1107" customWidth="1"/>
    <col min="7689" max="7689" width="26.28515625" style="1107" customWidth="1"/>
    <col min="7690" max="7936" width="10.42578125" style="1107"/>
    <col min="7937" max="7937" width="4.42578125" style="1107" customWidth="1"/>
    <col min="7938" max="7938" width="7.42578125" style="1107" customWidth="1"/>
    <col min="7939" max="7939" width="42.85546875" style="1107" customWidth="1"/>
    <col min="7940" max="7940" width="10.42578125" style="1107"/>
    <col min="7941" max="7941" width="9.28515625" style="1107" customWidth="1"/>
    <col min="7942" max="7942" width="15.5703125" style="1107" customWidth="1"/>
    <col min="7943" max="7943" width="14.28515625" style="1107" customWidth="1"/>
    <col min="7944" max="7944" width="16" style="1107" customWidth="1"/>
    <col min="7945" max="7945" width="26.28515625" style="1107" customWidth="1"/>
    <col min="7946" max="8192" width="10.42578125" style="1107"/>
    <col min="8193" max="8193" width="4.42578125" style="1107" customWidth="1"/>
    <col min="8194" max="8194" width="7.42578125" style="1107" customWidth="1"/>
    <col min="8195" max="8195" width="42.85546875" style="1107" customWidth="1"/>
    <col min="8196" max="8196" width="10.42578125" style="1107"/>
    <col min="8197" max="8197" width="9.28515625" style="1107" customWidth="1"/>
    <col min="8198" max="8198" width="15.5703125" style="1107" customWidth="1"/>
    <col min="8199" max="8199" width="14.28515625" style="1107" customWidth="1"/>
    <col min="8200" max="8200" width="16" style="1107" customWidth="1"/>
    <col min="8201" max="8201" width="26.28515625" style="1107" customWidth="1"/>
    <col min="8202" max="8448" width="10.42578125" style="1107"/>
    <col min="8449" max="8449" width="4.42578125" style="1107" customWidth="1"/>
    <col min="8450" max="8450" width="7.42578125" style="1107" customWidth="1"/>
    <col min="8451" max="8451" width="42.85546875" style="1107" customWidth="1"/>
    <col min="8452" max="8452" width="10.42578125" style="1107"/>
    <col min="8453" max="8453" width="9.28515625" style="1107" customWidth="1"/>
    <col min="8454" max="8454" width="15.5703125" style="1107" customWidth="1"/>
    <col min="8455" max="8455" width="14.28515625" style="1107" customWidth="1"/>
    <col min="8456" max="8456" width="16" style="1107" customWidth="1"/>
    <col min="8457" max="8457" width="26.28515625" style="1107" customWidth="1"/>
    <col min="8458" max="8704" width="10.42578125" style="1107"/>
    <col min="8705" max="8705" width="4.42578125" style="1107" customWidth="1"/>
    <col min="8706" max="8706" width="7.42578125" style="1107" customWidth="1"/>
    <col min="8707" max="8707" width="42.85546875" style="1107" customWidth="1"/>
    <col min="8708" max="8708" width="10.42578125" style="1107"/>
    <col min="8709" max="8709" width="9.28515625" style="1107" customWidth="1"/>
    <col min="8710" max="8710" width="15.5703125" style="1107" customWidth="1"/>
    <col min="8711" max="8711" width="14.28515625" style="1107" customWidth="1"/>
    <col min="8712" max="8712" width="16" style="1107" customWidth="1"/>
    <col min="8713" max="8713" width="26.28515625" style="1107" customWidth="1"/>
    <col min="8714" max="8960" width="10.42578125" style="1107"/>
    <col min="8961" max="8961" width="4.42578125" style="1107" customWidth="1"/>
    <col min="8962" max="8962" width="7.42578125" style="1107" customWidth="1"/>
    <col min="8963" max="8963" width="42.85546875" style="1107" customWidth="1"/>
    <col min="8964" max="8964" width="10.42578125" style="1107"/>
    <col min="8965" max="8965" width="9.28515625" style="1107" customWidth="1"/>
    <col min="8966" max="8966" width="15.5703125" style="1107" customWidth="1"/>
    <col min="8967" max="8967" width="14.28515625" style="1107" customWidth="1"/>
    <col min="8968" max="8968" width="16" style="1107" customWidth="1"/>
    <col min="8969" max="8969" width="26.28515625" style="1107" customWidth="1"/>
    <col min="8970" max="9216" width="10.42578125" style="1107"/>
    <col min="9217" max="9217" width="4.42578125" style="1107" customWidth="1"/>
    <col min="9218" max="9218" width="7.42578125" style="1107" customWidth="1"/>
    <col min="9219" max="9219" width="42.85546875" style="1107" customWidth="1"/>
    <col min="9220" max="9220" width="10.42578125" style="1107"/>
    <col min="9221" max="9221" width="9.28515625" style="1107" customWidth="1"/>
    <col min="9222" max="9222" width="15.5703125" style="1107" customWidth="1"/>
    <col min="9223" max="9223" width="14.28515625" style="1107" customWidth="1"/>
    <col min="9224" max="9224" width="16" style="1107" customWidth="1"/>
    <col min="9225" max="9225" width="26.28515625" style="1107" customWidth="1"/>
    <col min="9226" max="9472" width="10.42578125" style="1107"/>
    <col min="9473" max="9473" width="4.42578125" style="1107" customWidth="1"/>
    <col min="9474" max="9474" width="7.42578125" style="1107" customWidth="1"/>
    <col min="9475" max="9475" width="42.85546875" style="1107" customWidth="1"/>
    <col min="9476" max="9476" width="10.42578125" style="1107"/>
    <col min="9477" max="9477" width="9.28515625" style="1107" customWidth="1"/>
    <col min="9478" max="9478" width="15.5703125" style="1107" customWidth="1"/>
    <col min="9479" max="9479" width="14.28515625" style="1107" customWidth="1"/>
    <col min="9480" max="9480" width="16" style="1107" customWidth="1"/>
    <col min="9481" max="9481" width="26.28515625" style="1107" customWidth="1"/>
    <col min="9482" max="9728" width="10.42578125" style="1107"/>
    <col min="9729" max="9729" width="4.42578125" style="1107" customWidth="1"/>
    <col min="9730" max="9730" width="7.42578125" style="1107" customWidth="1"/>
    <col min="9731" max="9731" width="42.85546875" style="1107" customWidth="1"/>
    <col min="9732" max="9732" width="10.42578125" style="1107"/>
    <col min="9733" max="9733" width="9.28515625" style="1107" customWidth="1"/>
    <col min="9734" max="9734" width="15.5703125" style="1107" customWidth="1"/>
    <col min="9735" max="9735" width="14.28515625" style="1107" customWidth="1"/>
    <col min="9736" max="9736" width="16" style="1107" customWidth="1"/>
    <col min="9737" max="9737" width="26.28515625" style="1107" customWidth="1"/>
    <col min="9738" max="9984" width="10.42578125" style="1107"/>
    <col min="9985" max="9985" width="4.42578125" style="1107" customWidth="1"/>
    <col min="9986" max="9986" width="7.42578125" style="1107" customWidth="1"/>
    <col min="9987" max="9987" width="42.85546875" style="1107" customWidth="1"/>
    <col min="9988" max="9988" width="10.42578125" style="1107"/>
    <col min="9989" max="9989" width="9.28515625" style="1107" customWidth="1"/>
    <col min="9990" max="9990" width="15.5703125" style="1107" customWidth="1"/>
    <col min="9991" max="9991" width="14.28515625" style="1107" customWidth="1"/>
    <col min="9992" max="9992" width="16" style="1107" customWidth="1"/>
    <col min="9993" max="9993" width="26.28515625" style="1107" customWidth="1"/>
    <col min="9994" max="10240" width="10.42578125" style="1107"/>
    <col min="10241" max="10241" width="4.42578125" style="1107" customWidth="1"/>
    <col min="10242" max="10242" width="7.42578125" style="1107" customWidth="1"/>
    <col min="10243" max="10243" width="42.85546875" style="1107" customWidth="1"/>
    <col min="10244" max="10244" width="10.42578125" style="1107"/>
    <col min="10245" max="10245" width="9.28515625" style="1107" customWidth="1"/>
    <col min="10246" max="10246" width="15.5703125" style="1107" customWidth="1"/>
    <col min="10247" max="10247" width="14.28515625" style="1107" customWidth="1"/>
    <col min="10248" max="10248" width="16" style="1107" customWidth="1"/>
    <col min="10249" max="10249" width="26.28515625" style="1107" customWidth="1"/>
    <col min="10250" max="10496" width="10.42578125" style="1107"/>
    <col min="10497" max="10497" width="4.42578125" style="1107" customWidth="1"/>
    <col min="10498" max="10498" width="7.42578125" style="1107" customWidth="1"/>
    <col min="10499" max="10499" width="42.85546875" style="1107" customWidth="1"/>
    <col min="10500" max="10500" width="10.42578125" style="1107"/>
    <col min="10501" max="10501" width="9.28515625" style="1107" customWidth="1"/>
    <col min="10502" max="10502" width="15.5703125" style="1107" customWidth="1"/>
    <col min="10503" max="10503" width="14.28515625" style="1107" customWidth="1"/>
    <col min="10504" max="10504" width="16" style="1107" customWidth="1"/>
    <col min="10505" max="10505" width="26.28515625" style="1107" customWidth="1"/>
    <col min="10506" max="10752" width="10.42578125" style="1107"/>
    <col min="10753" max="10753" width="4.42578125" style="1107" customWidth="1"/>
    <col min="10754" max="10754" width="7.42578125" style="1107" customWidth="1"/>
    <col min="10755" max="10755" width="42.85546875" style="1107" customWidth="1"/>
    <col min="10756" max="10756" width="10.42578125" style="1107"/>
    <col min="10757" max="10757" width="9.28515625" style="1107" customWidth="1"/>
    <col min="10758" max="10758" width="15.5703125" style="1107" customWidth="1"/>
    <col min="10759" max="10759" width="14.28515625" style="1107" customWidth="1"/>
    <col min="10760" max="10760" width="16" style="1107" customWidth="1"/>
    <col min="10761" max="10761" width="26.28515625" style="1107" customWidth="1"/>
    <col min="10762" max="11008" width="10.42578125" style="1107"/>
    <col min="11009" max="11009" width="4.42578125" style="1107" customWidth="1"/>
    <col min="11010" max="11010" width="7.42578125" style="1107" customWidth="1"/>
    <col min="11011" max="11011" width="42.85546875" style="1107" customWidth="1"/>
    <col min="11012" max="11012" width="10.42578125" style="1107"/>
    <col min="11013" max="11013" width="9.28515625" style="1107" customWidth="1"/>
    <col min="11014" max="11014" width="15.5703125" style="1107" customWidth="1"/>
    <col min="11015" max="11015" width="14.28515625" style="1107" customWidth="1"/>
    <col min="11016" max="11016" width="16" style="1107" customWidth="1"/>
    <col min="11017" max="11017" width="26.28515625" style="1107" customWidth="1"/>
    <col min="11018" max="11264" width="10.42578125" style="1107"/>
    <col min="11265" max="11265" width="4.42578125" style="1107" customWidth="1"/>
    <col min="11266" max="11266" width="7.42578125" style="1107" customWidth="1"/>
    <col min="11267" max="11267" width="42.85546875" style="1107" customWidth="1"/>
    <col min="11268" max="11268" width="10.42578125" style="1107"/>
    <col min="11269" max="11269" width="9.28515625" style="1107" customWidth="1"/>
    <col min="11270" max="11270" width="15.5703125" style="1107" customWidth="1"/>
    <col min="11271" max="11271" width="14.28515625" style="1107" customWidth="1"/>
    <col min="11272" max="11272" width="16" style="1107" customWidth="1"/>
    <col min="11273" max="11273" width="26.28515625" style="1107" customWidth="1"/>
    <col min="11274" max="11520" width="10.42578125" style="1107"/>
    <col min="11521" max="11521" width="4.42578125" style="1107" customWidth="1"/>
    <col min="11522" max="11522" width="7.42578125" style="1107" customWidth="1"/>
    <col min="11523" max="11523" width="42.85546875" style="1107" customWidth="1"/>
    <col min="11524" max="11524" width="10.42578125" style="1107"/>
    <col min="11525" max="11525" width="9.28515625" style="1107" customWidth="1"/>
    <col min="11526" max="11526" width="15.5703125" style="1107" customWidth="1"/>
    <col min="11527" max="11527" width="14.28515625" style="1107" customWidth="1"/>
    <col min="11528" max="11528" width="16" style="1107" customWidth="1"/>
    <col min="11529" max="11529" width="26.28515625" style="1107" customWidth="1"/>
    <col min="11530" max="11776" width="10.42578125" style="1107"/>
    <col min="11777" max="11777" width="4.42578125" style="1107" customWidth="1"/>
    <col min="11778" max="11778" width="7.42578125" style="1107" customWidth="1"/>
    <col min="11779" max="11779" width="42.85546875" style="1107" customWidth="1"/>
    <col min="11780" max="11780" width="10.42578125" style="1107"/>
    <col min="11781" max="11781" width="9.28515625" style="1107" customWidth="1"/>
    <col min="11782" max="11782" width="15.5703125" style="1107" customWidth="1"/>
    <col min="11783" max="11783" width="14.28515625" style="1107" customWidth="1"/>
    <col min="11784" max="11784" width="16" style="1107" customWidth="1"/>
    <col min="11785" max="11785" width="26.28515625" style="1107" customWidth="1"/>
    <col min="11786" max="12032" width="10.42578125" style="1107"/>
    <col min="12033" max="12033" width="4.42578125" style="1107" customWidth="1"/>
    <col min="12034" max="12034" width="7.42578125" style="1107" customWidth="1"/>
    <col min="12035" max="12035" width="42.85546875" style="1107" customWidth="1"/>
    <col min="12036" max="12036" width="10.42578125" style="1107"/>
    <col min="12037" max="12037" width="9.28515625" style="1107" customWidth="1"/>
    <col min="12038" max="12038" width="15.5703125" style="1107" customWidth="1"/>
    <col min="12039" max="12039" width="14.28515625" style="1107" customWidth="1"/>
    <col min="12040" max="12040" width="16" style="1107" customWidth="1"/>
    <col min="12041" max="12041" width="26.28515625" style="1107" customWidth="1"/>
    <col min="12042" max="12288" width="10.42578125" style="1107"/>
    <col min="12289" max="12289" width="4.42578125" style="1107" customWidth="1"/>
    <col min="12290" max="12290" width="7.42578125" style="1107" customWidth="1"/>
    <col min="12291" max="12291" width="42.85546875" style="1107" customWidth="1"/>
    <col min="12292" max="12292" width="10.42578125" style="1107"/>
    <col min="12293" max="12293" width="9.28515625" style="1107" customWidth="1"/>
    <col min="12294" max="12294" width="15.5703125" style="1107" customWidth="1"/>
    <col min="12295" max="12295" width="14.28515625" style="1107" customWidth="1"/>
    <col min="12296" max="12296" width="16" style="1107" customWidth="1"/>
    <col min="12297" max="12297" width="26.28515625" style="1107" customWidth="1"/>
    <col min="12298" max="12544" width="10.42578125" style="1107"/>
    <col min="12545" max="12545" width="4.42578125" style="1107" customWidth="1"/>
    <col min="12546" max="12546" width="7.42578125" style="1107" customWidth="1"/>
    <col min="12547" max="12547" width="42.85546875" style="1107" customWidth="1"/>
    <col min="12548" max="12548" width="10.42578125" style="1107"/>
    <col min="12549" max="12549" width="9.28515625" style="1107" customWidth="1"/>
    <col min="12550" max="12550" width="15.5703125" style="1107" customWidth="1"/>
    <col min="12551" max="12551" width="14.28515625" style="1107" customWidth="1"/>
    <col min="12552" max="12552" width="16" style="1107" customWidth="1"/>
    <col min="12553" max="12553" width="26.28515625" style="1107" customWidth="1"/>
    <col min="12554" max="12800" width="10.42578125" style="1107"/>
    <col min="12801" max="12801" width="4.42578125" style="1107" customWidth="1"/>
    <col min="12802" max="12802" width="7.42578125" style="1107" customWidth="1"/>
    <col min="12803" max="12803" width="42.85546875" style="1107" customWidth="1"/>
    <col min="12804" max="12804" width="10.42578125" style="1107"/>
    <col min="12805" max="12805" width="9.28515625" style="1107" customWidth="1"/>
    <col min="12806" max="12806" width="15.5703125" style="1107" customWidth="1"/>
    <col min="12807" max="12807" width="14.28515625" style="1107" customWidth="1"/>
    <col min="12808" max="12808" width="16" style="1107" customWidth="1"/>
    <col min="12809" max="12809" width="26.28515625" style="1107" customWidth="1"/>
    <col min="12810" max="13056" width="10.42578125" style="1107"/>
    <col min="13057" max="13057" width="4.42578125" style="1107" customWidth="1"/>
    <col min="13058" max="13058" width="7.42578125" style="1107" customWidth="1"/>
    <col min="13059" max="13059" width="42.85546875" style="1107" customWidth="1"/>
    <col min="13060" max="13060" width="10.42578125" style="1107"/>
    <col min="13061" max="13061" width="9.28515625" style="1107" customWidth="1"/>
    <col min="13062" max="13062" width="15.5703125" style="1107" customWidth="1"/>
    <col min="13063" max="13063" width="14.28515625" style="1107" customWidth="1"/>
    <col min="13064" max="13064" width="16" style="1107" customWidth="1"/>
    <col min="13065" max="13065" width="26.28515625" style="1107" customWidth="1"/>
    <col min="13066" max="13312" width="10.42578125" style="1107"/>
    <col min="13313" max="13313" width="4.42578125" style="1107" customWidth="1"/>
    <col min="13314" max="13314" width="7.42578125" style="1107" customWidth="1"/>
    <col min="13315" max="13315" width="42.85546875" style="1107" customWidth="1"/>
    <col min="13316" max="13316" width="10.42578125" style="1107"/>
    <col min="13317" max="13317" width="9.28515625" style="1107" customWidth="1"/>
    <col min="13318" max="13318" width="15.5703125" style="1107" customWidth="1"/>
    <col min="13319" max="13319" width="14.28515625" style="1107" customWidth="1"/>
    <col min="13320" max="13320" width="16" style="1107" customWidth="1"/>
    <col min="13321" max="13321" width="26.28515625" style="1107" customWidth="1"/>
    <col min="13322" max="13568" width="10.42578125" style="1107"/>
    <col min="13569" max="13569" width="4.42578125" style="1107" customWidth="1"/>
    <col min="13570" max="13570" width="7.42578125" style="1107" customWidth="1"/>
    <col min="13571" max="13571" width="42.85546875" style="1107" customWidth="1"/>
    <col min="13572" max="13572" width="10.42578125" style="1107"/>
    <col min="13573" max="13573" width="9.28515625" style="1107" customWidth="1"/>
    <col min="13574" max="13574" width="15.5703125" style="1107" customWidth="1"/>
    <col min="13575" max="13575" width="14.28515625" style="1107" customWidth="1"/>
    <col min="13576" max="13576" width="16" style="1107" customWidth="1"/>
    <col min="13577" max="13577" width="26.28515625" style="1107" customWidth="1"/>
    <col min="13578" max="13824" width="10.42578125" style="1107"/>
    <col min="13825" max="13825" width="4.42578125" style="1107" customWidth="1"/>
    <col min="13826" max="13826" width="7.42578125" style="1107" customWidth="1"/>
    <col min="13827" max="13827" width="42.85546875" style="1107" customWidth="1"/>
    <col min="13828" max="13828" width="10.42578125" style="1107"/>
    <col min="13829" max="13829" width="9.28515625" style="1107" customWidth="1"/>
    <col min="13830" max="13830" width="15.5703125" style="1107" customWidth="1"/>
    <col min="13831" max="13831" width="14.28515625" style="1107" customWidth="1"/>
    <col min="13832" max="13832" width="16" style="1107" customWidth="1"/>
    <col min="13833" max="13833" width="26.28515625" style="1107" customWidth="1"/>
    <col min="13834" max="14080" width="10.42578125" style="1107"/>
    <col min="14081" max="14081" width="4.42578125" style="1107" customWidth="1"/>
    <col min="14082" max="14082" width="7.42578125" style="1107" customWidth="1"/>
    <col min="14083" max="14083" width="42.85546875" style="1107" customWidth="1"/>
    <col min="14084" max="14084" width="10.42578125" style="1107"/>
    <col min="14085" max="14085" width="9.28515625" style="1107" customWidth="1"/>
    <col min="14086" max="14086" width="15.5703125" style="1107" customWidth="1"/>
    <col min="14087" max="14087" width="14.28515625" style="1107" customWidth="1"/>
    <col min="14088" max="14088" width="16" style="1107" customWidth="1"/>
    <col min="14089" max="14089" width="26.28515625" style="1107" customWidth="1"/>
    <col min="14090" max="14336" width="10.42578125" style="1107"/>
    <col min="14337" max="14337" width="4.42578125" style="1107" customWidth="1"/>
    <col min="14338" max="14338" width="7.42578125" style="1107" customWidth="1"/>
    <col min="14339" max="14339" width="42.85546875" style="1107" customWidth="1"/>
    <col min="14340" max="14340" width="10.42578125" style="1107"/>
    <col min="14341" max="14341" width="9.28515625" style="1107" customWidth="1"/>
    <col min="14342" max="14342" width="15.5703125" style="1107" customWidth="1"/>
    <col min="14343" max="14343" width="14.28515625" style="1107" customWidth="1"/>
    <col min="14344" max="14344" width="16" style="1107" customWidth="1"/>
    <col min="14345" max="14345" width="26.28515625" style="1107" customWidth="1"/>
    <col min="14346" max="14592" width="10.42578125" style="1107"/>
    <col min="14593" max="14593" width="4.42578125" style="1107" customWidth="1"/>
    <col min="14594" max="14594" width="7.42578125" style="1107" customWidth="1"/>
    <col min="14595" max="14595" width="42.85546875" style="1107" customWidth="1"/>
    <col min="14596" max="14596" width="10.42578125" style="1107"/>
    <col min="14597" max="14597" width="9.28515625" style="1107" customWidth="1"/>
    <col min="14598" max="14598" width="15.5703125" style="1107" customWidth="1"/>
    <col min="14599" max="14599" width="14.28515625" style="1107" customWidth="1"/>
    <col min="14600" max="14600" width="16" style="1107" customWidth="1"/>
    <col min="14601" max="14601" width="26.28515625" style="1107" customWidth="1"/>
    <col min="14602" max="14848" width="10.42578125" style="1107"/>
    <col min="14849" max="14849" width="4.42578125" style="1107" customWidth="1"/>
    <col min="14850" max="14850" width="7.42578125" style="1107" customWidth="1"/>
    <col min="14851" max="14851" width="42.85546875" style="1107" customWidth="1"/>
    <col min="14852" max="14852" width="10.42578125" style="1107"/>
    <col min="14853" max="14853" width="9.28515625" style="1107" customWidth="1"/>
    <col min="14854" max="14854" width="15.5703125" style="1107" customWidth="1"/>
    <col min="14855" max="14855" width="14.28515625" style="1107" customWidth="1"/>
    <col min="14856" max="14856" width="16" style="1107" customWidth="1"/>
    <col min="14857" max="14857" width="26.28515625" style="1107" customWidth="1"/>
    <col min="14858" max="15104" width="10.42578125" style="1107"/>
    <col min="15105" max="15105" width="4.42578125" style="1107" customWidth="1"/>
    <col min="15106" max="15106" width="7.42578125" style="1107" customWidth="1"/>
    <col min="15107" max="15107" width="42.85546875" style="1107" customWidth="1"/>
    <col min="15108" max="15108" width="10.42578125" style="1107"/>
    <col min="15109" max="15109" width="9.28515625" style="1107" customWidth="1"/>
    <col min="15110" max="15110" width="15.5703125" style="1107" customWidth="1"/>
    <col min="15111" max="15111" width="14.28515625" style="1107" customWidth="1"/>
    <col min="15112" max="15112" width="16" style="1107" customWidth="1"/>
    <col min="15113" max="15113" width="26.28515625" style="1107" customWidth="1"/>
    <col min="15114" max="15360" width="10.42578125" style="1107"/>
    <col min="15361" max="15361" width="4.42578125" style="1107" customWidth="1"/>
    <col min="15362" max="15362" width="7.42578125" style="1107" customWidth="1"/>
    <col min="15363" max="15363" width="42.85546875" style="1107" customWidth="1"/>
    <col min="15364" max="15364" width="10.42578125" style="1107"/>
    <col min="15365" max="15365" width="9.28515625" style="1107" customWidth="1"/>
    <col min="15366" max="15366" width="15.5703125" style="1107" customWidth="1"/>
    <col min="15367" max="15367" width="14.28515625" style="1107" customWidth="1"/>
    <col min="15368" max="15368" width="16" style="1107" customWidth="1"/>
    <col min="15369" max="15369" width="26.28515625" style="1107" customWidth="1"/>
    <col min="15370" max="15616" width="10.42578125" style="1107"/>
    <col min="15617" max="15617" width="4.42578125" style="1107" customWidth="1"/>
    <col min="15618" max="15618" width="7.42578125" style="1107" customWidth="1"/>
    <col min="15619" max="15619" width="42.85546875" style="1107" customWidth="1"/>
    <col min="15620" max="15620" width="10.42578125" style="1107"/>
    <col min="15621" max="15621" width="9.28515625" style="1107" customWidth="1"/>
    <col min="15622" max="15622" width="15.5703125" style="1107" customWidth="1"/>
    <col min="15623" max="15623" width="14.28515625" style="1107" customWidth="1"/>
    <col min="15624" max="15624" width="16" style="1107" customWidth="1"/>
    <col min="15625" max="15625" width="26.28515625" style="1107" customWidth="1"/>
    <col min="15626" max="15872" width="10.42578125" style="1107"/>
    <col min="15873" max="15873" width="4.42578125" style="1107" customWidth="1"/>
    <col min="15874" max="15874" width="7.42578125" style="1107" customWidth="1"/>
    <col min="15875" max="15875" width="42.85546875" style="1107" customWidth="1"/>
    <col min="15876" max="15876" width="10.42578125" style="1107"/>
    <col min="15877" max="15877" width="9.28515625" style="1107" customWidth="1"/>
    <col min="15878" max="15878" width="15.5703125" style="1107" customWidth="1"/>
    <col min="15879" max="15879" width="14.28515625" style="1107" customWidth="1"/>
    <col min="15880" max="15880" width="16" style="1107" customWidth="1"/>
    <col min="15881" max="15881" width="26.28515625" style="1107" customWidth="1"/>
    <col min="15882" max="16128" width="10.42578125" style="1107"/>
    <col min="16129" max="16129" width="4.42578125" style="1107" customWidth="1"/>
    <col min="16130" max="16130" width="7.42578125" style="1107" customWidth="1"/>
    <col min="16131" max="16131" width="42.85546875" style="1107" customWidth="1"/>
    <col min="16132" max="16132" width="10.42578125" style="1107"/>
    <col min="16133" max="16133" width="9.28515625" style="1107" customWidth="1"/>
    <col min="16134" max="16134" width="15.5703125" style="1107" customWidth="1"/>
    <col min="16135" max="16135" width="14.28515625" style="1107" customWidth="1"/>
    <col min="16136" max="16136" width="16" style="1107" customWidth="1"/>
    <col min="16137" max="16137" width="26.28515625" style="1107" customWidth="1"/>
    <col min="16138" max="16384" width="10.42578125" style="1107"/>
  </cols>
  <sheetData>
    <row r="2" spans="1:12" s="121" customFormat="1" ht="24.75" customHeight="1" x14ac:dyDescent="0.2">
      <c r="B2" s="137"/>
      <c r="C2" s="354" t="s">
        <v>59</v>
      </c>
      <c r="D2" s="155"/>
      <c r="E2" s="156"/>
      <c r="F2" s="157"/>
      <c r="G2" s="355" t="s">
        <v>60</v>
      </c>
      <c r="H2" s="122"/>
    </row>
    <row r="4" spans="1:12" s="1109" customFormat="1" x14ac:dyDescent="0.2">
      <c r="B4" s="756" t="s">
        <v>7</v>
      </c>
      <c r="C4" s="2724" t="s">
        <v>1114</v>
      </c>
      <c r="D4" s="757"/>
      <c r="E4" s="758"/>
      <c r="F4" s="759"/>
      <c r="G4" s="760"/>
      <c r="H4" s="1110"/>
    </row>
    <row r="5" spans="1:12" s="1109" customFormat="1" ht="12" customHeight="1" x14ac:dyDescent="0.2">
      <c r="B5" s="761"/>
      <c r="C5" s="762"/>
      <c r="D5" s="763"/>
      <c r="E5" s="764"/>
      <c r="F5" s="765"/>
      <c r="G5" s="766"/>
      <c r="H5" s="1110"/>
    </row>
    <row r="6" spans="1:12" s="1111" customFormat="1" ht="14.25" x14ac:dyDescent="0.2">
      <c r="B6" s="756" t="s">
        <v>80</v>
      </c>
      <c r="C6" s="3253" t="s">
        <v>1431</v>
      </c>
      <c r="D6" s="3230"/>
      <c r="E6" s="3230"/>
      <c r="F6" s="3230"/>
      <c r="G6" s="760"/>
      <c r="H6" s="1112"/>
      <c r="I6" s="1113"/>
      <c r="J6" s="1113"/>
      <c r="K6" s="1113"/>
      <c r="L6" s="1113"/>
    </row>
    <row r="7" spans="1:12" s="1111" customFormat="1" ht="14.25" x14ac:dyDescent="0.2">
      <c r="B7" s="761"/>
      <c r="C7" s="767"/>
      <c r="D7" s="768"/>
      <c r="E7" s="769"/>
      <c r="F7" s="770"/>
      <c r="G7" s="771"/>
      <c r="H7" s="1112"/>
      <c r="I7" s="1113"/>
      <c r="J7" s="1113"/>
      <c r="K7" s="1113"/>
      <c r="L7" s="1113"/>
    </row>
    <row r="8" spans="1:12" s="1109" customFormat="1" ht="18" customHeight="1" x14ac:dyDescent="0.2">
      <c r="A8" s="1114"/>
      <c r="B8" s="2865" t="s">
        <v>1</v>
      </c>
      <c r="C8" s="2866"/>
      <c r="D8" s="2867"/>
      <c r="E8" s="2867"/>
      <c r="F8" s="2867"/>
      <c r="G8" s="2868"/>
    </row>
    <row r="9" spans="1:12" s="1109" customFormat="1" ht="18" customHeight="1" x14ac:dyDescent="0.25">
      <c r="A9" s="1115"/>
      <c r="B9" s="2869" t="s">
        <v>2</v>
      </c>
      <c r="C9" s="2870"/>
      <c r="D9" s="2871"/>
      <c r="E9" s="2872"/>
      <c r="F9" s="2872"/>
      <c r="G9" s="2871"/>
    </row>
    <row r="10" spans="1:12" s="1109" customFormat="1" ht="18" customHeight="1" x14ac:dyDescent="0.2">
      <c r="A10" s="1114"/>
      <c r="B10" s="2865" t="s">
        <v>3</v>
      </c>
      <c r="C10" s="2866"/>
      <c r="D10" s="2867"/>
      <c r="E10" s="2867"/>
      <c r="F10" s="2867"/>
      <c r="G10" s="2868"/>
    </row>
    <row r="11" spans="1:12" s="1109" customFormat="1" ht="18" customHeight="1" x14ac:dyDescent="0.25">
      <c r="A11" s="1115"/>
      <c r="B11" s="2869" t="s">
        <v>4</v>
      </c>
      <c r="C11" s="2870"/>
      <c r="D11" s="2872"/>
      <c r="E11" s="2872"/>
      <c r="F11" s="2872"/>
      <c r="G11" s="2871"/>
    </row>
    <row r="12" spans="1:12" s="1111" customFormat="1" ht="14.25" x14ac:dyDescent="0.2">
      <c r="B12" s="1116"/>
      <c r="C12" s="1117"/>
      <c r="D12" s="1118"/>
      <c r="E12" s="1119"/>
      <c r="F12" s="1120"/>
      <c r="G12" s="1121"/>
      <c r="H12" s="1112"/>
      <c r="I12" s="1113"/>
      <c r="J12" s="1113"/>
      <c r="K12" s="1113"/>
      <c r="L12" s="1113"/>
    </row>
    <row r="13" spans="1:12" s="1111" customFormat="1" ht="14.25" x14ac:dyDescent="0.2">
      <c r="B13" s="1122"/>
      <c r="C13" s="1123" t="s">
        <v>82</v>
      </c>
      <c r="D13" s="1124"/>
      <c r="E13" s="1125"/>
      <c r="F13" s="1126"/>
      <c r="G13" s="1127"/>
      <c r="H13" s="1112"/>
      <c r="I13" s="1113"/>
      <c r="J13" s="1113"/>
      <c r="K13" s="1113"/>
      <c r="L13" s="1113"/>
    </row>
    <row r="14" spans="1:12" s="1109" customFormat="1" x14ac:dyDescent="0.2">
      <c r="B14" s="1122" t="s">
        <v>83</v>
      </c>
      <c r="C14" s="1128" t="s">
        <v>84</v>
      </c>
      <c r="D14" s="1129"/>
      <c r="E14" s="1130"/>
      <c r="F14" s="1131"/>
      <c r="G14" s="1132" t="s">
        <v>64</v>
      </c>
      <c r="H14" s="1110"/>
    </row>
    <row r="15" spans="1:12" s="1109" customFormat="1" x14ac:dyDescent="0.2">
      <c r="B15" s="1133" t="s">
        <v>10</v>
      </c>
      <c r="C15" s="1134" t="s">
        <v>85</v>
      </c>
      <c r="D15" s="1135"/>
      <c r="E15" s="1136"/>
      <c r="F15" s="1137"/>
      <c r="G15" s="1138">
        <f>G31</f>
        <v>0</v>
      </c>
      <c r="H15" s="1110"/>
    </row>
    <row r="16" spans="1:12" s="1109" customFormat="1" x14ac:dyDescent="0.2">
      <c r="B16" s="1133" t="s">
        <v>12</v>
      </c>
      <c r="C16" s="1134" t="s">
        <v>109</v>
      </c>
      <c r="D16" s="1135"/>
      <c r="E16" s="1136"/>
      <c r="F16" s="1137"/>
      <c r="G16" s="1138">
        <f>G127</f>
        <v>0</v>
      </c>
      <c r="H16" s="1110"/>
    </row>
    <row r="17" spans="2:9" s="1109" customFormat="1" x14ac:dyDescent="0.2">
      <c r="B17" s="1133" t="s">
        <v>17</v>
      </c>
      <c r="C17" s="1134" t="s">
        <v>87</v>
      </c>
      <c r="D17" s="1135"/>
      <c r="E17" s="1136"/>
      <c r="F17" s="1137"/>
      <c r="G17" s="1138">
        <f>G192</f>
        <v>0</v>
      </c>
      <c r="H17" s="1110"/>
    </row>
    <row r="18" spans="2:9" s="1109" customFormat="1" x14ac:dyDescent="0.2">
      <c r="B18" s="1139" t="s">
        <v>18</v>
      </c>
      <c r="C18" s="1134" t="s">
        <v>367</v>
      </c>
      <c r="D18" s="1135"/>
      <c r="E18" s="1136"/>
      <c r="F18" s="1140"/>
      <c r="G18" s="1138">
        <f>G432</f>
        <v>0</v>
      </c>
      <c r="H18" s="1110"/>
    </row>
    <row r="19" spans="2:9" s="1109" customFormat="1" x14ac:dyDescent="0.2">
      <c r="B19" s="2922"/>
      <c r="C19" s="2923" t="s">
        <v>88</v>
      </c>
      <c r="D19" s="2924"/>
      <c r="E19" s="2925"/>
      <c r="F19" s="2926"/>
      <c r="G19" s="2927">
        <f>SUM(G15:G18)</f>
        <v>0</v>
      </c>
      <c r="H19" s="1110"/>
    </row>
    <row r="20" spans="2:9" x14ac:dyDescent="0.2">
      <c r="B20" s="1141"/>
      <c r="C20" s="1142"/>
      <c r="D20" s="1143"/>
      <c r="E20" s="1144"/>
      <c r="F20" s="1145"/>
    </row>
    <row r="21" spans="2:9" x14ac:dyDescent="0.2">
      <c r="G21" s="1146"/>
    </row>
    <row r="22" spans="2:9" x14ac:dyDescent="0.2">
      <c r="B22" s="2841" t="s">
        <v>368</v>
      </c>
      <c r="C22" s="2842" t="s">
        <v>89</v>
      </c>
      <c r="D22" s="2843" t="s">
        <v>90</v>
      </c>
      <c r="E22" s="2838" t="s">
        <v>91</v>
      </c>
      <c r="F22" s="2839" t="s">
        <v>92</v>
      </c>
      <c r="G22" s="2840" t="s">
        <v>93</v>
      </c>
    </row>
    <row r="23" spans="2:9" x14ac:dyDescent="0.2">
      <c r="B23" s="811"/>
      <c r="C23" s="812"/>
      <c r="D23" s="813"/>
      <c r="E23" s="814"/>
      <c r="F23" s="815"/>
      <c r="G23" s="816"/>
    </row>
    <row r="24" spans="2:9" s="1148" customFormat="1" ht="20.25" x14ac:dyDescent="0.3">
      <c r="B24" s="817" t="s">
        <v>10</v>
      </c>
      <c r="C24" s="818" t="s">
        <v>85</v>
      </c>
      <c r="D24" s="819"/>
      <c r="E24" s="820"/>
      <c r="F24" s="821"/>
      <c r="G24" s="822"/>
      <c r="H24" s="1147"/>
    </row>
    <row r="25" spans="2:9" x14ac:dyDescent="0.2">
      <c r="B25" s="811" t="s">
        <v>369</v>
      </c>
      <c r="C25" s="1149" t="s">
        <v>370</v>
      </c>
      <c r="D25" s="878" t="s">
        <v>123</v>
      </c>
      <c r="E25" s="814">
        <v>6</v>
      </c>
      <c r="F25" s="866">
        <v>0</v>
      </c>
      <c r="G25" s="867">
        <f t="shared" ref="G25:G30" si="0">E25*F25</f>
        <v>0</v>
      </c>
    </row>
    <row r="26" spans="2:9" ht="117" customHeight="1" x14ac:dyDescent="0.2">
      <c r="B26" s="811" t="s">
        <v>371</v>
      </c>
      <c r="C26" s="898" t="s">
        <v>99</v>
      </c>
      <c r="D26" s="1150" t="s">
        <v>98</v>
      </c>
      <c r="E26" s="814">
        <v>1</v>
      </c>
      <c r="F26" s="866">
        <v>0</v>
      </c>
      <c r="G26" s="867">
        <f t="shared" si="0"/>
        <v>0</v>
      </c>
      <c r="I26" s="1151"/>
    </row>
    <row r="27" spans="2:9" ht="30.75" customHeight="1" x14ac:dyDescent="0.2">
      <c r="B27" s="811" t="s">
        <v>372</v>
      </c>
      <c r="C27" s="1149" t="s">
        <v>100</v>
      </c>
      <c r="D27" s="210" t="s">
        <v>98</v>
      </c>
      <c r="E27" s="814">
        <v>1</v>
      </c>
      <c r="F27" s="866">
        <v>0</v>
      </c>
      <c r="G27" s="867">
        <f t="shared" si="0"/>
        <v>0</v>
      </c>
    </row>
    <row r="28" spans="2:9" ht="45" customHeight="1" x14ac:dyDescent="0.2">
      <c r="B28" s="811" t="s">
        <v>373</v>
      </c>
      <c r="C28" s="1152" t="s">
        <v>102</v>
      </c>
      <c r="D28" s="210" t="s">
        <v>98</v>
      </c>
      <c r="E28" s="814">
        <v>2</v>
      </c>
      <c r="F28" s="866">
        <v>0</v>
      </c>
      <c r="G28" s="867">
        <f t="shared" si="0"/>
        <v>0</v>
      </c>
    </row>
    <row r="29" spans="2:9" ht="14.25" customHeight="1" x14ac:dyDescent="0.2">
      <c r="B29" s="811" t="s">
        <v>374</v>
      </c>
      <c r="C29" s="1152" t="s">
        <v>105</v>
      </c>
      <c r="D29" s="210" t="s">
        <v>98</v>
      </c>
      <c r="E29" s="814">
        <v>1</v>
      </c>
      <c r="F29" s="866">
        <v>0</v>
      </c>
      <c r="G29" s="867">
        <f t="shared" si="0"/>
        <v>0</v>
      </c>
    </row>
    <row r="30" spans="2:9" ht="38.25" customHeight="1" x14ac:dyDescent="0.2">
      <c r="B30" s="811" t="s">
        <v>375</v>
      </c>
      <c r="C30" s="1153" t="s">
        <v>106</v>
      </c>
      <c r="D30" s="210" t="s">
        <v>98</v>
      </c>
      <c r="E30" s="1154">
        <v>1</v>
      </c>
      <c r="F30" s="866">
        <v>0</v>
      </c>
      <c r="G30" s="867">
        <f t="shared" si="0"/>
        <v>0</v>
      </c>
    </row>
    <row r="31" spans="2:9" x14ac:dyDescent="0.2">
      <c r="B31" s="1155" t="s">
        <v>10</v>
      </c>
      <c r="C31" s="1156" t="s">
        <v>108</v>
      </c>
      <c r="D31" s="1157"/>
      <c r="E31" s="1158"/>
      <c r="F31" s="1159"/>
      <c r="G31" s="2320">
        <f>SUM(G25:G30)</f>
        <v>0</v>
      </c>
    </row>
    <row r="32" spans="2:9" x14ac:dyDescent="0.2">
      <c r="B32" s="811"/>
      <c r="C32" s="812"/>
      <c r="D32" s="813"/>
      <c r="E32" s="814"/>
      <c r="F32" s="815"/>
      <c r="G32" s="816"/>
    </row>
    <row r="33" spans="2:12" x14ac:dyDescent="0.2">
      <c r="B33" s="1160" t="s">
        <v>368</v>
      </c>
      <c r="C33" s="1161" t="s">
        <v>89</v>
      </c>
      <c r="D33" s="1162" t="s">
        <v>90</v>
      </c>
      <c r="E33" s="1163" t="s">
        <v>91</v>
      </c>
      <c r="F33" s="1164" t="s">
        <v>92</v>
      </c>
      <c r="G33" s="1165" t="s">
        <v>93</v>
      </c>
    </row>
    <row r="34" spans="2:12" x14ac:dyDescent="0.2">
      <c r="B34" s="811"/>
      <c r="C34" s="877"/>
      <c r="D34" s="878"/>
      <c r="E34" s="814"/>
      <c r="F34" s="815"/>
      <c r="G34" s="816"/>
    </row>
    <row r="35" spans="2:12" s="1148" customFormat="1" ht="20.25" x14ac:dyDescent="0.3">
      <c r="B35" s="817" t="s">
        <v>12</v>
      </c>
      <c r="C35" s="879" t="s">
        <v>109</v>
      </c>
      <c r="D35" s="880"/>
      <c r="E35" s="820"/>
      <c r="F35" s="821"/>
      <c r="G35" s="822"/>
      <c r="H35" s="1147"/>
    </row>
    <row r="36" spans="2:12" s="1148" customFormat="1" ht="20.25" x14ac:dyDescent="0.3">
      <c r="B36" s="817" t="s">
        <v>357</v>
      </c>
      <c r="C36" s="879" t="s">
        <v>358</v>
      </c>
      <c r="D36" s="880"/>
      <c r="E36" s="820"/>
      <c r="F36" s="821"/>
      <c r="G36" s="822"/>
      <c r="H36" s="1147"/>
    </row>
    <row r="37" spans="2:12" s="130" customFormat="1" ht="71.25" customHeight="1" x14ac:dyDescent="0.2">
      <c r="B37" s="3257" t="s">
        <v>110</v>
      </c>
      <c r="C37" s="3258"/>
      <c r="D37" s="3258"/>
      <c r="E37" s="3258"/>
      <c r="F37" s="3258"/>
      <c r="G37" s="3259"/>
      <c r="H37" s="1108"/>
    </row>
    <row r="38" spans="2:12" ht="24" x14ac:dyDescent="0.2">
      <c r="B38" s="1166" t="s">
        <v>377</v>
      </c>
      <c r="C38" s="1149" t="s">
        <v>111</v>
      </c>
      <c r="D38" s="878" t="s">
        <v>112</v>
      </c>
      <c r="E38" s="814">
        <v>30</v>
      </c>
      <c r="F38" s="866">
        <v>0</v>
      </c>
      <c r="G38" s="867">
        <f t="shared" ref="G38:G48" si="1">E38*F38</f>
        <v>0</v>
      </c>
      <c r="I38" s="1167"/>
    </row>
    <row r="39" spans="2:12" ht="24" x14ac:dyDescent="0.2">
      <c r="B39" s="1166" t="s">
        <v>378</v>
      </c>
      <c r="C39" s="1149" t="s">
        <v>379</v>
      </c>
      <c r="D39" s="878" t="s">
        <v>117</v>
      </c>
      <c r="E39" s="814">
        <v>84</v>
      </c>
      <c r="F39" s="866">
        <v>0</v>
      </c>
      <c r="G39" s="867">
        <f t="shared" si="1"/>
        <v>0</v>
      </c>
      <c r="I39" s="1167"/>
    </row>
    <row r="40" spans="2:12" ht="24" x14ac:dyDescent="0.2">
      <c r="B40" s="1166" t="s">
        <v>380</v>
      </c>
      <c r="C40" s="1149" t="s">
        <v>381</v>
      </c>
      <c r="D40" s="1150" t="s">
        <v>112</v>
      </c>
      <c r="E40" s="814">
        <v>18.75</v>
      </c>
      <c r="F40" s="866">
        <v>0</v>
      </c>
      <c r="G40" s="867">
        <f t="shared" si="1"/>
        <v>0</v>
      </c>
      <c r="I40" s="1168"/>
      <c r="K40" s="1169"/>
      <c r="L40" s="1169"/>
    </row>
    <row r="41" spans="2:12" ht="24" customHeight="1" x14ac:dyDescent="0.2">
      <c r="B41" s="1166" t="s">
        <v>382</v>
      </c>
      <c r="C41" s="1149" t="s">
        <v>383</v>
      </c>
      <c r="D41" s="1150" t="s">
        <v>112</v>
      </c>
      <c r="E41" s="814">
        <v>106.25</v>
      </c>
      <c r="F41" s="866">
        <v>0</v>
      </c>
      <c r="G41" s="867">
        <f t="shared" si="1"/>
        <v>0</v>
      </c>
      <c r="I41" s="1168"/>
    </row>
    <row r="42" spans="2:12" ht="42" customHeight="1" x14ac:dyDescent="0.2">
      <c r="B42" s="1166" t="s">
        <v>384</v>
      </c>
      <c r="C42" s="1149" t="s">
        <v>385</v>
      </c>
      <c r="D42" s="1150" t="s">
        <v>117</v>
      </c>
      <c r="E42" s="814">
        <v>100</v>
      </c>
      <c r="F42" s="866">
        <v>0</v>
      </c>
      <c r="G42" s="867">
        <f t="shared" si="1"/>
        <v>0</v>
      </c>
      <c r="I42" s="1167"/>
    </row>
    <row r="43" spans="2:12" ht="24" x14ac:dyDescent="0.2">
      <c r="B43" s="1166" t="s">
        <v>386</v>
      </c>
      <c r="C43" s="1149" t="s">
        <v>387</v>
      </c>
      <c r="D43" s="1150" t="s">
        <v>112</v>
      </c>
      <c r="E43" s="814">
        <v>40</v>
      </c>
      <c r="F43" s="866">
        <v>0</v>
      </c>
      <c r="G43" s="867">
        <f t="shared" si="1"/>
        <v>0</v>
      </c>
      <c r="I43" s="1169"/>
    </row>
    <row r="44" spans="2:12" s="130" customFormat="1" ht="25.5" customHeight="1" x14ac:dyDescent="0.2">
      <c r="B44" s="1166" t="s">
        <v>388</v>
      </c>
      <c r="C44" s="409" t="s">
        <v>389</v>
      </c>
      <c r="D44" s="210" t="s">
        <v>112</v>
      </c>
      <c r="E44" s="814">
        <v>50</v>
      </c>
      <c r="F44" s="866">
        <v>0</v>
      </c>
      <c r="G44" s="867">
        <f t="shared" si="1"/>
        <v>0</v>
      </c>
      <c r="H44" s="1108"/>
    </row>
    <row r="45" spans="2:12" ht="31.5" customHeight="1" x14ac:dyDescent="0.2">
      <c r="B45" s="1166" t="s">
        <v>390</v>
      </c>
      <c r="C45" s="1149" t="s">
        <v>133</v>
      </c>
      <c r="D45" s="1150" t="s">
        <v>112</v>
      </c>
      <c r="E45" s="814">
        <v>30</v>
      </c>
      <c r="F45" s="866">
        <v>0</v>
      </c>
      <c r="G45" s="867">
        <f t="shared" si="1"/>
        <v>0</v>
      </c>
      <c r="I45" s="1169"/>
    </row>
    <row r="46" spans="2:12" x14ac:dyDescent="0.2">
      <c r="B46" s="1166" t="s">
        <v>391</v>
      </c>
      <c r="C46" s="1149" t="s">
        <v>134</v>
      </c>
      <c r="D46" s="1150" t="s">
        <v>112</v>
      </c>
      <c r="E46" s="814">
        <v>8.75</v>
      </c>
      <c r="F46" s="866">
        <v>0</v>
      </c>
      <c r="G46" s="867">
        <f t="shared" si="1"/>
        <v>0</v>
      </c>
    </row>
    <row r="47" spans="2:12" x14ac:dyDescent="0.2">
      <c r="B47" s="1166" t="s">
        <v>392</v>
      </c>
      <c r="C47" s="1149" t="s">
        <v>135</v>
      </c>
      <c r="D47" s="1150" t="s">
        <v>112</v>
      </c>
      <c r="E47" s="814">
        <v>8.75</v>
      </c>
      <c r="F47" s="866">
        <v>0</v>
      </c>
      <c r="G47" s="867">
        <f t="shared" si="1"/>
        <v>0</v>
      </c>
    </row>
    <row r="48" spans="2:12" ht="24" x14ac:dyDescent="0.2">
      <c r="B48" s="1166" t="s">
        <v>393</v>
      </c>
      <c r="C48" s="1149" t="s">
        <v>394</v>
      </c>
      <c r="D48" s="1150" t="s">
        <v>117</v>
      </c>
      <c r="E48" s="814">
        <v>150</v>
      </c>
      <c r="F48" s="866">
        <v>0</v>
      </c>
      <c r="G48" s="867">
        <f t="shared" si="1"/>
        <v>0</v>
      </c>
    </row>
    <row r="49" spans="2:9" x14ac:dyDescent="0.2">
      <c r="B49" s="1155" t="s">
        <v>357</v>
      </c>
      <c r="C49" s="1156" t="s">
        <v>157</v>
      </c>
      <c r="D49" s="1170"/>
      <c r="E49" s="1158"/>
      <c r="F49" s="1159"/>
      <c r="G49" s="2320">
        <f>SUM(G38:G48)</f>
        <v>0</v>
      </c>
    </row>
    <row r="50" spans="2:9" x14ac:dyDescent="0.2">
      <c r="B50" s="811"/>
      <c r="C50" s="812"/>
      <c r="D50" s="813"/>
      <c r="E50" s="814"/>
      <c r="F50" s="815"/>
      <c r="G50" s="816"/>
    </row>
    <row r="51" spans="2:9" x14ac:dyDescent="0.2">
      <c r="B51" s="1160" t="s">
        <v>368</v>
      </c>
      <c r="C51" s="1161" t="s">
        <v>89</v>
      </c>
      <c r="D51" s="1162" t="s">
        <v>90</v>
      </c>
      <c r="E51" s="1163" t="s">
        <v>91</v>
      </c>
      <c r="F51" s="1164" t="s">
        <v>92</v>
      </c>
      <c r="G51" s="1165" t="s">
        <v>93</v>
      </c>
    </row>
    <row r="52" spans="2:9" x14ac:dyDescent="0.2">
      <c r="B52" s="811"/>
      <c r="C52" s="877"/>
      <c r="D52" s="878"/>
      <c r="E52" s="814"/>
      <c r="F52" s="815"/>
      <c r="G52" s="816"/>
    </row>
    <row r="53" spans="2:9" s="1148" customFormat="1" ht="20.25" x14ac:dyDescent="0.3">
      <c r="B53" s="817" t="s">
        <v>359</v>
      </c>
      <c r="C53" s="879" t="s">
        <v>360</v>
      </c>
      <c r="D53" s="880"/>
      <c r="E53" s="820"/>
      <c r="F53" s="821"/>
      <c r="G53" s="822"/>
      <c r="H53" s="1147"/>
    </row>
    <row r="54" spans="2:9" s="130" customFormat="1" ht="24.75" customHeight="1" x14ac:dyDescent="0.2">
      <c r="B54" s="3257" t="s">
        <v>397</v>
      </c>
      <c r="C54" s="3258"/>
      <c r="D54" s="3258"/>
      <c r="E54" s="3258"/>
      <c r="F54" s="3258"/>
      <c r="G54" s="3259"/>
      <c r="H54" s="1108"/>
    </row>
    <row r="55" spans="2:9" ht="24" x14ac:dyDescent="0.2">
      <c r="B55" s="1166" t="s">
        <v>398</v>
      </c>
      <c r="C55" s="1149" t="s">
        <v>399</v>
      </c>
      <c r="D55" s="878" t="s">
        <v>112</v>
      </c>
      <c r="E55" s="814">
        <v>5.93</v>
      </c>
      <c r="F55" s="866">
        <v>0</v>
      </c>
      <c r="G55" s="867">
        <f>E55*F55</f>
        <v>0</v>
      </c>
      <c r="I55" s="1167"/>
    </row>
    <row r="56" spans="2:9" ht="24" x14ac:dyDescent="0.2">
      <c r="B56" s="1166" t="s">
        <v>400</v>
      </c>
      <c r="C56" s="1149" t="s">
        <v>401</v>
      </c>
      <c r="D56" s="878" t="s">
        <v>112</v>
      </c>
      <c r="E56" s="814">
        <v>15.56</v>
      </c>
      <c r="F56" s="866">
        <v>0</v>
      </c>
      <c r="G56" s="867">
        <f>E56*F56</f>
        <v>0</v>
      </c>
      <c r="I56" s="1171"/>
    </row>
    <row r="57" spans="2:9" ht="24" x14ac:dyDescent="0.2">
      <c r="B57" s="1166" t="s">
        <v>402</v>
      </c>
      <c r="C57" s="1149" t="s">
        <v>403</v>
      </c>
      <c r="D57" s="878" t="s">
        <v>112</v>
      </c>
      <c r="E57" s="814">
        <v>29.41</v>
      </c>
      <c r="F57" s="866">
        <v>0</v>
      </c>
      <c r="G57" s="867">
        <f>E57*F57</f>
        <v>0</v>
      </c>
      <c r="I57" s="1167"/>
    </row>
    <row r="58" spans="2:9" ht="24" customHeight="1" x14ac:dyDescent="0.2">
      <c r="B58" s="1166" t="s">
        <v>404</v>
      </c>
      <c r="C58" s="1149" t="s">
        <v>407</v>
      </c>
      <c r="D58" s="1150" t="s">
        <v>112</v>
      </c>
      <c r="E58" s="814">
        <v>0.48</v>
      </c>
      <c r="F58" s="866">
        <v>0</v>
      </c>
      <c r="G58" s="867">
        <f>E58*F58</f>
        <v>0</v>
      </c>
      <c r="I58" s="1168"/>
    </row>
    <row r="59" spans="2:9" ht="26.25" customHeight="1" x14ac:dyDescent="0.2">
      <c r="B59" s="1166" t="s">
        <v>406</v>
      </c>
      <c r="C59" s="1172" t="s">
        <v>409</v>
      </c>
      <c r="D59" s="219" t="s">
        <v>112</v>
      </c>
      <c r="E59" s="1173">
        <v>1.32</v>
      </c>
      <c r="F59" s="866">
        <v>0</v>
      </c>
      <c r="G59" s="867">
        <f>E59*F59</f>
        <v>0</v>
      </c>
      <c r="I59" s="1167"/>
    </row>
    <row r="60" spans="2:9" ht="27.75" customHeight="1" x14ac:dyDescent="0.2">
      <c r="B60" s="1166" t="s">
        <v>408</v>
      </c>
      <c r="C60" s="1149" t="s">
        <v>411</v>
      </c>
      <c r="D60" s="1150"/>
      <c r="E60" s="814"/>
      <c r="F60" s="866"/>
      <c r="G60" s="867"/>
      <c r="I60" s="1167"/>
    </row>
    <row r="61" spans="2:9" x14ac:dyDescent="0.2">
      <c r="B61" s="1166"/>
      <c r="C61" s="1149" t="s">
        <v>412</v>
      </c>
      <c r="D61" s="1150" t="s">
        <v>413</v>
      </c>
      <c r="E61" s="814">
        <v>972</v>
      </c>
      <c r="F61" s="866">
        <v>0</v>
      </c>
      <c r="G61" s="867">
        <f>E61*F61</f>
        <v>0</v>
      </c>
      <c r="I61" s="1174"/>
    </row>
    <row r="62" spans="2:9" x14ac:dyDescent="0.2">
      <c r="B62" s="1166"/>
      <c r="C62" s="1149" t="s">
        <v>414</v>
      </c>
      <c r="D62" s="1150" t="s">
        <v>413</v>
      </c>
      <c r="E62" s="814">
        <v>972.7</v>
      </c>
      <c r="F62" s="866">
        <v>0</v>
      </c>
      <c r="G62" s="867">
        <f>E62*F62</f>
        <v>0</v>
      </c>
      <c r="I62" s="1175"/>
    </row>
    <row r="63" spans="2:9" x14ac:dyDescent="0.2">
      <c r="B63" s="1155" t="s">
        <v>359</v>
      </c>
      <c r="C63" s="1156" t="s">
        <v>415</v>
      </c>
      <c r="D63" s="1170"/>
      <c r="E63" s="1158"/>
      <c r="F63" s="1159"/>
      <c r="G63" s="2320">
        <f>SUM(G55:G62)</f>
        <v>0</v>
      </c>
    </row>
    <row r="64" spans="2:9" x14ac:dyDescent="0.2">
      <c r="B64" s="811"/>
      <c r="C64" s="812"/>
      <c r="D64" s="813"/>
      <c r="E64" s="814"/>
      <c r="F64" s="815"/>
      <c r="G64" s="816"/>
    </row>
    <row r="65" spans="2:12" x14ac:dyDescent="0.2">
      <c r="B65" s="1160" t="s">
        <v>368</v>
      </c>
      <c r="C65" s="1161" t="s">
        <v>89</v>
      </c>
      <c r="D65" s="1162" t="s">
        <v>90</v>
      </c>
      <c r="E65" s="1163" t="s">
        <v>91</v>
      </c>
      <c r="F65" s="1164" t="s">
        <v>92</v>
      </c>
      <c r="G65" s="1165" t="s">
        <v>93</v>
      </c>
    </row>
    <row r="66" spans="2:12" x14ac:dyDescent="0.2">
      <c r="B66" s="811"/>
      <c r="C66" s="877"/>
      <c r="D66" s="878"/>
      <c r="E66" s="814"/>
      <c r="F66" s="815"/>
      <c r="G66" s="816"/>
    </row>
    <row r="67" spans="2:12" s="1148" customFormat="1" ht="20.25" x14ac:dyDescent="0.3">
      <c r="B67" s="817" t="s">
        <v>361</v>
      </c>
      <c r="C67" s="879" t="s">
        <v>362</v>
      </c>
      <c r="D67" s="880"/>
      <c r="E67" s="820"/>
      <c r="F67" s="821"/>
      <c r="G67" s="822"/>
      <c r="H67" s="1147"/>
    </row>
    <row r="68" spans="2:12" s="130" customFormat="1" ht="32.25" customHeight="1" x14ac:dyDescent="0.2">
      <c r="B68" s="3257" t="s">
        <v>1432</v>
      </c>
      <c r="C68" s="3258"/>
      <c r="D68" s="3258"/>
      <c r="E68" s="3258"/>
      <c r="F68" s="3258"/>
      <c r="G68" s="3259"/>
      <c r="H68" s="1108"/>
    </row>
    <row r="69" spans="2:12" ht="36" x14ac:dyDescent="0.2">
      <c r="B69" s="1166" t="s">
        <v>417</v>
      </c>
      <c r="C69" s="1149" t="s">
        <v>418</v>
      </c>
      <c r="D69" s="878" t="s">
        <v>95</v>
      </c>
      <c r="E69" s="814">
        <v>44.2</v>
      </c>
      <c r="F69" s="866">
        <v>0</v>
      </c>
      <c r="G69" s="867">
        <f t="shared" ref="G69:G76" si="2">E69*F69</f>
        <v>0</v>
      </c>
      <c r="I69" s="1167"/>
    </row>
    <row r="70" spans="2:12" ht="36" x14ac:dyDescent="0.2">
      <c r="B70" s="1166" t="s">
        <v>419</v>
      </c>
      <c r="C70" s="1149" t="s">
        <v>420</v>
      </c>
      <c r="D70" s="878" t="s">
        <v>95</v>
      </c>
      <c r="E70" s="814">
        <v>42.4</v>
      </c>
      <c r="F70" s="866">
        <v>0</v>
      </c>
      <c r="G70" s="867">
        <f t="shared" si="2"/>
        <v>0</v>
      </c>
      <c r="I70" s="1167"/>
    </row>
    <row r="71" spans="2:12" ht="24" x14ac:dyDescent="0.2">
      <c r="B71" s="1166" t="s">
        <v>421</v>
      </c>
      <c r="C71" s="1149" t="s">
        <v>422</v>
      </c>
      <c r="D71" s="878" t="s">
        <v>117</v>
      </c>
      <c r="E71" s="814">
        <v>34.68</v>
      </c>
      <c r="F71" s="866">
        <v>0</v>
      </c>
      <c r="G71" s="867">
        <f t="shared" si="2"/>
        <v>0</v>
      </c>
      <c r="I71" s="1167"/>
    </row>
    <row r="72" spans="2:12" ht="36" x14ac:dyDescent="0.2">
      <c r="B72" s="1166" t="s">
        <v>423</v>
      </c>
      <c r="C72" s="1149" t="s">
        <v>429</v>
      </c>
      <c r="D72" s="878" t="s">
        <v>95</v>
      </c>
      <c r="E72" s="814">
        <v>34.200000000000003</v>
      </c>
      <c r="F72" s="866">
        <v>0</v>
      </c>
      <c r="G72" s="867">
        <f t="shared" si="2"/>
        <v>0</v>
      </c>
      <c r="I72" s="1167"/>
    </row>
    <row r="73" spans="2:12" ht="36" x14ac:dyDescent="0.2">
      <c r="B73" s="1166" t="s">
        <v>425</v>
      </c>
      <c r="C73" s="1149" t="s">
        <v>431</v>
      </c>
      <c r="D73" s="878" t="s">
        <v>123</v>
      </c>
      <c r="E73" s="814">
        <v>4</v>
      </c>
      <c r="F73" s="866">
        <v>0</v>
      </c>
      <c r="G73" s="867">
        <f t="shared" si="2"/>
        <v>0</v>
      </c>
      <c r="I73" s="1167"/>
    </row>
    <row r="74" spans="2:12" ht="48" x14ac:dyDescent="0.2">
      <c r="B74" s="1166" t="s">
        <v>428</v>
      </c>
      <c r="C74" s="1149" t="s">
        <v>433</v>
      </c>
      <c r="D74" s="878" t="s">
        <v>117</v>
      </c>
      <c r="E74" s="814">
        <v>68.400000000000006</v>
      </c>
      <c r="F74" s="866">
        <v>0</v>
      </c>
      <c r="G74" s="867">
        <f t="shared" si="2"/>
        <v>0</v>
      </c>
      <c r="I74" s="1167"/>
    </row>
    <row r="75" spans="2:12" ht="36" x14ac:dyDescent="0.2">
      <c r="B75" s="1166" t="s">
        <v>430</v>
      </c>
      <c r="C75" s="1149" t="s">
        <v>435</v>
      </c>
      <c r="D75" s="878" t="s">
        <v>117</v>
      </c>
      <c r="E75" s="814">
        <v>68.400000000000006</v>
      </c>
      <c r="F75" s="866">
        <v>0</v>
      </c>
      <c r="G75" s="867">
        <f t="shared" si="2"/>
        <v>0</v>
      </c>
      <c r="I75" s="1167"/>
    </row>
    <row r="76" spans="2:12" ht="24" x14ac:dyDescent="0.2">
      <c r="B76" s="1166" t="s">
        <v>432</v>
      </c>
      <c r="C76" s="1149" t="s">
        <v>437</v>
      </c>
      <c r="D76" s="878" t="s">
        <v>117</v>
      </c>
      <c r="E76" s="814">
        <v>68.400000000000006</v>
      </c>
      <c r="F76" s="866">
        <v>0</v>
      </c>
      <c r="G76" s="867">
        <f t="shared" si="2"/>
        <v>0</v>
      </c>
      <c r="I76" s="1167"/>
    </row>
    <row r="77" spans="2:12" x14ac:dyDescent="0.2">
      <c r="B77" s="1166" t="s">
        <v>434</v>
      </c>
      <c r="C77" s="1149" t="s">
        <v>439</v>
      </c>
      <c r="D77" s="1150"/>
      <c r="E77" s="814"/>
      <c r="F77" s="866"/>
      <c r="G77" s="867"/>
      <c r="I77" s="1168"/>
      <c r="K77" s="1169"/>
      <c r="L77" s="1169"/>
    </row>
    <row r="78" spans="2:12" ht="12.75" customHeight="1" x14ac:dyDescent="0.2">
      <c r="B78" s="1166"/>
      <c r="C78" s="1149" t="s">
        <v>440</v>
      </c>
      <c r="D78" s="1150" t="s">
        <v>156</v>
      </c>
      <c r="E78" s="814">
        <v>20</v>
      </c>
      <c r="F78" s="866">
        <v>0</v>
      </c>
      <c r="G78" s="867">
        <f>E78*F78</f>
        <v>0</v>
      </c>
      <c r="I78" s="1168"/>
    </row>
    <row r="79" spans="2:12" ht="12.75" customHeight="1" x14ac:dyDescent="0.2">
      <c r="B79" s="1166"/>
      <c r="C79" s="1172" t="s">
        <v>441</v>
      </c>
      <c r="D79" s="219" t="s">
        <v>156</v>
      </c>
      <c r="E79" s="1173">
        <v>20</v>
      </c>
      <c r="F79" s="866">
        <v>0</v>
      </c>
      <c r="G79" s="867">
        <f>E79*F79</f>
        <v>0</v>
      </c>
      <c r="I79" s="1167"/>
    </row>
    <row r="80" spans="2:12" x14ac:dyDescent="0.2">
      <c r="B80" s="1155" t="s">
        <v>361</v>
      </c>
      <c r="C80" s="1156" t="s">
        <v>442</v>
      </c>
      <c r="D80" s="1170"/>
      <c r="E80" s="1158"/>
      <c r="F80" s="1159"/>
      <c r="G80" s="2320">
        <f>SUM(G69:G79)</f>
        <v>0</v>
      </c>
    </row>
    <row r="81" spans="2:9" x14ac:dyDescent="0.2">
      <c r="B81" s="811"/>
      <c r="C81" s="812"/>
      <c r="D81" s="813"/>
      <c r="E81" s="814"/>
      <c r="F81" s="815"/>
      <c r="G81" s="816"/>
    </row>
    <row r="82" spans="2:9" x14ac:dyDescent="0.2">
      <c r="B82" s="1160" t="s">
        <v>368</v>
      </c>
      <c r="C82" s="1161" t="s">
        <v>89</v>
      </c>
      <c r="D82" s="1162" t="s">
        <v>90</v>
      </c>
      <c r="E82" s="1163" t="s">
        <v>91</v>
      </c>
      <c r="F82" s="1164" t="s">
        <v>92</v>
      </c>
      <c r="G82" s="1165" t="s">
        <v>93</v>
      </c>
    </row>
    <row r="83" spans="2:9" x14ac:dyDescent="0.2">
      <c r="B83" s="811"/>
      <c r="C83" s="877"/>
      <c r="D83" s="878"/>
      <c r="E83" s="814"/>
      <c r="F83" s="815"/>
      <c r="G83" s="816"/>
    </row>
    <row r="84" spans="2:9" s="1148" customFormat="1" ht="20.25" x14ac:dyDescent="0.3">
      <c r="B84" s="817" t="s">
        <v>363</v>
      </c>
      <c r="C84" s="879" t="s">
        <v>364</v>
      </c>
      <c r="D84" s="880"/>
      <c r="E84" s="820"/>
      <c r="F84" s="821"/>
      <c r="G84" s="822"/>
      <c r="H84" s="1147"/>
    </row>
    <row r="85" spans="2:9" s="130" customFormat="1" ht="23.25" customHeight="1" x14ac:dyDescent="0.2">
      <c r="B85" s="3257" t="s">
        <v>1433</v>
      </c>
      <c r="C85" s="3258"/>
      <c r="D85" s="3258"/>
      <c r="E85" s="3258"/>
      <c r="F85" s="3258"/>
      <c r="G85" s="3259"/>
      <c r="H85" s="1108"/>
    </row>
    <row r="86" spans="2:9" ht="60" x14ac:dyDescent="0.2">
      <c r="B86" s="1166" t="s">
        <v>444</v>
      </c>
      <c r="C86" s="1149" t="s">
        <v>1434</v>
      </c>
      <c r="D86" s="878" t="s">
        <v>117</v>
      </c>
      <c r="E86" s="814">
        <v>12.72</v>
      </c>
      <c r="F86" s="866">
        <v>0</v>
      </c>
      <c r="G86" s="867">
        <f t="shared" ref="G86:G95" si="3">E86*F86</f>
        <v>0</v>
      </c>
      <c r="I86" s="1167"/>
    </row>
    <row r="87" spans="2:9" ht="36" x14ac:dyDescent="0.2">
      <c r="B87" s="1166" t="s">
        <v>446</v>
      </c>
      <c r="C87" s="1149" t="s">
        <v>1435</v>
      </c>
      <c r="D87" s="878" t="s">
        <v>117</v>
      </c>
      <c r="E87" s="814">
        <v>51</v>
      </c>
      <c r="F87" s="866">
        <v>0</v>
      </c>
      <c r="G87" s="867">
        <f t="shared" si="3"/>
        <v>0</v>
      </c>
      <c r="I87" s="1167"/>
    </row>
    <row r="88" spans="2:9" x14ac:dyDescent="0.2">
      <c r="B88" s="1166" t="s">
        <v>448</v>
      </c>
      <c r="C88" s="1149" t="s">
        <v>449</v>
      </c>
      <c r="D88" s="878" t="s">
        <v>450</v>
      </c>
      <c r="E88" s="814">
        <v>1</v>
      </c>
      <c r="F88" s="866">
        <v>0</v>
      </c>
      <c r="G88" s="867">
        <f t="shared" si="3"/>
        <v>0</v>
      </c>
      <c r="I88" s="1167"/>
    </row>
    <row r="89" spans="2:9" ht="36" x14ac:dyDescent="0.2">
      <c r="B89" s="1166" t="s">
        <v>451</v>
      </c>
      <c r="C89" s="1149" t="s">
        <v>452</v>
      </c>
      <c r="D89" s="878" t="s">
        <v>117</v>
      </c>
      <c r="E89" s="814">
        <v>44.4</v>
      </c>
      <c r="F89" s="866">
        <v>0</v>
      </c>
      <c r="G89" s="867">
        <f t="shared" si="3"/>
        <v>0</v>
      </c>
      <c r="I89" s="1167"/>
    </row>
    <row r="90" spans="2:9" ht="60" x14ac:dyDescent="0.2">
      <c r="B90" s="1166" t="s">
        <v>453</v>
      </c>
      <c r="C90" s="1149" t="s">
        <v>454</v>
      </c>
      <c r="D90" s="878" t="s">
        <v>95</v>
      </c>
      <c r="E90" s="814">
        <v>42.4</v>
      </c>
      <c r="F90" s="866">
        <v>0</v>
      </c>
      <c r="G90" s="867">
        <f t="shared" si="3"/>
        <v>0</v>
      </c>
      <c r="I90" s="1167"/>
    </row>
    <row r="91" spans="2:9" ht="36" x14ac:dyDescent="0.2">
      <c r="B91" s="1166" t="s">
        <v>455</v>
      </c>
      <c r="C91" s="1149" t="s">
        <v>456</v>
      </c>
      <c r="D91" s="878" t="s">
        <v>112</v>
      </c>
      <c r="E91" s="814">
        <v>27.6</v>
      </c>
      <c r="F91" s="866">
        <v>0</v>
      </c>
      <c r="G91" s="867">
        <f t="shared" si="3"/>
        <v>0</v>
      </c>
      <c r="I91" s="1167"/>
    </row>
    <row r="92" spans="2:9" ht="36" x14ac:dyDescent="0.2">
      <c r="B92" s="1166" t="s">
        <v>457</v>
      </c>
      <c r="C92" s="1149" t="s">
        <v>458</v>
      </c>
      <c r="D92" s="878" t="s">
        <v>117</v>
      </c>
      <c r="E92" s="814">
        <v>92</v>
      </c>
      <c r="F92" s="866">
        <v>0</v>
      </c>
      <c r="G92" s="867">
        <f t="shared" si="3"/>
        <v>0</v>
      </c>
      <c r="I92" s="1167"/>
    </row>
    <row r="93" spans="2:9" ht="60" x14ac:dyDescent="0.2">
      <c r="B93" s="1166" t="s">
        <v>459</v>
      </c>
      <c r="C93" s="1149" t="s">
        <v>1436</v>
      </c>
      <c r="D93" s="878" t="s">
        <v>117</v>
      </c>
      <c r="E93" s="814">
        <v>92</v>
      </c>
      <c r="F93" s="866">
        <v>0</v>
      </c>
      <c r="G93" s="867">
        <f t="shared" si="3"/>
        <v>0</v>
      </c>
      <c r="I93" s="1167"/>
    </row>
    <row r="94" spans="2:9" ht="36" x14ac:dyDescent="0.2">
      <c r="B94" s="1166" t="s">
        <v>461</v>
      </c>
      <c r="C94" s="1149" t="s">
        <v>462</v>
      </c>
      <c r="D94" s="878" t="s">
        <v>117</v>
      </c>
      <c r="E94" s="814">
        <v>14.6</v>
      </c>
      <c r="F94" s="866">
        <v>0</v>
      </c>
      <c r="G94" s="867">
        <f t="shared" si="3"/>
        <v>0</v>
      </c>
      <c r="I94" s="1167"/>
    </row>
    <row r="95" spans="2:9" x14ac:dyDescent="0.2">
      <c r="B95" s="1166" t="s">
        <v>463</v>
      </c>
      <c r="C95" s="1149" t="s">
        <v>464</v>
      </c>
      <c r="D95" s="878" t="s">
        <v>117</v>
      </c>
      <c r="E95" s="814">
        <v>52.8</v>
      </c>
      <c r="F95" s="866">
        <v>0</v>
      </c>
      <c r="G95" s="867">
        <f t="shared" si="3"/>
        <v>0</v>
      </c>
      <c r="I95" s="1167"/>
    </row>
    <row r="96" spans="2:9" x14ac:dyDescent="0.2">
      <c r="B96" s="1166" t="s">
        <v>465</v>
      </c>
      <c r="C96" s="1149" t="s">
        <v>466</v>
      </c>
      <c r="D96" s="878"/>
      <c r="E96" s="814"/>
      <c r="F96" s="866"/>
      <c r="G96" s="867"/>
      <c r="I96" s="1167"/>
    </row>
    <row r="97" spans="2:9" x14ac:dyDescent="0.2">
      <c r="B97" s="1166"/>
      <c r="C97" s="1149" t="s">
        <v>467</v>
      </c>
      <c r="D97" s="878" t="s">
        <v>156</v>
      </c>
      <c r="E97" s="814">
        <v>20</v>
      </c>
      <c r="F97" s="866">
        <v>0</v>
      </c>
      <c r="G97" s="867">
        <f>E97*F97</f>
        <v>0</v>
      </c>
      <c r="I97" s="1167"/>
    </row>
    <row r="98" spans="2:9" x14ac:dyDescent="0.2">
      <c r="B98" s="1166"/>
      <c r="C98" s="1149" t="s">
        <v>468</v>
      </c>
      <c r="D98" s="878" t="s">
        <v>156</v>
      </c>
      <c r="E98" s="814">
        <v>40</v>
      </c>
      <c r="F98" s="866">
        <v>0</v>
      </c>
      <c r="G98" s="867">
        <f>E98*F98</f>
        <v>0</v>
      </c>
      <c r="I98" s="1167"/>
    </row>
    <row r="99" spans="2:9" x14ac:dyDescent="0.2">
      <c r="B99" s="1155" t="s">
        <v>363</v>
      </c>
      <c r="C99" s="1156" t="s">
        <v>469</v>
      </c>
      <c r="D99" s="1170"/>
      <c r="E99" s="1158"/>
      <c r="F99" s="1159"/>
      <c r="G99" s="2320">
        <f>SUM(G86:G98)</f>
        <v>0</v>
      </c>
    </row>
    <row r="100" spans="2:9" x14ac:dyDescent="0.2">
      <c r="B100" s="811"/>
      <c r="C100" s="812"/>
      <c r="D100" s="813"/>
      <c r="E100" s="814"/>
      <c r="F100" s="815"/>
      <c r="G100" s="816"/>
    </row>
    <row r="101" spans="2:9" x14ac:dyDescent="0.2">
      <c r="B101" s="1160" t="s">
        <v>368</v>
      </c>
      <c r="C101" s="1161" t="s">
        <v>89</v>
      </c>
      <c r="D101" s="1162" t="s">
        <v>90</v>
      </c>
      <c r="E101" s="1163" t="s">
        <v>91</v>
      </c>
      <c r="F101" s="1164" t="s">
        <v>92</v>
      </c>
      <c r="G101" s="1165" t="s">
        <v>93</v>
      </c>
    </row>
    <row r="102" spans="2:9" x14ac:dyDescent="0.2">
      <c r="B102" s="811"/>
      <c r="C102" s="877"/>
      <c r="D102" s="878"/>
      <c r="E102" s="814"/>
      <c r="F102" s="815"/>
      <c r="G102" s="816"/>
    </row>
    <row r="103" spans="2:9" s="1148" customFormat="1" ht="20.25" x14ac:dyDescent="0.3">
      <c r="B103" s="817" t="s">
        <v>365</v>
      </c>
      <c r="C103" s="879" t="s">
        <v>366</v>
      </c>
      <c r="D103" s="880"/>
      <c r="E103" s="820"/>
      <c r="F103" s="821"/>
      <c r="G103" s="822"/>
      <c r="H103" s="1147"/>
    </row>
    <row r="104" spans="2:9" s="130" customFormat="1" ht="23.25" customHeight="1" x14ac:dyDescent="0.2">
      <c r="B104" s="3257" t="s">
        <v>470</v>
      </c>
      <c r="C104" s="3258"/>
      <c r="D104" s="3258"/>
      <c r="E104" s="3258"/>
      <c r="F104" s="3258"/>
      <c r="G104" s="3259"/>
      <c r="H104" s="1108"/>
    </row>
    <row r="105" spans="2:9" ht="24" x14ac:dyDescent="0.2">
      <c r="B105" s="1166" t="s">
        <v>471</v>
      </c>
      <c r="C105" s="1149" t="s">
        <v>472</v>
      </c>
      <c r="D105" s="878" t="s">
        <v>117</v>
      </c>
      <c r="E105" s="814">
        <v>144.80000000000001</v>
      </c>
      <c r="F105" s="866">
        <v>0</v>
      </c>
      <c r="G105" s="867">
        <f t="shared" ref="G105:G123" si="4">E105*F105</f>
        <v>0</v>
      </c>
      <c r="I105" s="1167"/>
    </row>
    <row r="106" spans="2:9" ht="24" x14ac:dyDescent="0.2">
      <c r="B106" s="1166" t="s">
        <v>474</v>
      </c>
      <c r="C106" s="1149" t="s">
        <v>475</v>
      </c>
      <c r="D106" s="878" t="s">
        <v>117</v>
      </c>
      <c r="E106" s="814">
        <v>68.400000000000006</v>
      </c>
      <c r="F106" s="866">
        <v>0</v>
      </c>
      <c r="G106" s="867">
        <f t="shared" si="4"/>
        <v>0</v>
      </c>
      <c r="I106" s="1167"/>
    </row>
    <row r="107" spans="2:9" ht="48" x14ac:dyDescent="0.2">
      <c r="B107" s="1166" t="s">
        <v>476</v>
      </c>
      <c r="C107" s="2932" t="s">
        <v>2542</v>
      </c>
      <c r="D107" s="878" t="s">
        <v>117</v>
      </c>
      <c r="E107" s="814">
        <v>52.8</v>
      </c>
      <c r="F107" s="866">
        <v>0</v>
      </c>
      <c r="G107" s="867">
        <f t="shared" si="4"/>
        <v>0</v>
      </c>
      <c r="I107" s="1167"/>
    </row>
    <row r="108" spans="2:9" ht="60" x14ac:dyDescent="0.2">
      <c r="B108" s="1166" t="s">
        <v>477</v>
      </c>
      <c r="C108" s="1149" t="s">
        <v>1437</v>
      </c>
      <c r="D108" s="878" t="s">
        <v>149</v>
      </c>
      <c r="E108" s="814">
        <v>1</v>
      </c>
      <c r="F108" s="866">
        <v>0</v>
      </c>
      <c r="G108" s="867">
        <f t="shared" si="4"/>
        <v>0</v>
      </c>
      <c r="I108" s="1167"/>
    </row>
    <row r="109" spans="2:9" s="121" customFormat="1" ht="53.25" customHeight="1" x14ac:dyDescent="0.2">
      <c r="B109" s="131"/>
      <c r="C109" s="206" t="s">
        <v>2547</v>
      </c>
      <c r="D109" s="207" t="s">
        <v>149</v>
      </c>
      <c r="E109" s="353">
        <v>1</v>
      </c>
      <c r="F109" s="467">
        <v>0</v>
      </c>
      <c r="G109" s="352">
        <f t="shared" si="4"/>
        <v>0</v>
      </c>
    </row>
    <row r="110" spans="2:9" ht="60" x14ac:dyDescent="0.2">
      <c r="B110" s="1166" t="s">
        <v>478</v>
      </c>
      <c r="C110" s="1149" t="s">
        <v>479</v>
      </c>
      <c r="D110" s="878" t="s">
        <v>117</v>
      </c>
      <c r="E110" s="814">
        <v>87.24</v>
      </c>
      <c r="F110" s="866">
        <v>0</v>
      </c>
      <c r="G110" s="867">
        <f t="shared" si="4"/>
        <v>0</v>
      </c>
      <c r="I110" s="1167"/>
    </row>
    <row r="111" spans="2:9" ht="36" x14ac:dyDescent="0.2">
      <c r="B111" s="1166" t="s">
        <v>480</v>
      </c>
      <c r="C111" s="1149" t="s">
        <v>481</v>
      </c>
      <c r="D111" s="878" t="s">
        <v>117</v>
      </c>
      <c r="E111" s="814">
        <v>52.8</v>
      </c>
      <c r="F111" s="866">
        <v>0</v>
      </c>
      <c r="G111" s="867">
        <f t="shared" si="4"/>
        <v>0</v>
      </c>
      <c r="I111" s="1167"/>
    </row>
    <row r="112" spans="2:9" ht="40.5" customHeight="1" x14ac:dyDescent="0.2">
      <c r="B112" s="1166" t="s">
        <v>482</v>
      </c>
      <c r="C112" s="1149" t="s">
        <v>483</v>
      </c>
      <c r="D112" s="878" t="s">
        <v>123</v>
      </c>
      <c r="E112" s="814">
        <v>1</v>
      </c>
      <c r="F112" s="866">
        <v>0</v>
      </c>
      <c r="G112" s="867">
        <f t="shared" si="4"/>
        <v>0</v>
      </c>
      <c r="I112" s="1167"/>
    </row>
    <row r="113" spans="2:9" ht="36" x14ac:dyDescent="0.2">
      <c r="B113" s="1166" t="s">
        <v>484</v>
      </c>
      <c r="C113" s="1149" t="s">
        <v>485</v>
      </c>
      <c r="D113" s="878" t="s">
        <v>95</v>
      </c>
      <c r="E113" s="814">
        <v>18</v>
      </c>
      <c r="F113" s="866">
        <v>0</v>
      </c>
      <c r="G113" s="867">
        <f t="shared" si="4"/>
        <v>0</v>
      </c>
      <c r="I113" s="1167"/>
    </row>
    <row r="114" spans="2:9" ht="36" x14ac:dyDescent="0.2">
      <c r="B114" s="1166" t="s">
        <v>486</v>
      </c>
      <c r="C114" s="1149" t="s">
        <v>487</v>
      </c>
      <c r="D114" s="878" t="s">
        <v>95</v>
      </c>
      <c r="E114" s="814">
        <v>6</v>
      </c>
      <c r="F114" s="866">
        <v>0</v>
      </c>
      <c r="G114" s="867">
        <f t="shared" si="4"/>
        <v>0</v>
      </c>
      <c r="I114" s="1167"/>
    </row>
    <row r="115" spans="2:9" ht="24" x14ac:dyDescent="0.2">
      <c r="B115" s="1166" t="s">
        <v>488</v>
      </c>
      <c r="C115" s="1149" t="s">
        <v>489</v>
      </c>
      <c r="D115" s="878" t="s">
        <v>149</v>
      </c>
      <c r="E115" s="814">
        <v>2</v>
      </c>
      <c r="F115" s="866">
        <v>0</v>
      </c>
      <c r="G115" s="867">
        <f t="shared" si="4"/>
        <v>0</v>
      </c>
      <c r="I115" s="1167"/>
    </row>
    <row r="116" spans="2:9" ht="39.75" customHeight="1" x14ac:dyDescent="0.2">
      <c r="B116" s="1166" t="s">
        <v>490</v>
      </c>
      <c r="C116" s="1149" t="s">
        <v>491</v>
      </c>
      <c r="D116" s="878" t="s">
        <v>95</v>
      </c>
      <c r="E116" s="814">
        <v>33.200000000000003</v>
      </c>
      <c r="F116" s="866">
        <v>0</v>
      </c>
      <c r="G116" s="867">
        <f t="shared" si="4"/>
        <v>0</v>
      </c>
      <c r="I116" s="1167"/>
    </row>
    <row r="117" spans="2:9" ht="36" x14ac:dyDescent="0.2">
      <c r="B117" s="1166" t="s">
        <v>492</v>
      </c>
      <c r="C117" s="1149" t="s">
        <v>493</v>
      </c>
      <c r="D117" s="878" t="s">
        <v>149</v>
      </c>
      <c r="E117" s="814">
        <v>4</v>
      </c>
      <c r="F117" s="866">
        <v>0</v>
      </c>
      <c r="G117" s="867">
        <f t="shared" si="4"/>
        <v>0</v>
      </c>
      <c r="I117" s="1167"/>
    </row>
    <row r="118" spans="2:9" ht="36" x14ac:dyDescent="0.2">
      <c r="B118" s="1166" t="s">
        <v>494</v>
      </c>
      <c r="C118" s="1149" t="s">
        <v>1438</v>
      </c>
      <c r="D118" s="878" t="s">
        <v>95</v>
      </c>
      <c r="E118" s="814">
        <v>7.4</v>
      </c>
      <c r="F118" s="866">
        <v>0</v>
      </c>
      <c r="G118" s="867">
        <f t="shared" si="4"/>
        <v>0</v>
      </c>
      <c r="I118" s="1167"/>
    </row>
    <row r="119" spans="2:9" ht="36" x14ac:dyDescent="0.2">
      <c r="B119" s="1166" t="s">
        <v>496</v>
      </c>
      <c r="C119" s="1149" t="s">
        <v>497</v>
      </c>
      <c r="D119" s="878" t="s">
        <v>149</v>
      </c>
      <c r="E119" s="814">
        <v>1</v>
      </c>
      <c r="F119" s="866">
        <v>0</v>
      </c>
      <c r="G119" s="867">
        <f t="shared" si="4"/>
        <v>0</v>
      </c>
      <c r="I119" s="1167"/>
    </row>
    <row r="120" spans="2:9" x14ac:dyDescent="0.2">
      <c r="B120" s="1166" t="s">
        <v>498</v>
      </c>
      <c r="C120" s="1149" t="s">
        <v>499</v>
      </c>
      <c r="D120" s="878" t="s">
        <v>149</v>
      </c>
      <c r="E120" s="814">
        <v>1</v>
      </c>
      <c r="F120" s="866">
        <v>0</v>
      </c>
      <c r="G120" s="867">
        <f t="shared" si="4"/>
        <v>0</v>
      </c>
      <c r="I120" s="1167"/>
    </row>
    <row r="121" spans="2:9" ht="24" x14ac:dyDescent="0.2">
      <c r="B121" s="1166" t="s">
        <v>500</v>
      </c>
      <c r="C121" s="1149" t="s">
        <v>501</v>
      </c>
      <c r="D121" s="878" t="s">
        <v>149</v>
      </c>
      <c r="E121" s="814">
        <v>1</v>
      </c>
      <c r="F121" s="866">
        <v>0</v>
      </c>
      <c r="G121" s="867">
        <f t="shared" si="4"/>
        <v>0</v>
      </c>
      <c r="I121" s="1167"/>
    </row>
    <row r="122" spans="2:9" ht="27" customHeight="1" x14ac:dyDescent="0.2">
      <c r="B122" s="1166" t="s">
        <v>502</v>
      </c>
      <c r="C122" s="206" t="s">
        <v>2575</v>
      </c>
      <c r="D122" s="878" t="s">
        <v>95</v>
      </c>
      <c r="E122" s="814">
        <v>50</v>
      </c>
      <c r="F122" s="866">
        <v>0</v>
      </c>
      <c r="G122" s="867">
        <f t="shared" si="4"/>
        <v>0</v>
      </c>
      <c r="I122" s="1167"/>
    </row>
    <row r="123" spans="2:9" ht="36" x14ac:dyDescent="0.2">
      <c r="B123" s="1166" t="s">
        <v>504</v>
      </c>
      <c r="C123" s="1149" t="s">
        <v>505</v>
      </c>
      <c r="D123" s="878" t="s">
        <v>149</v>
      </c>
      <c r="E123" s="814">
        <v>1</v>
      </c>
      <c r="F123" s="866">
        <v>0</v>
      </c>
      <c r="G123" s="867">
        <f t="shared" si="4"/>
        <v>0</v>
      </c>
      <c r="I123" s="1167"/>
    </row>
    <row r="124" spans="2:9" s="121" customFormat="1" x14ac:dyDescent="0.2">
      <c r="B124" s="1166" t="s">
        <v>2527</v>
      </c>
      <c r="C124" s="2934" t="s">
        <v>2545</v>
      </c>
      <c r="D124" s="2935" t="s">
        <v>156</v>
      </c>
      <c r="E124" s="2936">
        <v>5</v>
      </c>
      <c r="F124" s="2933">
        <v>0</v>
      </c>
      <c r="G124" s="2933">
        <f>E124*F124</f>
        <v>0</v>
      </c>
      <c r="H124" s="565"/>
    </row>
    <row r="125" spans="2:9" x14ac:dyDescent="0.2">
      <c r="B125" s="2459" t="s">
        <v>365</v>
      </c>
      <c r="C125" s="2460" t="s">
        <v>506</v>
      </c>
      <c r="D125" s="2461"/>
      <c r="E125" s="2462"/>
      <c r="F125" s="2463"/>
      <c r="G125" s="2320">
        <f>SUM(G105:G124)</f>
        <v>0</v>
      </c>
    </row>
    <row r="126" spans="2:9" x14ac:dyDescent="0.2">
      <c r="B126" s="2928"/>
      <c r="C126" s="2929"/>
      <c r="D126" s="2930"/>
      <c r="E126" s="1163"/>
      <c r="F126" s="2931"/>
      <c r="G126" s="867"/>
    </row>
    <row r="127" spans="2:9" s="1148" customFormat="1" ht="20.25" x14ac:dyDescent="0.3">
      <c r="B127" s="2937" t="s">
        <v>12</v>
      </c>
      <c r="C127" s="2938" t="s">
        <v>2525</v>
      </c>
      <c r="D127" s="880"/>
      <c r="E127" s="820"/>
      <c r="F127" s="821"/>
      <c r="G127" s="1196">
        <f>G125+G99+G80+G63+G49</f>
        <v>0</v>
      </c>
      <c r="H127" s="1147"/>
    </row>
    <row r="128" spans="2:9" x14ac:dyDescent="0.2">
      <c r="B128" s="811"/>
      <c r="C128" s="812"/>
      <c r="D128" s="813"/>
      <c r="E128" s="814"/>
      <c r="F128" s="815"/>
      <c r="G128" s="816"/>
    </row>
    <row r="129" spans="1:8" x14ac:dyDescent="0.2">
      <c r="B129" s="1160" t="s">
        <v>368</v>
      </c>
      <c r="C129" s="1161" t="s">
        <v>89</v>
      </c>
      <c r="D129" s="1161" t="s">
        <v>90</v>
      </c>
      <c r="E129" s="1163" t="s">
        <v>91</v>
      </c>
      <c r="F129" s="1164" t="s">
        <v>92</v>
      </c>
      <c r="G129" s="1165" t="s">
        <v>93</v>
      </c>
    </row>
    <row r="130" spans="1:8" x14ac:dyDescent="0.2">
      <c r="B130" s="811"/>
      <c r="C130" s="812"/>
      <c r="D130" s="878"/>
      <c r="E130" s="814"/>
      <c r="F130" s="815"/>
      <c r="G130" s="816"/>
    </row>
    <row r="131" spans="1:8" s="1148" customFormat="1" ht="20.25" x14ac:dyDescent="0.3">
      <c r="B131" s="930" t="s">
        <v>17</v>
      </c>
      <c r="C131" s="931" t="s">
        <v>158</v>
      </c>
      <c r="D131" s="880"/>
      <c r="E131" s="820"/>
      <c r="F131" s="821"/>
      <c r="G131" s="822"/>
      <c r="H131" s="1147"/>
    </row>
    <row r="132" spans="1:8" s="1109" customFormat="1" ht="18" customHeight="1" x14ac:dyDescent="0.2">
      <c r="A132" s="1114"/>
      <c r="B132" s="772" t="s">
        <v>1</v>
      </c>
      <c r="C132" s="773"/>
      <c r="D132" s="774"/>
      <c r="E132" s="774"/>
      <c r="F132" s="774"/>
      <c r="G132" s="775"/>
    </row>
    <row r="133" spans="1:8" s="1109" customFormat="1" ht="18" customHeight="1" x14ac:dyDescent="0.25">
      <c r="A133" s="1115"/>
      <c r="B133" s="776" t="s">
        <v>2</v>
      </c>
      <c r="C133" s="777"/>
      <c r="D133" s="778"/>
      <c r="E133" s="779"/>
      <c r="F133" s="779"/>
      <c r="G133" s="778"/>
    </row>
    <row r="134" spans="1:8" s="1109" customFormat="1" ht="18" customHeight="1" x14ac:dyDescent="0.2">
      <c r="A134" s="1114"/>
      <c r="B134" s="772" t="s">
        <v>3</v>
      </c>
      <c r="C134" s="773"/>
      <c r="D134" s="774"/>
      <c r="E134" s="774"/>
      <c r="F134" s="774"/>
      <c r="G134" s="775"/>
    </row>
    <row r="135" spans="1:8" s="1109" customFormat="1" ht="18" customHeight="1" x14ac:dyDescent="0.25">
      <c r="A135" s="1115"/>
      <c r="B135" s="776" t="s">
        <v>4</v>
      </c>
      <c r="C135" s="777"/>
      <c r="D135" s="779"/>
      <c r="E135" s="779"/>
      <c r="F135" s="779"/>
      <c r="G135" s="778"/>
    </row>
    <row r="136" spans="1:8" s="130" customFormat="1" ht="18.75" customHeight="1" x14ac:dyDescent="0.2">
      <c r="B136" s="3257" t="s">
        <v>159</v>
      </c>
      <c r="C136" s="3258"/>
      <c r="D136" s="3258"/>
      <c r="E136" s="3258"/>
      <c r="F136" s="3258"/>
      <c r="G136" s="3259"/>
      <c r="H136" s="1108"/>
    </row>
    <row r="137" spans="1:8" s="130" customFormat="1" ht="18.75" customHeight="1" x14ac:dyDescent="0.2">
      <c r="B137" s="3257" t="s">
        <v>160</v>
      </c>
      <c r="C137" s="3258"/>
      <c r="D137" s="3258"/>
      <c r="E137" s="3258"/>
      <c r="F137" s="3258"/>
      <c r="G137" s="3259"/>
      <c r="H137" s="1108"/>
    </row>
    <row r="138" spans="1:8" s="130" customFormat="1" ht="18.75" customHeight="1" x14ac:dyDescent="0.2">
      <c r="B138" s="3257" t="s">
        <v>161</v>
      </c>
      <c r="C138" s="3258"/>
      <c r="D138" s="3258"/>
      <c r="E138" s="3258"/>
      <c r="F138" s="3258"/>
      <c r="G138" s="3259"/>
      <c r="H138" s="1108"/>
    </row>
    <row r="139" spans="1:8" ht="30" customHeight="1" x14ac:dyDescent="0.2">
      <c r="B139" s="973">
        <v>1</v>
      </c>
      <c r="C139" s="1176" t="s">
        <v>507</v>
      </c>
      <c r="D139" s="226"/>
      <c r="E139" s="814"/>
      <c r="F139" s="815"/>
      <c r="G139" s="816"/>
    </row>
    <row r="140" spans="1:8" s="136" customFormat="1" ht="95.25" customHeight="1" x14ac:dyDescent="0.2">
      <c r="B140" s="2731"/>
      <c r="C140" s="2732"/>
      <c r="D140" s="2733"/>
      <c r="E140" s="2734"/>
      <c r="F140" s="2735"/>
      <c r="G140" s="2736"/>
      <c r="H140" s="122"/>
    </row>
    <row r="141" spans="1:8" s="136" customFormat="1" ht="97.5" customHeight="1" x14ac:dyDescent="0.2">
      <c r="B141" s="2737"/>
      <c r="C141" s="2738"/>
      <c r="D141" s="2733"/>
      <c r="E141" s="2734"/>
      <c r="F141" s="2735"/>
      <c r="G141" s="2736"/>
      <c r="H141" s="122"/>
    </row>
    <row r="142" spans="1:8" s="136" customFormat="1" ht="108.75" customHeight="1" x14ac:dyDescent="0.2">
      <c r="B142" s="2737"/>
      <c r="C142" s="2738"/>
      <c r="D142" s="2733"/>
      <c r="E142" s="2734"/>
      <c r="F142" s="2735"/>
      <c r="G142" s="2736"/>
      <c r="H142" s="122"/>
    </row>
    <row r="143" spans="1:8" s="136" customFormat="1" ht="108.75" customHeight="1" x14ac:dyDescent="0.2">
      <c r="B143" s="2737"/>
      <c r="C143" s="2738"/>
      <c r="D143" s="2733"/>
      <c r="E143" s="2734"/>
      <c r="F143" s="2735"/>
      <c r="G143" s="2736"/>
      <c r="H143" s="122"/>
    </row>
    <row r="144" spans="1:8" s="136" customFormat="1" ht="99" customHeight="1" x14ac:dyDescent="0.2">
      <c r="B144" s="2737"/>
      <c r="C144" s="2738"/>
      <c r="D144" s="2733"/>
      <c r="E144" s="2734"/>
      <c r="F144" s="2735"/>
      <c r="G144" s="2736"/>
      <c r="H144" s="122"/>
    </row>
    <row r="145" spans="2:8" s="136" customFormat="1" ht="93.75" customHeight="1" x14ac:dyDescent="0.2">
      <c r="B145" s="2737"/>
      <c r="C145" s="2738"/>
      <c r="D145" s="2733"/>
      <c r="E145" s="2734"/>
      <c r="F145" s="2735"/>
      <c r="G145" s="2736"/>
      <c r="H145" s="122"/>
    </row>
    <row r="146" spans="2:8" s="136" customFormat="1" ht="54" customHeight="1" x14ac:dyDescent="0.2">
      <c r="B146" s="2737"/>
      <c r="C146" s="2738"/>
      <c r="D146" s="2733"/>
      <c r="E146" s="2734"/>
      <c r="F146" s="2735"/>
      <c r="G146" s="2736"/>
      <c r="H146" s="122"/>
    </row>
    <row r="147" spans="2:8" s="136" customFormat="1" ht="18" customHeight="1" x14ac:dyDescent="0.2">
      <c r="B147" s="2737"/>
      <c r="C147" s="2732" t="s">
        <v>2464</v>
      </c>
      <c r="D147" s="2739" t="s">
        <v>98</v>
      </c>
      <c r="E147" s="2740">
        <v>1</v>
      </c>
      <c r="F147" s="2741">
        <v>0</v>
      </c>
      <c r="G147" s="2742">
        <f t="shared" ref="G147" si="5">E147*F147</f>
        <v>0</v>
      </c>
      <c r="H147" s="122"/>
    </row>
    <row r="148" spans="2:8" s="1180" customFormat="1" ht="141" customHeight="1" x14ac:dyDescent="0.25">
      <c r="B148" s="1177"/>
      <c r="C148" s="1178" t="s">
        <v>508</v>
      </c>
      <c r="D148" s="226" t="s">
        <v>149</v>
      </c>
      <c r="E148" s="814">
        <v>1</v>
      </c>
      <c r="F148" s="866">
        <v>0</v>
      </c>
      <c r="G148" s="867">
        <f>E148*F148</f>
        <v>0</v>
      </c>
      <c r="H148" s="1179"/>
    </row>
    <row r="149" spans="2:8" ht="24" x14ac:dyDescent="0.2">
      <c r="B149" s="973">
        <v>3</v>
      </c>
      <c r="C149" s="1181" t="s">
        <v>179</v>
      </c>
      <c r="D149" s="813"/>
      <c r="E149" s="814"/>
      <c r="F149" s="815">
        <v>0</v>
      </c>
      <c r="G149" s="816"/>
    </row>
    <row r="150" spans="2:8" x14ac:dyDescent="0.2">
      <c r="B150" s="970" t="s">
        <v>180</v>
      </c>
      <c r="C150" s="1182" t="s">
        <v>1439</v>
      </c>
      <c r="D150" s="1183"/>
      <c r="E150" s="1184"/>
      <c r="F150" s="1185"/>
      <c r="G150" s="1186"/>
    </row>
    <row r="151" spans="2:8" s="1180" customFormat="1" ht="18" customHeight="1" x14ac:dyDescent="0.25">
      <c r="B151" s="831"/>
      <c r="C151" s="1187" t="s">
        <v>1440</v>
      </c>
      <c r="D151" s="1188" t="s">
        <v>149</v>
      </c>
      <c r="E151" s="1184">
        <v>1</v>
      </c>
      <c r="F151" s="1189">
        <v>0</v>
      </c>
      <c r="G151" s="1190">
        <f t="shared" ref="G151:G159" si="6">E151*F151</f>
        <v>0</v>
      </c>
      <c r="H151" s="1179"/>
    </row>
    <row r="152" spans="2:8" s="1180" customFormat="1" ht="18" customHeight="1" x14ac:dyDescent="0.25">
      <c r="B152" s="831"/>
      <c r="C152" s="1187" t="s">
        <v>1441</v>
      </c>
      <c r="D152" s="1188" t="s">
        <v>149</v>
      </c>
      <c r="E152" s="1184">
        <v>1</v>
      </c>
      <c r="F152" s="1189">
        <v>0</v>
      </c>
      <c r="G152" s="1190">
        <f t="shared" si="6"/>
        <v>0</v>
      </c>
      <c r="H152" s="1179"/>
    </row>
    <row r="153" spans="2:8" s="1180" customFormat="1" ht="18" customHeight="1" x14ac:dyDescent="0.25">
      <c r="B153" s="831"/>
      <c r="C153" s="1187" t="s">
        <v>344</v>
      </c>
      <c r="D153" s="1188" t="s">
        <v>149</v>
      </c>
      <c r="E153" s="1184">
        <v>2</v>
      </c>
      <c r="F153" s="1189">
        <v>0</v>
      </c>
      <c r="G153" s="1190">
        <f t="shared" si="6"/>
        <v>0</v>
      </c>
      <c r="H153" s="1179"/>
    </row>
    <row r="154" spans="2:8" s="1180" customFormat="1" ht="18" customHeight="1" x14ac:dyDescent="0.25">
      <c r="B154" s="831"/>
      <c r="C154" s="1187" t="s">
        <v>1442</v>
      </c>
      <c r="D154" s="1188" t="s">
        <v>149</v>
      </c>
      <c r="E154" s="1184">
        <v>4</v>
      </c>
      <c r="F154" s="1189">
        <v>0</v>
      </c>
      <c r="G154" s="1190">
        <f t="shared" si="6"/>
        <v>0</v>
      </c>
      <c r="H154" s="1179"/>
    </row>
    <row r="155" spans="2:8" s="1180" customFormat="1" ht="18" customHeight="1" x14ac:dyDescent="0.25">
      <c r="B155" s="831"/>
      <c r="C155" s="1187" t="s">
        <v>352</v>
      </c>
      <c r="D155" s="1188" t="s">
        <v>149</v>
      </c>
      <c r="E155" s="1184">
        <v>3</v>
      </c>
      <c r="F155" s="1189">
        <v>0</v>
      </c>
      <c r="G155" s="1190">
        <f t="shared" si="6"/>
        <v>0</v>
      </c>
      <c r="H155" s="1179"/>
    </row>
    <row r="156" spans="2:8" s="1180" customFormat="1" ht="48" x14ac:dyDescent="0.25">
      <c r="B156" s="831"/>
      <c r="C156" s="1187" t="s">
        <v>1443</v>
      </c>
      <c r="D156" s="1188" t="s">
        <v>149</v>
      </c>
      <c r="E156" s="1184">
        <v>1</v>
      </c>
      <c r="F156" s="1189">
        <v>0</v>
      </c>
      <c r="G156" s="1190">
        <f t="shared" si="6"/>
        <v>0</v>
      </c>
      <c r="H156" s="1179"/>
    </row>
    <row r="157" spans="2:8" s="1180" customFormat="1" ht="18" customHeight="1" x14ac:dyDescent="0.25">
      <c r="B157" s="831"/>
      <c r="C157" s="1187" t="s">
        <v>1444</v>
      </c>
      <c r="D157" s="1188" t="s">
        <v>149</v>
      </c>
      <c r="E157" s="1184">
        <v>2</v>
      </c>
      <c r="F157" s="1189">
        <v>0</v>
      </c>
      <c r="G157" s="1190">
        <f t="shared" si="6"/>
        <v>0</v>
      </c>
      <c r="H157" s="1179"/>
    </row>
    <row r="158" spans="2:8" s="1180" customFormat="1" ht="18" customHeight="1" x14ac:dyDescent="0.25">
      <c r="B158" s="831"/>
      <c r="C158" s="1187" t="s">
        <v>1445</v>
      </c>
      <c r="D158" s="1188" t="s">
        <v>149</v>
      </c>
      <c r="E158" s="1184">
        <v>1</v>
      </c>
      <c r="F158" s="1189">
        <v>0</v>
      </c>
      <c r="G158" s="1190">
        <f t="shared" si="6"/>
        <v>0</v>
      </c>
      <c r="H158" s="1179"/>
    </row>
    <row r="159" spans="2:8" s="1180" customFormat="1" ht="18" customHeight="1" x14ac:dyDescent="0.25">
      <c r="B159" s="831"/>
      <c r="C159" s="1187" t="s">
        <v>1446</v>
      </c>
      <c r="D159" s="1188" t="s">
        <v>149</v>
      </c>
      <c r="E159" s="1184">
        <v>1</v>
      </c>
      <c r="F159" s="1189">
        <v>0</v>
      </c>
      <c r="G159" s="1190">
        <f t="shared" si="6"/>
        <v>0</v>
      </c>
      <c r="H159" s="1179"/>
    </row>
    <row r="160" spans="2:8" s="1180" customFormat="1" ht="18" customHeight="1" x14ac:dyDescent="0.25">
      <c r="B160" s="831"/>
      <c r="C160" s="1187"/>
      <c r="D160" s="1188"/>
      <c r="E160" s="1184"/>
      <c r="F160" s="1189"/>
      <c r="G160" s="1190"/>
      <c r="H160" s="1179"/>
    </row>
    <row r="161" spans="2:8" x14ac:dyDescent="0.2">
      <c r="B161" s="970" t="s">
        <v>188</v>
      </c>
      <c r="C161" s="1182" t="s">
        <v>519</v>
      </c>
      <c r="D161" s="1183"/>
      <c r="E161" s="1184"/>
      <c r="F161" s="1185"/>
      <c r="G161" s="1186"/>
    </row>
    <row r="162" spans="2:8" ht="18" customHeight="1" x14ac:dyDescent="0.2">
      <c r="B162" s="811"/>
      <c r="C162" s="1187" t="s">
        <v>520</v>
      </c>
      <c r="D162" s="1188" t="s">
        <v>149</v>
      </c>
      <c r="E162" s="1184">
        <v>1</v>
      </c>
      <c r="F162" s="1189">
        <v>0</v>
      </c>
      <c r="G162" s="1190">
        <f t="shared" ref="G162:G174" si="7">E162*F162</f>
        <v>0</v>
      </c>
    </row>
    <row r="163" spans="2:8" ht="18" customHeight="1" x14ac:dyDescent="0.2">
      <c r="B163" s="811"/>
      <c r="C163" s="1187" t="s">
        <v>531</v>
      </c>
      <c r="D163" s="1188" t="s">
        <v>149</v>
      </c>
      <c r="E163" s="1184">
        <v>3</v>
      </c>
      <c r="F163" s="1189">
        <v>0</v>
      </c>
      <c r="G163" s="1190">
        <f t="shared" si="7"/>
        <v>0</v>
      </c>
    </row>
    <row r="164" spans="2:8" ht="18" customHeight="1" x14ac:dyDescent="0.2">
      <c r="B164" s="811"/>
      <c r="C164" s="1187" t="s">
        <v>521</v>
      </c>
      <c r="D164" s="1188" t="s">
        <v>149</v>
      </c>
      <c r="E164" s="1184">
        <v>1</v>
      </c>
      <c r="F164" s="1189">
        <v>0</v>
      </c>
      <c r="G164" s="1190">
        <f t="shared" si="7"/>
        <v>0</v>
      </c>
    </row>
    <row r="165" spans="2:8" ht="18" customHeight="1" x14ac:dyDescent="0.2">
      <c r="B165" s="811"/>
      <c r="C165" s="1187" t="s">
        <v>522</v>
      </c>
      <c r="D165" s="1188" t="s">
        <v>149</v>
      </c>
      <c r="E165" s="1184">
        <v>1</v>
      </c>
      <c r="F165" s="1189">
        <v>0</v>
      </c>
      <c r="G165" s="1190">
        <f t="shared" si="7"/>
        <v>0</v>
      </c>
    </row>
    <row r="166" spans="2:8" ht="18" customHeight="1" x14ac:dyDescent="0.2">
      <c r="B166" s="811"/>
      <c r="C166" s="1187" t="s">
        <v>523</v>
      </c>
      <c r="D166" s="1188" t="s">
        <v>149</v>
      </c>
      <c r="E166" s="1184">
        <v>1</v>
      </c>
      <c r="F166" s="1189">
        <v>0</v>
      </c>
      <c r="G166" s="1190">
        <f t="shared" si="7"/>
        <v>0</v>
      </c>
    </row>
    <row r="167" spans="2:8" ht="18" customHeight="1" x14ac:dyDescent="0.2">
      <c r="B167" s="811"/>
      <c r="C167" s="1187" t="s">
        <v>515</v>
      </c>
      <c r="D167" s="1188" t="s">
        <v>149</v>
      </c>
      <c r="E167" s="1184">
        <v>1</v>
      </c>
      <c r="F167" s="1189">
        <v>0</v>
      </c>
      <c r="G167" s="1190">
        <f t="shared" si="7"/>
        <v>0</v>
      </c>
    </row>
    <row r="168" spans="2:8" s="1180" customFormat="1" ht="18" customHeight="1" x14ac:dyDescent="0.25">
      <c r="B168" s="831"/>
      <c r="C168" s="1187" t="s">
        <v>267</v>
      </c>
      <c r="D168" s="1188" t="s">
        <v>149</v>
      </c>
      <c r="E168" s="1184">
        <v>1</v>
      </c>
      <c r="F168" s="1189">
        <v>0</v>
      </c>
      <c r="G168" s="1190">
        <f t="shared" si="7"/>
        <v>0</v>
      </c>
      <c r="H168" s="1179"/>
    </row>
    <row r="169" spans="2:8" ht="18" customHeight="1" x14ac:dyDescent="0.2">
      <c r="B169" s="811"/>
      <c r="C169" s="1187" t="s">
        <v>518</v>
      </c>
      <c r="D169" s="1188" t="s">
        <v>149</v>
      </c>
      <c r="E169" s="1184">
        <v>1</v>
      </c>
      <c r="F169" s="1189">
        <v>0</v>
      </c>
      <c r="G169" s="1190">
        <f t="shared" si="7"/>
        <v>0</v>
      </c>
    </row>
    <row r="170" spans="2:8" ht="18" customHeight="1" x14ac:dyDescent="0.2">
      <c r="B170" s="811"/>
      <c r="C170" s="1187" t="s">
        <v>275</v>
      </c>
      <c r="D170" s="1188" t="s">
        <v>149</v>
      </c>
      <c r="E170" s="1184">
        <v>1</v>
      </c>
      <c r="F170" s="1189">
        <v>0</v>
      </c>
      <c r="G170" s="1190">
        <f t="shared" si="7"/>
        <v>0</v>
      </c>
    </row>
    <row r="171" spans="2:8" ht="18" customHeight="1" x14ac:dyDescent="0.2">
      <c r="B171" s="811"/>
      <c r="C171" s="1187" t="s">
        <v>525</v>
      </c>
      <c r="D171" s="1188" t="s">
        <v>149</v>
      </c>
      <c r="E171" s="1184">
        <v>1</v>
      </c>
      <c r="F171" s="1189">
        <v>0</v>
      </c>
      <c r="G171" s="1190">
        <f t="shared" si="7"/>
        <v>0</v>
      </c>
    </row>
    <row r="172" spans="2:8" ht="18" customHeight="1" x14ac:dyDescent="0.2">
      <c r="B172" s="811"/>
      <c r="C172" s="1187" t="s">
        <v>1447</v>
      </c>
      <c r="D172" s="1188" t="s">
        <v>149</v>
      </c>
      <c r="E172" s="1184">
        <v>1</v>
      </c>
      <c r="F172" s="1189">
        <v>0</v>
      </c>
      <c r="G172" s="1190">
        <f t="shared" si="7"/>
        <v>0</v>
      </c>
    </row>
    <row r="173" spans="2:8" s="1180" customFormat="1" ht="29.25" customHeight="1" x14ac:dyDescent="0.25">
      <c r="B173" s="831"/>
      <c r="C173" s="1187" t="s">
        <v>1448</v>
      </c>
      <c r="D173" s="1188" t="s">
        <v>149</v>
      </c>
      <c r="E173" s="1184">
        <v>1</v>
      </c>
      <c r="F173" s="1189">
        <v>0</v>
      </c>
      <c r="G173" s="1190">
        <f t="shared" si="7"/>
        <v>0</v>
      </c>
      <c r="H173" s="1179"/>
    </row>
    <row r="174" spans="2:8" ht="18" customHeight="1" x14ac:dyDescent="0.2">
      <c r="B174" s="811"/>
      <c r="C174" s="1187" t="s">
        <v>265</v>
      </c>
      <c r="D174" s="1188" t="s">
        <v>149</v>
      </c>
      <c r="E174" s="1184">
        <v>2</v>
      </c>
      <c r="F174" s="1189">
        <v>0</v>
      </c>
      <c r="G174" s="1190">
        <f t="shared" si="7"/>
        <v>0</v>
      </c>
    </row>
    <row r="175" spans="2:8" s="1180" customFormat="1" ht="18" customHeight="1" x14ac:dyDescent="0.25">
      <c r="B175" s="831"/>
      <c r="C175" s="1187"/>
      <c r="D175" s="1188"/>
      <c r="E175" s="1184"/>
      <c r="F175" s="1189"/>
      <c r="G175" s="1190"/>
      <c r="H175" s="1179"/>
    </row>
    <row r="176" spans="2:8" x14ac:dyDescent="0.2">
      <c r="B176" s="970" t="s">
        <v>199</v>
      </c>
      <c r="C176" s="1182" t="s">
        <v>1449</v>
      </c>
      <c r="D176" s="1183"/>
      <c r="E176" s="1184"/>
      <c r="F176" s="1185"/>
      <c r="G176" s="1186"/>
    </row>
    <row r="177" spans="2:9" ht="18" customHeight="1" x14ac:dyDescent="0.2">
      <c r="B177" s="811"/>
      <c r="C177" s="1187" t="s">
        <v>520</v>
      </c>
      <c r="D177" s="1188" t="s">
        <v>149</v>
      </c>
      <c r="E177" s="1184">
        <v>1</v>
      </c>
      <c r="F177" s="1189">
        <v>0</v>
      </c>
      <c r="G177" s="1190">
        <f t="shared" ref="G177:G190" si="8">E177*F177</f>
        <v>0</v>
      </c>
    </row>
    <row r="178" spans="2:9" ht="18" customHeight="1" x14ac:dyDescent="0.2">
      <c r="B178" s="811"/>
      <c r="C178" s="1187" t="s">
        <v>531</v>
      </c>
      <c r="D178" s="1188" t="s">
        <v>149</v>
      </c>
      <c r="E178" s="1184">
        <v>2</v>
      </c>
      <c r="F178" s="1189">
        <v>0</v>
      </c>
      <c r="G178" s="1190">
        <f t="shared" si="8"/>
        <v>0</v>
      </c>
    </row>
    <row r="179" spans="2:9" ht="18" customHeight="1" x14ac:dyDescent="0.2">
      <c r="B179" s="811"/>
      <c r="C179" s="1187" t="s">
        <v>521</v>
      </c>
      <c r="D179" s="1188" t="s">
        <v>149</v>
      </c>
      <c r="E179" s="1184">
        <v>1</v>
      </c>
      <c r="F179" s="1189">
        <v>0</v>
      </c>
      <c r="G179" s="1190">
        <f t="shared" si="8"/>
        <v>0</v>
      </c>
    </row>
    <row r="180" spans="2:9" ht="18" customHeight="1" x14ac:dyDescent="0.2">
      <c r="B180" s="811"/>
      <c r="C180" s="1187" t="s">
        <v>522</v>
      </c>
      <c r="D180" s="1188" t="s">
        <v>149</v>
      </c>
      <c r="E180" s="1184">
        <v>1</v>
      </c>
      <c r="F180" s="1189">
        <v>0</v>
      </c>
      <c r="G180" s="1190">
        <f t="shared" si="8"/>
        <v>0</v>
      </c>
    </row>
    <row r="181" spans="2:9" ht="18" customHeight="1" x14ac:dyDescent="0.2">
      <c r="B181" s="811"/>
      <c r="C181" s="1187" t="s">
        <v>523</v>
      </c>
      <c r="D181" s="1188" t="s">
        <v>149</v>
      </c>
      <c r="E181" s="1184">
        <v>1</v>
      </c>
      <c r="F181" s="1189">
        <v>0</v>
      </c>
      <c r="G181" s="1190">
        <f t="shared" si="8"/>
        <v>0</v>
      </c>
    </row>
    <row r="182" spans="2:9" ht="18" customHeight="1" x14ac:dyDescent="0.2">
      <c r="B182" s="811"/>
      <c r="C182" s="1187" t="s">
        <v>515</v>
      </c>
      <c r="D182" s="1188" t="s">
        <v>149</v>
      </c>
      <c r="E182" s="1184">
        <v>1</v>
      </c>
      <c r="F182" s="1189">
        <v>0</v>
      </c>
      <c r="G182" s="1190">
        <f t="shared" si="8"/>
        <v>0</v>
      </c>
    </row>
    <row r="183" spans="2:9" s="1180" customFormat="1" ht="18" customHeight="1" x14ac:dyDescent="0.25">
      <c r="B183" s="831"/>
      <c r="C183" s="1187" t="s">
        <v>267</v>
      </c>
      <c r="D183" s="1188" t="s">
        <v>149</v>
      </c>
      <c r="E183" s="1184">
        <v>1</v>
      </c>
      <c r="F183" s="1189">
        <v>0</v>
      </c>
      <c r="G183" s="1190">
        <f t="shared" si="8"/>
        <v>0</v>
      </c>
      <c r="H183" s="1179"/>
    </row>
    <row r="184" spans="2:9" ht="18" customHeight="1" x14ac:dyDescent="0.2">
      <c r="B184" s="811"/>
      <c r="C184" s="1187" t="s">
        <v>518</v>
      </c>
      <c r="D184" s="1188" t="s">
        <v>149</v>
      </c>
      <c r="E184" s="1184">
        <v>1</v>
      </c>
      <c r="F184" s="1189">
        <v>0</v>
      </c>
      <c r="G184" s="1190">
        <f t="shared" si="8"/>
        <v>0</v>
      </c>
    </row>
    <row r="185" spans="2:9" ht="97.5" customHeight="1" x14ac:dyDescent="0.2">
      <c r="B185" s="811"/>
      <c r="C185" s="1187" t="s">
        <v>533</v>
      </c>
      <c r="D185" s="1188" t="s">
        <v>149</v>
      </c>
      <c r="E185" s="1184">
        <v>1</v>
      </c>
      <c r="F185" s="1189">
        <v>0</v>
      </c>
      <c r="G185" s="1190">
        <f t="shared" si="8"/>
        <v>0</v>
      </c>
    </row>
    <row r="186" spans="2:9" ht="18" customHeight="1" x14ac:dyDescent="0.2">
      <c r="B186" s="811"/>
      <c r="C186" s="1187" t="s">
        <v>525</v>
      </c>
      <c r="D186" s="1188" t="s">
        <v>149</v>
      </c>
      <c r="E186" s="1184">
        <v>1</v>
      </c>
      <c r="F186" s="1189">
        <v>0</v>
      </c>
      <c r="G186" s="1190">
        <f t="shared" si="8"/>
        <v>0</v>
      </c>
    </row>
    <row r="187" spans="2:9" ht="18" customHeight="1" x14ac:dyDescent="0.2">
      <c r="B187" s="811"/>
      <c r="C187" s="1187" t="s">
        <v>1447</v>
      </c>
      <c r="D187" s="1188" t="s">
        <v>149</v>
      </c>
      <c r="E187" s="1184">
        <v>1</v>
      </c>
      <c r="F187" s="1189">
        <v>0</v>
      </c>
      <c r="G187" s="1190">
        <f t="shared" si="8"/>
        <v>0</v>
      </c>
    </row>
    <row r="188" spans="2:9" s="1180" customFormat="1" ht="29.25" customHeight="1" x14ac:dyDescent="0.25">
      <c r="B188" s="831"/>
      <c r="C188" s="1187" t="s">
        <v>534</v>
      </c>
      <c r="D188" s="1188" t="s">
        <v>149</v>
      </c>
      <c r="E188" s="1184">
        <v>2</v>
      </c>
      <c r="F188" s="1189">
        <v>0</v>
      </c>
      <c r="G188" s="1190">
        <f t="shared" si="8"/>
        <v>0</v>
      </c>
      <c r="H188" s="1179"/>
    </row>
    <row r="189" spans="2:9" ht="18" customHeight="1" x14ac:dyDescent="0.2">
      <c r="B189" s="811"/>
      <c r="C189" s="1187" t="s">
        <v>265</v>
      </c>
      <c r="D189" s="1188" t="s">
        <v>149</v>
      </c>
      <c r="E189" s="1184">
        <v>2</v>
      </c>
      <c r="F189" s="1189">
        <v>0</v>
      </c>
      <c r="G189" s="1190">
        <f t="shared" si="8"/>
        <v>0</v>
      </c>
    </row>
    <row r="190" spans="2:9" ht="18" customHeight="1" x14ac:dyDescent="0.2">
      <c r="B190" s="811"/>
      <c r="C190" s="1187" t="s">
        <v>535</v>
      </c>
      <c r="D190" s="1188" t="s">
        <v>149</v>
      </c>
      <c r="E190" s="1184">
        <v>1</v>
      </c>
      <c r="F190" s="1189">
        <v>0</v>
      </c>
      <c r="G190" s="1190">
        <f t="shared" si="8"/>
        <v>0</v>
      </c>
    </row>
    <row r="191" spans="2:9" ht="18" customHeight="1" x14ac:dyDescent="0.2">
      <c r="B191" s="811"/>
      <c r="C191" s="1191"/>
      <c r="D191" s="1188"/>
      <c r="E191" s="1184"/>
      <c r="F191" s="1189"/>
      <c r="G191" s="1190"/>
      <c r="I191" s="1151"/>
    </row>
    <row r="192" spans="2:9" s="1180" customFormat="1" ht="16.5" customHeight="1" x14ac:dyDescent="0.25">
      <c r="B192" s="984" t="s">
        <v>17</v>
      </c>
      <c r="C192" s="1192" t="s">
        <v>302</v>
      </c>
      <c r="D192" s="1193"/>
      <c r="E192" s="1194"/>
      <c r="F192" s="1195"/>
      <c r="G192" s="1196">
        <f>SUM(G139:G191)</f>
        <v>0</v>
      </c>
      <c r="H192" s="1179"/>
      <c r="I192" s="1197"/>
    </row>
    <row r="196" spans="2:7" ht="23.25" x14ac:dyDescent="0.2">
      <c r="B196" s="3236" t="s">
        <v>1450</v>
      </c>
      <c r="C196" s="3237"/>
      <c r="D196" s="3237"/>
      <c r="E196" s="3237"/>
      <c r="F196" s="3237"/>
      <c r="G196" s="3238"/>
    </row>
    <row r="197" spans="2:7" ht="15" x14ac:dyDescent="0.2">
      <c r="B197" s="3260" t="s">
        <v>539</v>
      </c>
      <c r="C197" s="3261"/>
      <c r="D197" s="3261"/>
      <c r="E197" s="3261"/>
      <c r="F197" s="3261"/>
      <c r="G197" s="3262"/>
    </row>
    <row r="198" spans="2:7" ht="39" customHeight="1" x14ac:dyDescent="0.2">
      <c r="B198" s="3254" t="s">
        <v>540</v>
      </c>
      <c r="C198" s="3255"/>
      <c r="D198" s="3255"/>
      <c r="E198" s="3255"/>
      <c r="F198" s="3255"/>
      <c r="G198" s="3256"/>
    </row>
    <row r="199" spans="2:7" ht="33" customHeight="1" x14ac:dyDescent="0.2">
      <c r="B199" s="3254" t="s">
        <v>541</v>
      </c>
      <c r="C199" s="3255"/>
      <c r="D199" s="3255"/>
      <c r="E199" s="3255"/>
      <c r="F199" s="3255"/>
      <c r="G199" s="3256"/>
    </row>
    <row r="200" spans="2:7" ht="36.75" customHeight="1" x14ac:dyDescent="0.2">
      <c r="B200" s="3254" t="s">
        <v>542</v>
      </c>
      <c r="C200" s="3255"/>
      <c r="D200" s="3255"/>
      <c r="E200" s="3255"/>
      <c r="F200" s="3255"/>
      <c r="G200" s="3256"/>
    </row>
    <row r="201" spans="2:7" ht="33" customHeight="1" x14ac:dyDescent="0.2">
      <c r="B201" s="3254" t="s">
        <v>543</v>
      </c>
      <c r="C201" s="3255"/>
      <c r="D201" s="3255"/>
      <c r="E201" s="3255"/>
      <c r="F201" s="3255"/>
      <c r="G201" s="3256"/>
    </row>
    <row r="202" spans="2:7" ht="48" customHeight="1" x14ac:dyDescent="0.2">
      <c r="B202" s="3263" t="s">
        <v>544</v>
      </c>
      <c r="C202" s="3264"/>
      <c r="D202" s="3264"/>
      <c r="E202" s="3264"/>
      <c r="F202" s="3264"/>
      <c r="G202" s="3265"/>
    </row>
    <row r="203" spans="2:7" ht="22.5" customHeight="1" x14ac:dyDescent="0.2">
      <c r="B203" s="3266" t="s">
        <v>545</v>
      </c>
      <c r="C203" s="3267"/>
      <c r="D203" s="3267"/>
      <c r="E203" s="3267"/>
      <c r="F203" s="3267"/>
      <c r="G203" s="3268"/>
    </row>
    <row r="204" spans="2:7" x14ac:dyDescent="0.2">
      <c r="B204" s="520"/>
      <c r="C204" s="1198"/>
      <c r="D204" s="712"/>
      <c r="E204" s="713"/>
      <c r="F204" s="524"/>
      <c r="G204" s="525"/>
    </row>
    <row r="205" spans="2:7" ht="24" x14ac:dyDescent="0.2">
      <c r="B205" s="526" t="s">
        <v>368</v>
      </c>
      <c r="C205" s="527" t="s">
        <v>84</v>
      </c>
      <c r="D205" s="527" t="s">
        <v>546</v>
      </c>
      <c r="E205" s="528" t="s">
        <v>547</v>
      </c>
      <c r="F205" s="529" t="s">
        <v>548</v>
      </c>
      <c r="G205" s="527" t="s">
        <v>549</v>
      </c>
    </row>
    <row r="206" spans="2:7" x14ac:dyDescent="0.2">
      <c r="B206" s="2129"/>
      <c r="C206" s="2130"/>
      <c r="D206" s="2131"/>
      <c r="E206" s="2132"/>
      <c r="F206" s="2321"/>
      <c r="G206" s="2322"/>
    </row>
    <row r="207" spans="2:7" x14ac:dyDescent="0.2">
      <c r="B207" s="2363" t="s">
        <v>1451</v>
      </c>
      <c r="C207" s="2364" t="s">
        <v>550</v>
      </c>
      <c r="D207" s="2365" t="s">
        <v>551</v>
      </c>
      <c r="E207" s="2366" t="s">
        <v>551</v>
      </c>
      <c r="F207" s="2335"/>
      <c r="G207" s="2336"/>
    </row>
    <row r="208" spans="2:7" x14ac:dyDescent="0.2">
      <c r="B208" s="2342"/>
      <c r="C208" s="2356"/>
      <c r="D208" s="2367"/>
      <c r="E208" s="2368"/>
      <c r="F208" s="2335"/>
      <c r="G208" s="2336"/>
    </row>
    <row r="209" spans="2:7" ht="60" x14ac:dyDescent="0.2">
      <c r="B209" s="2342" t="s">
        <v>8</v>
      </c>
      <c r="C209" s="2369" t="s">
        <v>1452</v>
      </c>
      <c r="D209" s="2163" t="s">
        <v>553</v>
      </c>
      <c r="E209" s="2164">
        <v>1</v>
      </c>
      <c r="F209" s="2344">
        <v>0</v>
      </c>
      <c r="G209" s="2345">
        <f>E209*F209</f>
        <v>0</v>
      </c>
    </row>
    <row r="210" spans="2:7" x14ac:dyDescent="0.2">
      <c r="B210" s="2342"/>
      <c r="C210" s="2356"/>
      <c r="D210" s="2163"/>
      <c r="E210" s="2164"/>
      <c r="F210" s="2172"/>
      <c r="G210" s="2357"/>
    </row>
    <row r="211" spans="2:7" ht="48" x14ac:dyDescent="0.2">
      <c r="B211" s="2342" t="s">
        <v>15</v>
      </c>
      <c r="C211" s="2369" t="s">
        <v>554</v>
      </c>
      <c r="D211" s="2163" t="s">
        <v>123</v>
      </c>
      <c r="E211" s="2164">
        <v>1</v>
      </c>
      <c r="F211" s="2344">
        <v>0</v>
      </c>
      <c r="G211" s="2345">
        <f>E211*F211</f>
        <v>0</v>
      </c>
    </row>
    <row r="212" spans="2:7" x14ac:dyDescent="0.2">
      <c r="B212" s="2342"/>
      <c r="C212" s="2356"/>
      <c r="D212" s="2163"/>
      <c r="E212" s="2164"/>
      <c r="F212" s="2172"/>
      <c r="G212" s="2357"/>
    </row>
    <row r="213" spans="2:7" ht="24" x14ac:dyDescent="0.2">
      <c r="B213" s="2342" t="s">
        <v>20</v>
      </c>
      <c r="C213" s="2362" t="s">
        <v>555</v>
      </c>
      <c r="D213" s="2163" t="s">
        <v>553</v>
      </c>
      <c r="E213" s="2164">
        <v>1</v>
      </c>
      <c r="F213" s="2344">
        <v>0</v>
      </c>
      <c r="G213" s="2345">
        <f>E213*F213</f>
        <v>0</v>
      </c>
    </row>
    <row r="214" spans="2:7" x14ac:dyDescent="0.2">
      <c r="B214" s="2342"/>
      <c r="C214" s="2356"/>
      <c r="D214" s="2163"/>
      <c r="E214" s="2164"/>
      <c r="F214" s="2172"/>
      <c r="G214" s="2357"/>
    </row>
    <row r="215" spans="2:7" x14ac:dyDescent="0.2">
      <c r="B215" s="2342"/>
      <c r="C215" s="2356"/>
      <c r="D215" s="2163"/>
      <c r="E215" s="2164"/>
      <c r="F215" s="2172"/>
      <c r="G215" s="2345"/>
    </row>
    <row r="216" spans="2:7" ht="24" x14ac:dyDescent="0.2">
      <c r="B216" s="2342" t="s">
        <v>24</v>
      </c>
      <c r="C216" s="2356" t="s">
        <v>556</v>
      </c>
      <c r="D216" s="2163" t="s">
        <v>123</v>
      </c>
      <c r="E216" s="2164">
        <v>2</v>
      </c>
      <c r="F216" s="2344">
        <v>0</v>
      </c>
      <c r="G216" s="2345">
        <f>E216*F216</f>
        <v>0</v>
      </c>
    </row>
    <row r="217" spans="2:7" x14ac:dyDescent="0.2">
      <c r="B217" s="2342"/>
      <c r="C217" s="2356"/>
      <c r="D217" s="2163"/>
      <c r="E217" s="2164"/>
      <c r="F217" s="2172"/>
      <c r="G217" s="2345"/>
    </row>
    <row r="218" spans="2:7" ht="24" x14ac:dyDescent="0.2">
      <c r="B218" s="2342" t="s">
        <v>29</v>
      </c>
      <c r="C218" s="2356" t="s">
        <v>557</v>
      </c>
      <c r="D218" s="2163" t="s">
        <v>123</v>
      </c>
      <c r="E218" s="2164">
        <v>1</v>
      </c>
      <c r="F218" s="2344">
        <v>0</v>
      </c>
      <c r="G218" s="2345">
        <f>E218*F218</f>
        <v>0</v>
      </c>
    </row>
    <row r="219" spans="2:7" x14ac:dyDescent="0.2">
      <c r="B219" s="2342"/>
      <c r="C219" s="2356"/>
      <c r="D219" s="2163"/>
      <c r="E219" s="2164"/>
      <c r="F219" s="2172"/>
      <c r="G219" s="2345"/>
    </row>
    <row r="220" spans="2:7" x14ac:dyDescent="0.2">
      <c r="B220" s="2342" t="s">
        <v>33</v>
      </c>
      <c r="C220" s="2356" t="s">
        <v>558</v>
      </c>
      <c r="D220" s="2163" t="s">
        <v>123</v>
      </c>
      <c r="E220" s="2164">
        <v>1</v>
      </c>
      <c r="F220" s="2344">
        <v>0</v>
      </c>
      <c r="G220" s="2345">
        <f>E220*F220</f>
        <v>0</v>
      </c>
    </row>
    <row r="221" spans="2:7" x14ac:dyDescent="0.2">
      <c r="B221" s="2342"/>
      <c r="C221" s="2356"/>
      <c r="D221" s="2163"/>
      <c r="E221" s="2164"/>
      <c r="F221" s="2172"/>
      <c r="G221" s="2345"/>
    </row>
    <row r="222" spans="2:7" ht="48" x14ac:dyDescent="0.2">
      <c r="B222" s="2342" t="s">
        <v>38</v>
      </c>
      <c r="C222" s="2356" t="s">
        <v>559</v>
      </c>
      <c r="D222" s="2163" t="s">
        <v>560</v>
      </c>
      <c r="E222" s="2164">
        <v>1</v>
      </c>
      <c r="F222" s="2344">
        <v>0</v>
      </c>
      <c r="G222" s="2345">
        <f>E222*F222</f>
        <v>0</v>
      </c>
    </row>
    <row r="223" spans="2:7" x14ac:dyDescent="0.2">
      <c r="B223" s="2342"/>
      <c r="C223" s="2356"/>
      <c r="D223" s="2163"/>
      <c r="E223" s="2164"/>
      <c r="F223" s="2172"/>
      <c r="G223" s="2345"/>
    </row>
    <row r="224" spans="2:7" ht="36" x14ac:dyDescent="0.2">
      <c r="B224" s="2342" t="s">
        <v>43</v>
      </c>
      <c r="C224" s="2356" t="s">
        <v>561</v>
      </c>
      <c r="D224" s="2163" t="s">
        <v>123</v>
      </c>
      <c r="E224" s="2164">
        <v>1</v>
      </c>
      <c r="F224" s="2344">
        <v>0</v>
      </c>
      <c r="G224" s="2345">
        <f>E224*F224</f>
        <v>0</v>
      </c>
    </row>
    <row r="225" spans="2:7" x14ac:dyDescent="0.2">
      <c r="B225" s="2342"/>
      <c r="C225" s="2356"/>
      <c r="D225" s="2163"/>
      <c r="E225" s="2164"/>
      <c r="F225" s="2172"/>
      <c r="G225" s="2357"/>
    </row>
    <row r="226" spans="2:7" ht="24" x14ac:dyDescent="0.2">
      <c r="B226" s="2342" t="s">
        <v>562</v>
      </c>
      <c r="C226" s="2356" t="s">
        <v>749</v>
      </c>
      <c r="D226" s="2163" t="s">
        <v>123</v>
      </c>
      <c r="E226" s="2164">
        <v>1</v>
      </c>
      <c r="F226" s="2344">
        <v>0</v>
      </c>
      <c r="G226" s="2345">
        <f>E226*F226</f>
        <v>0</v>
      </c>
    </row>
    <row r="227" spans="2:7" x14ac:dyDescent="0.2">
      <c r="B227" s="2342"/>
      <c r="C227" s="2356"/>
      <c r="D227" s="2163"/>
      <c r="E227" s="2164"/>
      <c r="F227" s="2172"/>
      <c r="G227" s="2357"/>
    </row>
    <row r="228" spans="2:7" ht="24" x14ac:dyDescent="0.2">
      <c r="B228" s="2342" t="s">
        <v>564</v>
      </c>
      <c r="C228" s="2356" t="s">
        <v>565</v>
      </c>
      <c r="D228" s="2163" t="s">
        <v>149</v>
      </c>
      <c r="E228" s="2164">
        <v>1</v>
      </c>
      <c r="F228" s="2344">
        <v>0</v>
      </c>
      <c r="G228" s="2345">
        <f>E228*F228</f>
        <v>0</v>
      </c>
    </row>
    <row r="229" spans="2:7" x14ac:dyDescent="0.2">
      <c r="B229" s="2342"/>
      <c r="C229" s="2356"/>
      <c r="D229" s="2163"/>
      <c r="E229" s="2164"/>
      <c r="F229" s="2172"/>
      <c r="G229" s="2357"/>
    </row>
    <row r="230" spans="2:7" ht="84" x14ac:dyDescent="0.2">
      <c r="B230" s="2342" t="s">
        <v>566</v>
      </c>
      <c r="C230" s="2370" t="s">
        <v>1453</v>
      </c>
      <c r="D230" s="2163" t="s">
        <v>123</v>
      </c>
      <c r="E230" s="2164">
        <v>1</v>
      </c>
      <c r="F230" s="2344">
        <v>0</v>
      </c>
      <c r="G230" s="2345">
        <f>E230*F230</f>
        <v>0</v>
      </c>
    </row>
    <row r="231" spans="2:7" x14ac:dyDescent="0.2">
      <c r="B231" s="2352"/>
      <c r="C231" s="2371"/>
      <c r="D231" s="2163"/>
      <c r="E231" s="2164"/>
      <c r="F231" s="2172"/>
      <c r="G231" s="2351"/>
    </row>
    <row r="232" spans="2:7" ht="24" x14ac:dyDescent="0.2">
      <c r="B232" s="2342" t="s">
        <v>568</v>
      </c>
      <c r="C232" s="2356" t="s">
        <v>569</v>
      </c>
      <c r="D232" s="2163" t="s">
        <v>123</v>
      </c>
      <c r="E232" s="2164">
        <v>7</v>
      </c>
      <c r="F232" s="2344">
        <v>0</v>
      </c>
      <c r="G232" s="2345">
        <f>E232*F232</f>
        <v>0</v>
      </c>
    </row>
    <row r="233" spans="2:7" x14ac:dyDescent="0.2">
      <c r="B233" s="2342"/>
      <c r="C233" s="2356"/>
      <c r="D233" s="2163"/>
      <c r="E233" s="2164"/>
      <c r="F233" s="2172"/>
      <c r="G233" s="2351"/>
    </row>
    <row r="234" spans="2:7" x14ac:dyDescent="0.2">
      <c r="B234" s="2342"/>
      <c r="C234" s="2356"/>
      <c r="D234" s="2163"/>
      <c r="E234" s="2164"/>
      <c r="F234" s="2172"/>
      <c r="G234" s="2351"/>
    </row>
    <row r="235" spans="2:7" ht="24" x14ac:dyDescent="0.2">
      <c r="B235" s="2342" t="s">
        <v>570</v>
      </c>
      <c r="C235" s="2356" t="s">
        <v>1340</v>
      </c>
      <c r="D235" s="2163" t="s">
        <v>123</v>
      </c>
      <c r="E235" s="2164">
        <v>1</v>
      </c>
      <c r="F235" s="2344">
        <v>0</v>
      </c>
      <c r="G235" s="2345">
        <f>E235*F235</f>
        <v>0</v>
      </c>
    </row>
    <row r="236" spans="2:7" x14ac:dyDescent="0.2">
      <c r="B236" s="2342"/>
      <c r="C236" s="2356"/>
      <c r="D236" s="2163"/>
      <c r="E236" s="2164"/>
      <c r="F236" s="2172"/>
      <c r="G236" s="2357"/>
    </row>
    <row r="237" spans="2:7" ht="24" x14ac:dyDescent="0.2">
      <c r="B237" s="2342" t="s">
        <v>572</v>
      </c>
      <c r="C237" s="2356" t="s">
        <v>573</v>
      </c>
      <c r="D237" s="2163" t="s">
        <v>123</v>
      </c>
      <c r="E237" s="2164">
        <v>4</v>
      </c>
      <c r="F237" s="2344">
        <v>0</v>
      </c>
      <c r="G237" s="2345">
        <f>E237*F237</f>
        <v>0</v>
      </c>
    </row>
    <row r="238" spans="2:7" x14ac:dyDescent="0.2">
      <c r="B238" s="2342"/>
      <c r="C238" s="2356"/>
      <c r="D238" s="2163"/>
      <c r="E238" s="2164"/>
      <c r="F238" s="2172"/>
      <c r="G238" s="2357"/>
    </row>
    <row r="239" spans="2:7" ht="24" x14ac:dyDescent="0.2">
      <c r="B239" s="2342" t="s">
        <v>574</v>
      </c>
      <c r="C239" s="2356" t="s">
        <v>575</v>
      </c>
      <c r="D239" s="2163" t="s">
        <v>123</v>
      </c>
      <c r="E239" s="2164">
        <v>2</v>
      </c>
      <c r="F239" s="2344">
        <v>0</v>
      </c>
      <c r="G239" s="2345">
        <f>E239*F239</f>
        <v>0</v>
      </c>
    </row>
    <row r="240" spans="2:7" x14ac:dyDescent="0.2">
      <c r="B240" s="2342"/>
      <c r="C240" s="2356"/>
      <c r="D240" s="2163"/>
      <c r="E240" s="2164"/>
      <c r="F240" s="2172"/>
      <c r="G240" s="2357"/>
    </row>
    <row r="241" spans="2:7" ht="24" x14ac:dyDescent="0.2">
      <c r="B241" s="2342" t="s">
        <v>576</v>
      </c>
      <c r="C241" s="2356" t="s">
        <v>577</v>
      </c>
      <c r="D241" s="2163" t="s">
        <v>123</v>
      </c>
      <c r="E241" s="2164">
        <v>1</v>
      </c>
      <c r="F241" s="2344">
        <v>0</v>
      </c>
      <c r="G241" s="2345">
        <f>E241*F241</f>
        <v>0</v>
      </c>
    </row>
    <row r="242" spans="2:7" x14ac:dyDescent="0.2">
      <c r="B242" s="2342"/>
      <c r="C242" s="2356"/>
      <c r="D242" s="2163"/>
      <c r="E242" s="2164"/>
      <c r="F242" s="2172"/>
      <c r="G242" s="2357"/>
    </row>
    <row r="243" spans="2:7" ht="24" x14ac:dyDescent="0.2">
      <c r="B243" s="2342" t="s">
        <v>578</v>
      </c>
      <c r="C243" s="2356" t="s">
        <v>579</v>
      </c>
      <c r="D243" s="2163" t="s">
        <v>123</v>
      </c>
      <c r="E243" s="2164">
        <v>1</v>
      </c>
      <c r="F243" s="2344">
        <v>0</v>
      </c>
      <c r="G243" s="2345">
        <f>E243*F243</f>
        <v>0</v>
      </c>
    </row>
    <row r="244" spans="2:7" x14ac:dyDescent="0.2">
      <c r="B244" s="2342"/>
      <c r="C244" s="2356"/>
      <c r="D244" s="2163"/>
      <c r="E244" s="2164"/>
      <c r="F244" s="2172"/>
      <c r="G244" s="2357"/>
    </row>
    <row r="245" spans="2:7" ht="24" x14ac:dyDescent="0.2">
      <c r="B245" s="2342" t="s">
        <v>580</v>
      </c>
      <c r="C245" s="2356" t="s">
        <v>581</v>
      </c>
      <c r="D245" s="2163" t="s">
        <v>123</v>
      </c>
      <c r="E245" s="2164">
        <v>2</v>
      </c>
      <c r="F245" s="2344">
        <v>0</v>
      </c>
      <c r="G245" s="2345">
        <f>E245*F245</f>
        <v>0</v>
      </c>
    </row>
    <row r="246" spans="2:7" x14ac:dyDescent="0.2">
      <c r="B246" s="2342"/>
      <c r="C246" s="2356"/>
      <c r="D246" s="2163"/>
      <c r="E246" s="2164"/>
      <c r="F246" s="2172"/>
      <c r="G246" s="2357"/>
    </row>
    <row r="247" spans="2:7" ht="24" x14ac:dyDescent="0.2">
      <c r="B247" s="2342" t="s">
        <v>582</v>
      </c>
      <c r="C247" s="2356" t="s">
        <v>583</v>
      </c>
      <c r="D247" s="2163" t="s">
        <v>123</v>
      </c>
      <c r="E247" s="2164">
        <v>1</v>
      </c>
      <c r="F247" s="2344">
        <v>0</v>
      </c>
      <c r="G247" s="2345">
        <f>E247*F247</f>
        <v>0</v>
      </c>
    </row>
    <row r="248" spans="2:7" x14ac:dyDescent="0.2">
      <c r="B248" s="2342"/>
      <c r="C248" s="2356"/>
      <c r="D248" s="2163"/>
      <c r="E248" s="2164"/>
      <c r="F248" s="2172"/>
      <c r="G248" s="2357"/>
    </row>
    <row r="249" spans="2:7" ht="24" x14ac:dyDescent="0.2">
      <c r="B249" s="2342" t="s">
        <v>584</v>
      </c>
      <c r="C249" s="2356" t="s">
        <v>585</v>
      </c>
      <c r="D249" s="2163" t="s">
        <v>123</v>
      </c>
      <c r="E249" s="2164">
        <v>1</v>
      </c>
      <c r="F249" s="2344">
        <v>0</v>
      </c>
      <c r="G249" s="2345">
        <f>E249*F249</f>
        <v>0</v>
      </c>
    </row>
    <row r="250" spans="2:7" x14ac:dyDescent="0.2">
      <c r="B250" s="2342"/>
      <c r="C250" s="2356"/>
      <c r="D250" s="2163"/>
      <c r="E250" s="2164"/>
      <c r="F250" s="2172"/>
      <c r="G250" s="2357"/>
    </row>
    <row r="251" spans="2:7" ht="24" x14ac:dyDescent="0.2">
      <c r="B251" s="2342" t="s">
        <v>586</v>
      </c>
      <c r="C251" s="2356" t="s">
        <v>587</v>
      </c>
      <c r="D251" s="2163" t="s">
        <v>123</v>
      </c>
      <c r="E251" s="2164">
        <v>6</v>
      </c>
      <c r="F251" s="2344">
        <v>0</v>
      </c>
      <c r="G251" s="2345">
        <f>E251*F251</f>
        <v>0</v>
      </c>
    </row>
    <row r="252" spans="2:7" x14ac:dyDescent="0.2">
      <c r="B252" s="2342"/>
      <c r="C252" s="2356"/>
      <c r="D252" s="2163"/>
      <c r="E252" s="2164"/>
      <c r="F252" s="2172"/>
      <c r="G252" s="2357"/>
    </row>
    <row r="253" spans="2:7" ht="24" x14ac:dyDescent="0.2">
      <c r="B253" s="2342" t="s">
        <v>588</v>
      </c>
      <c r="C253" s="2356" t="s">
        <v>589</v>
      </c>
      <c r="D253" s="2163" t="s">
        <v>123</v>
      </c>
      <c r="E253" s="2164">
        <v>4</v>
      </c>
      <c r="F253" s="2344">
        <v>0</v>
      </c>
      <c r="G253" s="2345">
        <f>E253*F253</f>
        <v>0</v>
      </c>
    </row>
    <row r="254" spans="2:7" x14ac:dyDescent="0.2">
      <c r="B254" s="2342"/>
      <c r="C254" s="2356"/>
      <c r="D254" s="2163"/>
      <c r="E254" s="2164"/>
      <c r="F254" s="2172"/>
      <c r="G254" s="2357"/>
    </row>
    <row r="255" spans="2:7" ht="48" x14ac:dyDescent="0.2">
      <c r="B255" s="2342" t="s">
        <v>590</v>
      </c>
      <c r="C255" s="2356" t="s">
        <v>591</v>
      </c>
      <c r="D255" s="2163" t="s">
        <v>123</v>
      </c>
      <c r="E255" s="2164">
        <v>10</v>
      </c>
      <c r="F255" s="2344">
        <v>0</v>
      </c>
      <c r="G255" s="2345">
        <f>E255*F255</f>
        <v>0</v>
      </c>
    </row>
    <row r="256" spans="2:7" x14ac:dyDescent="0.2">
      <c r="B256" s="2342"/>
      <c r="C256" s="2356"/>
      <c r="D256" s="2163"/>
      <c r="E256" s="2164"/>
      <c r="F256" s="2172"/>
      <c r="G256" s="2357"/>
    </row>
    <row r="257" spans="2:8" ht="48" x14ac:dyDescent="0.2">
      <c r="B257" s="2342" t="s">
        <v>592</v>
      </c>
      <c r="C257" s="2356" t="s">
        <v>593</v>
      </c>
      <c r="D257" s="2163" t="s">
        <v>123</v>
      </c>
      <c r="E257" s="2164">
        <v>4</v>
      </c>
      <c r="F257" s="2344">
        <v>0</v>
      </c>
      <c r="G257" s="2345">
        <f>E257*F257</f>
        <v>0</v>
      </c>
    </row>
    <row r="258" spans="2:8" x14ac:dyDescent="0.2">
      <c r="B258" s="2342"/>
      <c r="C258" s="2356"/>
      <c r="D258" s="2163"/>
      <c r="E258" s="2164"/>
      <c r="F258" s="2172"/>
      <c r="G258" s="2357"/>
    </row>
    <row r="259" spans="2:8" ht="36" x14ac:dyDescent="0.2">
      <c r="B259" s="2342" t="s">
        <v>594</v>
      </c>
      <c r="C259" s="2356" t="s">
        <v>595</v>
      </c>
      <c r="D259" s="2163" t="s">
        <v>123</v>
      </c>
      <c r="E259" s="2164">
        <v>2</v>
      </c>
      <c r="F259" s="2344">
        <v>0</v>
      </c>
      <c r="G259" s="2345">
        <f>E259*F259</f>
        <v>0</v>
      </c>
    </row>
    <row r="260" spans="2:8" x14ac:dyDescent="0.2">
      <c r="B260" s="2342"/>
      <c r="C260" s="2356"/>
      <c r="D260" s="2163"/>
      <c r="E260" s="2164"/>
      <c r="F260" s="2172"/>
      <c r="G260" s="2357"/>
    </row>
    <row r="261" spans="2:8" ht="36" x14ac:dyDescent="0.2">
      <c r="B261" s="2342" t="s">
        <v>596</v>
      </c>
      <c r="C261" s="2356" t="s">
        <v>597</v>
      </c>
      <c r="D261" s="2163" t="s">
        <v>123</v>
      </c>
      <c r="E261" s="2164">
        <v>3</v>
      </c>
      <c r="F261" s="2344">
        <v>0</v>
      </c>
      <c r="G261" s="2345">
        <f>E261*F261</f>
        <v>0</v>
      </c>
    </row>
    <row r="262" spans="2:8" x14ac:dyDescent="0.2">
      <c r="B262" s="2342"/>
      <c r="C262" s="2356"/>
      <c r="D262" s="2163"/>
      <c r="E262" s="2164"/>
      <c r="F262" s="2172"/>
      <c r="G262" s="2357"/>
    </row>
    <row r="263" spans="2:8" ht="36" x14ac:dyDescent="0.2">
      <c r="B263" s="2342" t="s">
        <v>598</v>
      </c>
      <c r="C263" s="2356" t="s">
        <v>599</v>
      </c>
      <c r="D263" s="2163" t="s">
        <v>123</v>
      </c>
      <c r="E263" s="2164">
        <v>1</v>
      </c>
      <c r="F263" s="2344">
        <v>0</v>
      </c>
      <c r="G263" s="2345">
        <f>E263*F263</f>
        <v>0</v>
      </c>
      <c r="H263" s="748"/>
    </row>
    <row r="264" spans="2:8" x14ac:dyDescent="0.2">
      <c r="B264" s="2342"/>
      <c r="C264" s="2356"/>
      <c r="D264" s="2163"/>
      <c r="E264" s="2164"/>
      <c r="F264" s="2172"/>
      <c r="G264" s="2357"/>
      <c r="H264" s="748"/>
    </row>
    <row r="265" spans="2:8" ht="24" x14ac:dyDescent="0.2">
      <c r="B265" s="2342" t="s">
        <v>600</v>
      </c>
      <c r="C265" s="2356" t="s">
        <v>601</v>
      </c>
      <c r="D265" s="2163" t="s">
        <v>123</v>
      </c>
      <c r="E265" s="2164">
        <v>2</v>
      </c>
      <c r="F265" s="2344">
        <v>0</v>
      </c>
      <c r="G265" s="2345">
        <f>E265*F265</f>
        <v>0</v>
      </c>
      <c r="H265" s="748"/>
    </row>
    <row r="266" spans="2:8" x14ac:dyDescent="0.2">
      <c r="B266" s="2342"/>
      <c r="C266" s="2356"/>
      <c r="D266" s="2163"/>
      <c r="E266" s="2164"/>
      <c r="F266" s="2172"/>
      <c r="G266" s="2357"/>
      <c r="H266" s="748"/>
    </row>
    <row r="267" spans="2:8" x14ac:dyDescent="0.2">
      <c r="B267" s="2342" t="s">
        <v>602</v>
      </c>
      <c r="C267" s="2356"/>
      <c r="D267" s="2163"/>
      <c r="E267" s="2164"/>
      <c r="F267" s="2172"/>
      <c r="G267" s="2345"/>
      <c r="H267" s="748"/>
    </row>
    <row r="268" spans="2:8" ht="48" x14ac:dyDescent="0.2">
      <c r="B268" s="2342"/>
      <c r="C268" s="2360" t="s">
        <v>603</v>
      </c>
      <c r="D268" s="2163" t="s">
        <v>553</v>
      </c>
      <c r="E268" s="2164">
        <v>1</v>
      </c>
      <c r="F268" s="2344">
        <v>0</v>
      </c>
      <c r="G268" s="2345">
        <f>E268*F268</f>
        <v>0</v>
      </c>
      <c r="H268" s="748"/>
    </row>
    <row r="269" spans="2:8" x14ac:dyDescent="0.2">
      <c r="B269" s="2342" t="s">
        <v>604</v>
      </c>
      <c r="C269" s="2360"/>
      <c r="D269" s="2163"/>
      <c r="E269" s="2164"/>
      <c r="F269" s="2172"/>
      <c r="G269" s="2345"/>
      <c r="H269" s="748"/>
    </row>
    <row r="270" spans="2:8" ht="24" x14ac:dyDescent="0.2">
      <c r="B270" s="2342"/>
      <c r="C270" s="2360" t="s">
        <v>605</v>
      </c>
      <c r="D270" s="2163" t="s">
        <v>553</v>
      </c>
      <c r="E270" s="2164">
        <v>1</v>
      </c>
      <c r="F270" s="2344">
        <v>0</v>
      </c>
      <c r="G270" s="2345">
        <f>E270*F270</f>
        <v>0</v>
      </c>
      <c r="H270" s="748"/>
    </row>
    <row r="271" spans="2:8" x14ac:dyDescent="0.2">
      <c r="B271" s="2342"/>
      <c r="C271" s="2360"/>
      <c r="D271" s="2163"/>
      <c r="E271" s="2164"/>
      <c r="F271" s="2172"/>
      <c r="G271" s="2345"/>
      <c r="H271" s="748"/>
    </row>
    <row r="272" spans="2:8" ht="60" x14ac:dyDescent="0.2">
      <c r="B272" s="2342" t="s">
        <v>606</v>
      </c>
      <c r="C272" s="2369" t="s">
        <v>1454</v>
      </c>
      <c r="D272" s="2163" t="s">
        <v>123</v>
      </c>
      <c r="E272" s="2164">
        <v>1</v>
      </c>
      <c r="F272" s="2344">
        <v>0</v>
      </c>
      <c r="G272" s="2345">
        <f>E272*F272</f>
        <v>0</v>
      </c>
      <c r="H272" s="748"/>
    </row>
    <row r="273" spans="1:12" x14ac:dyDescent="0.2">
      <c r="B273" s="2342"/>
      <c r="C273" s="2356"/>
      <c r="D273" s="2163"/>
      <c r="E273" s="2164"/>
      <c r="F273" s="2172"/>
      <c r="G273" s="2345"/>
      <c r="H273" s="748"/>
    </row>
    <row r="274" spans="1:12" ht="60" x14ac:dyDescent="0.2">
      <c r="B274" s="2342" t="s">
        <v>608</v>
      </c>
      <c r="C274" s="2369" t="s">
        <v>1455</v>
      </c>
      <c r="D274" s="2163" t="s">
        <v>123</v>
      </c>
      <c r="E274" s="2164">
        <v>2</v>
      </c>
      <c r="F274" s="2344">
        <v>0</v>
      </c>
      <c r="G274" s="2345">
        <f>E274*F274</f>
        <v>0</v>
      </c>
      <c r="H274" s="748"/>
    </row>
    <row r="275" spans="1:12" x14ac:dyDescent="0.2">
      <c r="B275" s="2342"/>
      <c r="C275" s="2356"/>
      <c r="D275" s="2163"/>
      <c r="E275" s="2164"/>
      <c r="F275" s="2172"/>
      <c r="G275" s="2351"/>
      <c r="H275" s="748"/>
    </row>
    <row r="276" spans="1:12" ht="36" x14ac:dyDescent="0.2">
      <c r="B276" s="2342" t="s">
        <v>610</v>
      </c>
      <c r="C276" s="2356" t="s">
        <v>1456</v>
      </c>
      <c r="D276" s="2163" t="s">
        <v>123</v>
      </c>
      <c r="E276" s="2164">
        <v>2</v>
      </c>
      <c r="F276" s="2344">
        <v>0</v>
      </c>
      <c r="G276" s="2345">
        <f>E276*F276</f>
        <v>0</v>
      </c>
      <c r="H276" s="748"/>
    </row>
    <row r="277" spans="1:12" x14ac:dyDescent="0.2">
      <c r="B277" s="2342"/>
      <c r="C277" s="2356"/>
      <c r="D277" s="2163"/>
      <c r="E277" s="2164"/>
      <c r="F277" s="2172"/>
      <c r="G277" s="2351"/>
      <c r="H277" s="748"/>
    </row>
    <row r="278" spans="1:12" ht="36" x14ac:dyDescent="0.2">
      <c r="B278" s="2342" t="s">
        <v>612</v>
      </c>
      <c r="C278" s="2356" t="s">
        <v>613</v>
      </c>
      <c r="D278" s="2163" t="s">
        <v>123</v>
      </c>
      <c r="E278" s="2164">
        <v>2</v>
      </c>
      <c r="F278" s="2344">
        <v>0</v>
      </c>
      <c r="G278" s="2345">
        <f>E278*F278</f>
        <v>0</v>
      </c>
      <c r="H278" s="748"/>
    </row>
    <row r="279" spans="1:12" x14ac:dyDescent="0.2">
      <c r="B279" s="2342"/>
      <c r="C279" s="2356"/>
      <c r="D279" s="2163"/>
      <c r="E279" s="2164"/>
      <c r="F279" s="2172"/>
      <c r="G279" s="2357"/>
      <c r="H279" s="748"/>
    </row>
    <row r="280" spans="1:12" ht="36" x14ac:dyDescent="0.2">
      <c r="B280" s="2342" t="s">
        <v>614</v>
      </c>
      <c r="C280" s="2356" t="s">
        <v>615</v>
      </c>
      <c r="D280" s="2163" t="s">
        <v>123</v>
      </c>
      <c r="E280" s="2164">
        <v>100</v>
      </c>
      <c r="F280" s="2344">
        <v>0</v>
      </c>
      <c r="G280" s="2345">
        <f>E280*F280</f>
        <v>0</v>
      </c>
      <c r="H280" s="748"/>
    </row>
    <row r="281" spans="1:12" x14ac:dyDescent="0.2">
      <c r="B281" s="2342"/>
      <c r="C281" s="2356"/>
      <c r="D281" s="2163"/>
      <c r="E281" s="2164"/>
      <c r="F281" s="2172"/>
      <c r="G281" s="2357"/>
      <c r="H281" s="748"/>
    </row>
    <row r="282" spans="1:12" ht="48" x14ac:dyDescent="0.2">
      <c r="B282" s="2342" t="s">
        <v>616</v>
      </c>
      <c r="C282" s="2356" t="s">
        <v>617</v>
      </c>
      <c r="D282" s="2163" t="s">
        <v>560</v>
      </c>
      <c r="E282" s="2164">
        <v>1</v>
      </c>
      <c r="F282" s="2344">
        <v>0</v>
      </c>
      <c r="G282" s="2345">
        <f>E282*F282</f>
        <v>0</v>
      </c>
      <c r="H282" s="748"/>
    </row>
    <row r="283" spans="1:12" x14ac:dyDescent="0.2">
      <c r="B283" s="2342"/>
      <c r="C283" s="2350"/>
      <c r="D283" s="2333"/>
      <c r="E283" s="2334"/>
      <c r="F283" s="2335"/>
      <c r="G283" s="2351"/>
      <c r="H283" s="748"/>
    </row>
    <row r="284" spans="1:12" ht="108" x14ac:dyDescent="0.2">
      <c r="B284" s="2342" t="s">
        <v>618</v>
      </c>
      <c r="C284" s="2372" t="s">
        <v>1457</v>
      </c>
      <c r="D284" s="2333" t="s">
        <v>123</v>
      </c>
      <c r="E284" s="2334">
        <v>1</v>
      </c>
      <c r="F284" s="2344">
        <v>0</v>
      </c>
      <c r="G284" s="2345">
        <f>E284*F284</f>
        <v>0</v>
      </c>
      <c r="H284" s="748"/>
    </row>
    <row r="285" spans="1:12" x14ac:dyDescent="0.2">
      <c r="B285" s="2342"/>
      <c r="C285" s="2372"/>
      <c r="D285" s="2333"/>
      <c r="E285" s="2334"/>
      <c r="F285" s="2172"/>
      <c r="G285" s="2345"/>
      <c r="H285" s="748"/>
    </row>
    <row r="286" spans="1:12" s="910" customFormat="1" ht="84" x14ac:dyDescent="0.2">
      <c r="A286" s="1107"/>
      <c r="B286" s="2342" t="s">
        <v>1458</v>
      </c>
      <c r="C286" s="2372" t="s">
        <v>620</v>
      </c>
      <c r="D286" s="2333" t="s">
        <v>123</v>
      </c>
      <c r="E286" s="2334">
        <v>1</v>
      </c>
      <c r="F286" s="2344">
        <v>0</v>
      </c>
      <c r="G286" s="2345">
        <f>E286*F286</f>
        <v>0</v>
      </c>
      <c r="I286" s="1107"/>
      <c r="J286" s="1107"/>
      <c r="K286" s="1107"/>
      <c r="L286" s="1107"/>
    </row>
    <row r="287" spans="1:12" s="910" customFormat="1" x14ac:dyDescent="0.2">
      <c r="A287" s="1107"/>
      <c r="B287" s="2342"/>
      <c r="C287" s="2372"/>
      <c r="D287" s="2333"/>
      <c r="E287" s="2334"/>
      <c r="F287" s="2172"/>
      <c r="G287" s="2345"/>
      <c r="I287" s="1107"/>
      <c r="J287" s="1107"/>
      <c r="K287" s="1107"/>
      <c r="L287" s="1107"/>
    </row>
    <row r="288" spans="1:12" s="910" customFormat="1" x14ac:dyDescent="0.2">
      <c r="A288" s="1107"/>
      <c r="B288" s="2342" t="s">
        <v>1459</v>
      </c>
      <c r="C288" s="2372" t="s">
        <v>621</v>
      </c>
      <c r="D288" s="2333" t="s">
        <v>123</v>
      </c>
      <c r="E288" s="2334">
        <v>2</v>
      </c>
      <c r="F288" s="2344">
        <v>0</v>
      </c>
      <c r="G288" s="2345">
        <f>E288*F288</f>
        <v>0</v>
      </c>
      <c r="I288" s="1206"/>
      <c r="J288" s="1107"/>
      <c r="K288" s="1107"/>
      <c r="L288" s="1107"/>
    </row>
    <row r="289" spans="2:8" x14ac:dyDescent="0.2">
      <c r="B289" s="2323"/>
      <c r="C289" s="2153"/>
      <c r="D289" s="2271"/>
      <c r="E289" s="2272"/>
      <c r="F289" s="2273"/>
      <c r="G289" s="816"/>
      <c r="H289" s="748"/>
    </row>
    <row r="290" spans="2:8" x14ac:dyDescent="0.2">
      <c r="B290" s="2332" t="s">
        <v>1460</v>
      </c>
      <c r="C290" s="2159" t="s">
        <v>623</v>
      </c>
      <c r="D290" s="2333"/>
      <c r="E290" s="2334"/>
      <c r="F290" s="2335"/>
      <c r="G290" s="2351"/>
      <c r="H290" s="748"/>
    </row>
    <row r="291" spans="2:8" x14ac:dyDescent="0.2">
      <c r="B291" s="2342"/>
      <c r="C291" s="2350"/>
      <c r="D291" s="2333"/>
      <c r="E291" s="2334"/>
      <c r="F291" s="2335"/>
      <c r="G291" s="2351"/>
      <c r="H291" s="748"/>
    </row>
    <row r="292" spans="2:8" s="121" customFormat="1" ht="387.75" customHeight="1" x14ac:dyDescent="0.2">
      <c r="B292" s="2743"/>
      <c r="C292" s="2744"/>
      <c r="D292" s="2745"/>
      <c r="E292" s="2746"/>
      <c r="F292" s="2747"/>
      <c r="G292" s="2736"/>
      <c r="H292" s="122"/>
    </row>
    <row r="293" spans="2:8" s="121" customFormat="1" ht="24.75" customHeight="1" x14ac:dyDescent="0.2">
      <c r="B293" s="2743"/>
      <c r="C293" s="2744" t="s">
        <v>2465</v>
      </c>
      <c r="D293" s="2748" t="s">
        <v>98</v>
      </c>
      <c r="E293" s="2746">
        <v>1</v>
      </c>
      <c r="F293" s="2747">
        <v>0</v>
      </c>
      <c r="G293" s="2736">
        <f t="shared" ref="G293" si="9">E293*F293</f>
        <v>0</v>
      </c>
      <c r="H293" s="122"/>
    </row>
    <row r="294" spans="2:8" x14ac:dyDescent="0.2">
      <c r="B294" s="2342"/>
      <c r="C294" s="2165"/>
      <c r="D294" s="2333"/>
      <c r="E294" s="2334"/>
      <c r="F294" s="2335"/>
      <c r="G294" s="2351"/>
      <c r="H294" s="748"/>
    </row>
    <row r="295" spans="2:8" ht="48" x14ac:dyDescent="0.2">
      <c r="B295" s="2342" t="s">
        <v>15</v>
      </c>
      <c r="C295" s="2166" t="s">
        <v>1344</v>
      </c>
      <c r="D295" s="2163" t="s">
        <v>123</v>
      </c>
      <c r="E295" s="2164">
        <v>2</v>
      </c>
      <c r="F295" s="2344">
        <v>0</v>
      </c>
      <c r="G295" s="2345">
        <f>E295*F295</f>
        <v>0</v>
      </c>
      <c r="H295" s="748"/>
    </row>
    <row r="296" spans="2:8" x14ac:dyDescent="0.2">
      <c r="B296" s="2342"/>
      <c r="C296" s="2165"/>
      <c r="D296" s="2333"/>
      <c r="E296" s="2334"/>
      <c r="F296" s="2335"/>
      <c r="G296" s="2351"/>
      <c r="H296" s="748"/>
    </row>
    <row r="297" spans="2:8" ht="48" x14ac:dyDescent="0.2">
      <c r="B297" s="2342"/>
      <c r="C297" s="2165" t="s">
        <v>625</v>
      </c>
      <c r="D297" s="2333" t="s">
        <v>123</v>
      </c>
      <c r="E297" s="2334">
        <v>2</v>
      </c>
      <c r="F297" s="2344">
        <v>0</v>
      </c>
      <c r="G297" s="2345">
        <f>E297*F297</f>
        <v>0</v>
      </c>
      <c r="H297" s="748"/>
    </row>
    <row r="298" spans="2:8" x14ac:dyDescent="0.2">
      <c r="B298" s="2342"/>
      <c r="C298" s="2165"/>
      <c r="D298" s="2333"/>
      <c r="E298" s="2334"/>
      <c r="F298" s="2335"/>
      <c r="G298" s="2351"/>
      <c r="H298" s="748"/>
    </row>
    <row r="299" spans="2:8" ht="60" x14ac:dyDescent="0.2">
      <c r="B299" s="2342" t="s">
        <v>20</v>
      </c>
      <c r="C299" s="2166" t="s">
        <v>1346</v>
      </c>
      <c r="D299" s="2163" t="s">
        <v>123</v>
      </c>
      <c r="E299" s="2164">
        <v>1</v>
      </c>
      <c r="F299" s="2344">
        <v>0</v>
      </c>
      <c r="G299" s="2345">
        <f>E299*F299</f>
        <v>0</v>
      </c>
      <c r="H299" s="748"/>
    </row>
    <row r="300" spans="2:8" x14ac:dyDescent="0.2">
      <c r="B300" s="2342"/>
      <c r="C300" s="2169"/>
      <c r="D300" s="2333"/>
      <c r="E300" s="2334"/>
      <c r="F300" s="2335"/>
      <c r="G300" s="2345"/>
      <c r="H300" s="748"/>
    </row>
    <row r="301" spans="2:8" ht="264" x14ac:dyDescent="0.2">
      <c r="B301" s="2342" t="s">
        <v>24</v>
      </c>
      <c r="C301" s="2358" t="s">
        <v>816</v>
      </c>
      <c r="D301" s="2163" t="s">
        <v>553</v>
      </c>
      <c r="E301" s="2164">
        <v>1</v>
      </c>
      <c r="F301" s="2344">
        <v>0</v>
      </c>
      <c r="G301" s="2345">
        <f>E301*F301</f>
        <v>0</v>
      </c>
      <c r="H301" s="748"/>
    </row>
    <row r="302" spans="2:8" x14ac:dyDescent="0.2">
      <c r="B302" s="2342"/>
      <c r="C302" s="2360"/>
      <c r="D302" s="2163"/>
      <c r="E302" s="2164"/>
      <c r="F302" s="2172"/>
      <c r="G302" s="2345"/>
      <c r="H302" s="748"/>
    </row>
    <row r="303" spans="2:8" x14ac:dyDescent="0.2">
      <c r="B303" s="2342"/>
      <c r="C303" s="2361" t="s">
        <v>628</v>
      </c>
      <c r="D303" s="2333"/>
      <c r="E303" s="2334"/>
      <c r="F303" s="2335"/>
      <c r="G303" s="2345"/>
      <c r="H303" s="748"/>
    </row>
    <row r="304" spans="2:8" x14ac:dyDescent="0.2">
      <c r="B304" s="2342"/>
      <c r="C304" s="2362"/>
      <c r="D304" s="2333"/>
      <c r="E304" s="2334"/>
      <c r="F304" s="2335"/>
      <c r="G304" s="2345"/>
      <c r="H304" s="748"/>
    </row>
    <row r="305" spans="2:8" ht="96" x14ac:dyDescent="0.2">
      <c r="B305" s="2342" t="s">
        <v>29</v>
      </c>
      <c r="C305" s="2179" t="s">
        <v>1461</v>
      </c>
      <c r="D305" s="2163" t="s">
        <v>123</v>
      </c>
      <c r="E305" s="2164">
        <v>1</v>
      </c>
      <c r="F305" s="2344">
        <v>0</v>
      </c>
      <c r="G305" s="2345">
        <f>E305*F305</f>
        <v>0</v>
      </c>
      <c r="H305" s="748"/>
    </row>
    <row r="306" spans="2:8" x14ac:dyDescent="0.2">
      <c r="B306" s="2342"/>
      <c r="C306" s="2362"/>
      <c r="D306" s="2163"/>
      <c r="E306" s="2164"/>
      <c r="F306" s="2172"/>
      <c r="G306" s="2351"/>
      <c r="H306" s="748"/>
    </row>
    <row r="307" spans="2:8" ht="72" x14ac:dyDescent="0.2">
      <c r="B307" s="2342" t="s">
        <v>33</v>
      </c>
      <c r="C307" s="2179" t="s">
        <v>1349</v>
      </c>
      <c r="D307" s="2163" t="s">
        <v>123</v>
      </c>
      <c r="E307" s="2164">
        <v>1</v>
      </c>
      <c r="F307" s="2344">
        <v>0</v>
      </c>
      <c r="G307" s="2345">
        <f>E307*F307</f>
        <v>0</v>
      </c>
      <c r="H307" s="748"/>
    </row>
    <row r="308" spans="2:8" x14ac:dyDescent="0.2">
      <c r="B308" s="2342"/>
      <c r="C308" s="2179"/>
      <c r="D308" s="2163"/>
      <c r="E308" s="2164"/>
      <c r="F308" s="2167"/>
      <c r="G308" s="2345"/>
      <c r="H308" s="748"/>
    </row>
    <row r="309" spans="2:8" ht="300" x14ac:dyDescent="0.2">
      <c r="B309" s="2342"/>
      <c r="C309" s="2165" t="s">
        <v>630</v>
      </c>
      <c r="D309" s="2333" t="s">
        <v>553</v>
      </c>
      <c r="E309" s="2334">
        <v>2</v>
      </c>
      <c r="F309" s="2344">
        <v>0</v>
      </c>
      <c r="G309" s="2345">
        <f>E309*F309</f>
        <v>0</v>
      </c>
      <c r="H309" s="748"/>
    </row>
    <row r="310" spans="2:8" x14ac:dyDescent="0.2">
      <c r="B310" s="2342"/>
      <c r="C310" s="2165"/>
      <c r="D310" s="2333"/>
      <c r="E310" s="2334"/>
      <c r="F310" s="2335"/>
      <c r="G310" s="2351"/>
      <c r="H310" s="748"/>
    </row>
    <row r="311" spans="2:8" x14ac:dyDescent="0.2">
      <c r="B311" s="2342" t="s">
        <v>38</v>
      </c>
      <c r="C311" s="2180" t="s">
        <v>632</v>
      </c>
      <c r="D311" s="2163" t="s">
        <v>553</v>
      </c>
      <c r="E311" s="2164">
        <v>1</v>
      </c>
      <c r="F311" s="2344">
        <v>0</v>
      </c>
      <c r="G311" s="2345">
        <f>E311*F311</f>
        <v>0</v>
      </c>
      <c r="H311" s="748"/>
    </row>
    <row r="312" spans="2:8" x14ac:dyDescent="0.2">
      <c r="B312" s="2152"/>
      <c r="C312" s="2153"/>
      <c r="D312" s="2271"/>
      <c r="E312" s="2272"/>
      <c r="F312" s="2273"/>
      <c r="G312" s="816"/>
      <c r="H312" s="748"/>
    </row>
    <row r="313" spans="2:8" x14ac:dyDescent="0.2">
      <c r="B313" s="2332" t="s">
        <v>1462</v>
      </c>
      <c r="C313" s="2159" t="s">
        <v>779</v>
      </c>
      <c r="D313" s="2333"/>
      <c r="E313" s="2334"/>
      <c r="F313" s="2335"/>
      <c r="G313" s="2351"/>
      <c r="H313" s="748"/>
    </row>
    <row r="314" spans="2:8" x14ac:dyDescent="0.2">
      <c r="B314" s="2342"/>
      <c r="C314" s="2350"/>
      <c r="D314" s="2333"/>
      <c r="E314" s="2334"/>
      <c r="F314" s="2335"/>
      <c r="G314" s="2351"/>
      <c r="H314" s="748"/>
    </row>
    <row r="315" spans="2:8" ht="60" x14ac:dyDescent="0.2">
      <c r="B315" s="2342" t="s">
        <v>8</v>
      </c>
      <c r="C315" s="2358" t="s">
        <v>1463</v>
      </c>
      <c r="D315" s="2163" t="s">
        <v>123</v>
      </c>
      <c r="E315" s="2164">
        <v>2</v>
      </c>
      <c r="F315" s="2344">
        <v>0</v>
      </c>
      <c r="G315" s="2345">
        <f>E315*F315</f>
        <v>0</v>
      </c>
      <c r="H315" s="748"/>
    </row>
    <row r="316" spans="2:8" x14ac:dyDescent="0.2">
      <c r="B316" s="2342"/>
      <c r="C316" s="2165"/>
      <c r="D316" s="2163"/>
      <c r="E316" s="2164"/>
      <c r="F316" s="2172"/>
      <c r="G316" s="2351"/>
      <c r="H316" s="748"/>
    </row>
    <row r="317" spans="2:8" ht="60" x14ac:dyDescent="0.2">
      <c r="B317" s="2342" t="s">
        <v>15</v>
      </c>
      <c r="C317" s="2359" t="s">
        <v>1464</v>
      </c>
      <c r="D317" s="2163" t="s">
        <v>123</v>
      </c>
      <c r="E317" s="2164">
        <v>2</v>
      </c>
      <c r="F317" s="2344">
        <v>0</v>
      </c>
      <c r="G317" s="2345">
        <f>E317*F317</f>
        <v>0</v>
      </c>
      <c r="H317" s="748"/>
    </row>
    <row r="318" spans="2:8" x14ac:dyDescent="0.2">
      <c r="B318" s="2342"/>
      <c r="C318" s="2165"/>
      <c r="D318" s="2333"/>
      <c r="E318" s="2334"/>
      <c r="F318" s="2335"/>
      <c r="G318" s="2351"/>
      <c r="H318" s="748"/>
    </row>
    <row r="319" spans="2:8" ht="24" x14ac:dyDescent="0.2">
      <c r="B319" s="2342" t="s">
        <v>20</v>
      </c>
      <c r="C319" s="2165" t="s">
        <v>637</v>
      </c>
      <c r="D319" s="2163" t="s">
        <v>123</v>
      </c>
      <c r="E319" s="2164">
        <v>1</v>
      </c>
      <c r="F319" s="2344">
        <v>0</v>
      </c>
      <c r="G319" s="2345">
        <f>E319*F319</f>
        <v>0</v>
      </c>
      <c r="H319" s="748"/>
    </row>
    <row r="320" spans="2:8" x14ac:dyDescent="0.2">
      <c r="B320" s="2342"/>
      <c r="C320" s="2165"/>
      <c r="D320" s="2163"/>
      <c r="E320" s="2164"/>
      <c r="F320" s="2172"/>
      <c r="G320" s="2357"/>
      <c r="H320" s="748"/>
    </row>
    <row r="321" spans="2:8" ht="24" x14ac:dyDescent="0.2">
      <c r="B321" s="2342" t="s">
        <v>24</v>
      </c>
      <c r="C321" s="2165" t="s">
        <v>638</v>
      </c>
      <c r="D321" s="2163" t="s">
        <v>123</v>
      </c>
      <c r="E321" s="2164">
        <v>1</v>
      </c>
      <c r="F321" s="2344">
        <v>0</v>
      </c>
      <c r="G321" s="2345">
        <f>E321*F321</f>
        <v>0</v>
      </c>
      <c r="H321" s="748"/>
    </row>
    <row r="322" spans="2:8" x14ac:dyDescent="0.2">
      <c r="B322" s="2342"/>
      <c r="C322" s="2165"/>
      <c r="D322" s="2333"/>
      <c r="E322" s="2334"/>
      <c r="F322" s="2335"/>
      <c r="G322" s="2336"/>
      <c r="H322" s="748"/>
    </row>
    <row r="323" spans="2:8" ht="24" x14ac:dyDescent="0.2">
      <c r="B323" s="2342" t="s">
        <v>29</v>
      </c>
      <c r="C323" s="2165" t="s">
        <v>639</v>
      </c>
      <c r="D323" s="2163" t="s">
        <v>123</v>
      </c>
      <c r="E323" s="2164">
        <v>1</v>
      </c>
      <c r="F323" s="2344">
        <v>0</v>
      </c>
      <c r="G323" s="2345">
        <f>E323*F323</f>
        <v>0</v>
      </c>
      <c r="H323" s="748"/>
    </row>
    <row r="324" spans="2:8" x14ac:dyDescent="0.2">
      <c r="B324" s="2342"/>
      <c r="C324" s="2165"/>
      <c r="D324" s="2163"/>
      <c r="E324" s="2164"/>
      <c r="F324" s="2172"/>
      <c r="G324" s="2345"/>
      <c r="H324" s="748"/>
    </row>
    <row r="325" spans="2:8" ht="36" x14ac:dyDescent="0.2">
      <c r="B325" s="2342" t="s">
        <v>33</v>
      </c>
      <c r="C325" s="2165" t="s">
        <v>640</v>
      </c>
      <c r="D325" s="2163" t="s">
        <v>123</v>
      </c>
      <c r="E325" s="2164">
        <v>1</v>
      </c>
      <c r="F325" s="2344">
        <v>0</v>
      </c>
      <c r="G325" s="2345">
        <f>E325*F325</f>
        <v>0</v>
      </c>
      <c r="H325" s="748"/>
    </row>
    <row r="326" spans="2:8" x14ac:dyDescent="0.2">
      <c r="B326" s="2342"/>
      <c r="C326" s="2165"/>
      <c r="D326" s="2163"/>
      <c r="E326" s="2164"/>
      <c r="F326" s="2172"/>
      <c r="G326" s="2345"/>
      <c r="H326" s="748"/>
    </row>
    <row r="327" spans="2:8" x14ac:dyDescent="0.2">
      <c r="B327" s="2342" t="s">
        <v>38</v>
      </c>
      <c r="C327" s="2180" t="s">
        <v>632</v>
      </c>
      <c r="D327" s="2163" t="s">
        <v>553</v>
      </c>
      <c r="E327" s="2164">
        <v>1</v>
      </c>
      <c r="F327" s="2344">
        <v>0</v>
      </c>
      <c r="G327" s="2345">
        <f>E327*F327</f>
        <v>0</v>
      </c>
      <c r="H327" s="748"/>
    </row>
    <row r="328" spans="2:8" x14ac:dyDescent="0.2">
      <c r="B328" s="2323"/>
      <c r="C328" s="2328"/>
      <c r="D328" s="2329"/>
      <c r="E328" s="2330"/>
      <c r="F328" s="2321"/>
      <c r="G328" s="2324"/>
      <c r="H328" s="748"/>
    </row>
    <row r="329" spans="2:8" x14ac:dyDescent="0.2">
      <c r="B329" s="2332" t="s">
        <v>1465</v>
      </c>
      <c r="C329" s="2159" t="s">
        <v>642</v>
      </c>
      <c r="D329" s="2333"/>
      <c r="E329" s="2334"/>
      <c r="F329" s="2335"/>
      <c r="G329" s="2336"/>
      <c r="H329" s="748"/>
    </row>
    <row r="330" spans="2:8" x14ac:dyDescent="0.2">
      <c r="B330" s="2342"/>
      <c r="C330" s="2350"/>
      <c r="D330" s="2333"/>
      <c r="E330" s="2334"/>
      <c r="F330" s="2335"/>
      <c r="G330" s="2336"/>
      <c r="H330" s="748"/>
    </row>
    <row r="331" spans="2:8" x14ac:dyDescent="0.2">
      <c r="B331" s="2342" t="s">
        <v>8</v>
      </c>
      <c r="C331" s="2180" t="s">
        <v>643</v>
      </c>
      <c r="D331" s="2163" t="s">
        <v>644</v>
      </c>
      <c r="E331" s="2164">
        <v>20</v>
      </c>
      <c r="F331" s="2344">
        <v>0</v>
      </c>
      <c r="G331" s="2345">
        <f>E331*F331</f>
        <v>0</v>
      </c>
      <c r="H331" s="748"/>
    </row>
    <row r="332" spans="2:8" x14ac:dyDescent="0.2">
      <c r="B332" s="2342"/>
      <c r="C332" s="2180"/>
      <c r="D332" s="2163"/>
      <c r="E332" s="2164"/>
      <c r="F332" s="2172"/>
      <c r="G332" s="2357"/>
      <c r="H332" s="748"/>
    </row>
    <row r="333" spans="2:8" x14ac:dyDescent="0.2">
      <c r="B333" s="2342" t="s">
        <v>15</v>
      </c>
      <c r="C333" s="2180" t="s">
        <v>645</v>
      </c>
      <c r="D333" s="2163" t="s">
        <v>644</v>
      </c>
      <c r="E333" s="2164">
        <v>20</v>
      </c>
      <c r="F333" s="2344">
        <v>0</v>
      </c>
      <c r="G333" s="2345">
        <f>E333*F333</f>
        <v>0</v>
      </c>
      <c r="H333" s="748"/>
    </row>
    <row r="334" spans="2:8" x14ac:dyDescent="0.2">
      <c r="B334" s="2342"/>
      <c r="C334" s="2180"/>
      <c r="D334" s="2163"/>
      <c r="E334" s="2164"/>
      <c r="F334" s="2172"/>
      <c r="G334" s="2357"/>
      <c r="H334" s="748"/>
    </row>
    <row r="335" spans="2:8" x14ac:dyDescent="0.2">
      <c r="B335" s="2342" t="s">
        <v>20</v>
      </c>
      <c r="C335" s="2180" t="s">
        <v>646</v>
      </c>
      <c r="D335" s="2163" t="s">
        <v>644</v>
      </c>
      <c r="E335" s="2164">
        <v>160</v>
      </c>
      <c r="F335" s="2344">
        <v>0</v>
      </c>
      <c r="G335" s="2345">
        <f>E335*F335</f>
        <v>0</v>
      </c>
      <c r="H335" s="748"/>
    </row>
    <row r="336" spans="2:8" x14ac:dyDescent="0.2">
      <c r="B336" s="2342"/>
      <c r="C336" s="2180"/>
      <c r="D336" s="2163"/>
      <c r="E336" s="2164"/>
      <c r="F336" s="2172"/>
      <c r="G336" s="2357"/>
      <c r="H336" s="748"/>
    </row>
    <row r="337" spans="2:8" x14ac:dyDescent="0.2">
      <c r="B337" s="2342" t="s">
        <v>24</v>
      </c>
      <c r="C337" s="2180" t="s">
        <v>647</v>
      </c>
      <c r="D337" s="2163" t="s">
        <v>644</v>
      </c>
      <c r="E337" s="2164">
        <v>100</v>
      </c>
      <c r="F337" s="2344">
        <v>0</v>
      </c>
      <c r="G337" s="2345">
        <f>E337*F337</f>
        <v>0</v>
      </c>
      <c r="H337" s="748"/>
    </row>
    <row r="338" spans="2:8" x14ac:dyDescent="0.2">
      <c r="B338" s="2342"/>
      <c r="C338" s="2180"/>
      <c r="D338" s="2163"/>
      <c r="E338" s="2164"/>
      <c r="F338" s="2172"/>
      <c r="G338" s="2357"/>
      <c r="H338" s="748"/>
    </row>
    <row r="339" spans="2:8" x14ac:dyDescent="0.2">
      <c r="B339" s="2342" t="s">
        <v>29</v>
      </c>
      <c r="C339" s="2180" t="s">
        <v>648</v>
      </c>
      <c r="D339" s="2163" t="s">
        <v>644</v>
      </c>
      <c r="E339" s="2164">
        <v>50</v>
      </c>
      <c r="F339" s="2344">
        <v>0</v>
      </c>
      <c r="G339" s="2345">
        <f>E339*F339</f>
        <v>0</v>
      </c>
      <c r="H339" s="748"/>
    </row>
    <row r="340" spans="2:8" x14ac:dyDescent="0.2">
      <c r="B340" s="2342"/>
      <c r="C340" s="2180"/>
      <c r="D340" s="2163"/>
      <c r="E340" s="2164"/>
      <c r="F340" s="2172"/>
      <c r="G340" s="2357"/>
      <c r="H340" s="748"/>
    </row>
    <row r="341" spans="2:8" x14ac:dyDescent="0.2">
      <c r="B341" s="2342" t="s">
        <v>33</v>
      </c>
      <c r="C341" s="2180" t="s">
        <v>649</v>
      </c>
      <c r="D341" s="2163" t="s">
        <v>644</v>
      </c>
      <c r="E341" s="2164">
        <v>4</v>
      </c>
      <c r="F341" s="2344">
        <v>0</v>
      </c>
      <c r="G341" s="2345">
        <f>E341*F341</f>
        <v>0</v>
      </c>
      <c r="H341" s="748"/>
    </row>
    <row r="342" spans="2:8" x14ac:dyDescent="0.2">
      <c r="B342" s="2342"/>
      <c r="C342" s="2180"/>
      <c r="D342" s="2163"/>
      <c r="E342" s="2164"/>
      <c r="F342" s="2172"/>
      <c r="G342" s="2357"/>
      <c r="H342" s="748"/>
    </row>
    <row r="343" spans="2:8" x14ac:dyDescent="0.2">
      <c r="B343" s="2342" t="s">
        <v>38</v>
      </c>
      <c r="C343" s="2180" t="s">
        <v>650</v>
      </c>
      <c r="D343" s="2163" t="s">
        <v>149</v>
      </c>
      <c r="E343" s="2164">
        <v>2</v>
      </c>
      <c r="F343" s="2344">
        <v>0</v>
      </c>
      <c r="G343" s="2345">
        <f>E343*F343</f>
        <v>0</v>
      </c>
      <c r="H343" s="748"/>
    </row>
    <row r="344" spans="2:8" x14ac:dyDescent="0.2">
      <c r="B344" s="2342"/>
      <c r="C344" s="2180"/>
      <c r="D344" s="2163"/>
      <c r="E344" s="2164"/>
      <c r="F344" s="2172"/>
      <c r="G344" s="2357"/>
      <c r="H344" s="748"/>
    </row>
    <row r="345" spans="2:8" x14ac:dyDescent="0.2">
      <c r="B345" s="2342" t="s">
        <v>43</v>
      </c>
      <c r="C345" s="2180" t="s">
        <v>651</v>
      </c>
      <c r="D345" s="2163" t="s">
        <v>644</v>
      </c>
      <c r="E345" s="2164">
        <v>50</v>
      </c>
      <c r="F345" s="2344">
        <v>0</v>
      </c>
      <c r="G345" s="2345">
        <f>E345*F345</f>
        <v>0</v>
      </c>
      <c r="H345" s="748"/>
    </row>
    <row r="346" spans="2:8" x14ac:dyDescent="0.2">
      <c r="B346" s="2342"/>
      <c r="C346" s="2180"/>
      <c r="D346" s="2163"/>
      <c r="E346" s="2164"/>
      <c r="F346" s="2172"/>
      <c r="G346" s="2357"/>
      <c r="H346" s="748"/>
    </row>
    <row r="347" spans="2:8" x14ac:dyDescent="0.2">
      <c r="B347" s="2342" t="s">
        <v>562</v>
      </c>
      <c r="C347" s="2180" t="s">
        <v>652</v>
      </c>
      <c r="D347" s="2163" t="s">
        <v>644</v>
      </c>
      <c r="E347" s="2164">
        <v>50</v>
      </c>
      <c r="F347" s="2344">
        <v>0</v>
      </c>
      <c r="G347" s="2345">
        <f>E347*F347</f>
        <v>0</v>
      </c>
      <c r="H347" s="748"/>
    </row>
    <row r="348" spans="2:8" x14ac:dyDescent="0.2">
      <c r="B348" s="2342"/>
      <c r="C348" s="2180"/>
      <c r="D348" s="2163"/>
      <c r="E348" s="2164"/>
      <c r="F348" s="2172"/>
      <c r="G348" s="2351"/>
      <c r="H348" s="748"/>
    </row>
    <row r="349" spans="2:8" x14ac:dyDescent="0.2">
      <c r="B349" s="2342" t="s">
        <v>564</v>
      </c>
      <c r="C349" s="2180" t="s">
        <v>632</v>
      </c>
      <c r="D349" s="2163" t="s">
        <v>553</v>
      </c>
      <c r="E349" s="2164">
        <v>1</v>
      </c>
      <c r="F349" s="2344">
        <v>0</v>
      </c>
      <c r="G349" s="2345">
        <f>E349*F349</f>
        <v>0</v>
      </c>
      <c r="H349" s="748"/>
    </row>
    <row r="350" spans="2:8" x14ac:dyDescent="0.2">
      <c r="B350" s="2323"/>
      <c r="C350" s="2328"/>
      <c r="D350" s="2329"/>
      <c r="E350" s="2330"/>
      <c r="F350" s="2321"/>
      <c r="G350" s="2324"/>
      <c r="H350" s="748"/>
    </row>
    <row r="351" spans="2:8" x14ac:dyDescent="0.2">
      <c r="B351" s="2332" t="s">
        <v>1466</v>
      </c>
      <c r="C351" s="2159" t="s">
        <v>654</v>
      </c>
      <c r="D351" s="2333"/>
      <c r="E351" s="2334"/>
      <c r="F351" s="2335"/>
      <c r="G351" s="2336"/>
      <c r="H351" s="748"/>
    </row>
    <row r="352" spans="2:8" x14ac:dyDescent="0.2">
      <c r="B352" s="2342"/>
      <c r="C352" s="2180"/>
      <c r="D352" s="2163"/>
      <c r="E352" s="2164"/>
      <c r="F352" s="2172"/>
      <c r="G352" s="2357"/>
      <c r="H352" s="748"/>
    </row>
    <row r="353" spans="2:8" x14ac:dyDescent="0.2">
      <c r="B353" s="2342" t="s">
        <v>8</v>
      </c>
      <c r="C353" s="2180" t="s">
        <v>655</v>
      </c>
      <c r="D353" s="2163" t="s">
        <v>644</v>
      </c>
      <c r="E353" s="2164">
        <v>60</v>
      </c>
      <c r="F353" s="2344">
        <v>0</v>
      </c>
      <c r="G353" s="2345">
        <f>E353*F353</f>
        <v>0</v>
      </c>
      <c r="H353" s="748"/>
    </row>
    <row r="354" spans="2:8" x14ac:dyDescent="0.2">
      <c r="B354" s="2342"/>
      <c r="C354" s="2180"/>
      <c r="D354" s="2163"/>
      <c r="E354" s="2164"/>
      <c r="F354" s="2172"/>
      <c r="G354" s="2357"/>
      <c r="H354" s="748"/>
    </row>
    <row r="355" spans="2:8" ht="36" x14ac:dyDescent="0.2">
      <c r="B355" s="2342" t="s">
        <v>15</v>
      </c>
      <c r="C355" s="2180" t="s">
        <v>656</v>
      </c>
      <c r="D355" s="2163" t="s">
        <v>553</v>
      </c>
      <c r="E355" s="2164">
        <v>1</v>
      </c>
      <c r="F355" s="2344">
        <v>0</v>
      </c>
      <c r="G355" s="2345">
        <f>E355*F355</f>
        <v>0</v>
      </c>
      <c r="H355" s="748"/>
    </row>
    <row r="356" spans="2:8" x14ac:dyDescent="0.2">
      <c r="B356" s="2342"/>
      <c r="C356" s="2180"/>
      <c r="D356" s="2163"/>
      <c r="E356" s="2164"/>
      <c r="F356" s="2172"/>
      <c r="G356" s="2357"/>
      <c r="H356" s="748"/>
    </row>
    <row r="357" spans="2:8" ht="36" x14ac:dyDescent="0.2">
      <c r="B357" s="2342" t="s">
        <v>20</v>
      </c>
      <c r="C357" s="2180" t="s">
        <v>657</v>
      </c>
      <c r="D357" s="2163" t="s">
        <v>553</v>
      </c>
      <c r="E357" s="2164">
        <v>1</v>
      </c>
      <c r="F357" s="2344">
        <v>0</v>
      </c>
      <c r="G357" s="2345">
        <f>E357*F357</f>
        <v>0</v>
      </c>
      <c r="H357" s="748"/>
    </row>
    <row r="358" spans="2:8" x14ac:dyDescent="0.2">
      <c r="B358" s="2342"/>
      <c r="C358" s="2180"/>
      <c r="D358" s="2163"/>
      <c r="E358" s="2164"/>
      <c r="F358" s="2172"/>
      <c r="G358" s="2357"/>
      <c r="H358" s="748"/>
    </row>
    <row r="359" spans="2:8" ht="24" x14ac:dyDescent="0.2">
      <c r="B359" s="2342" t="s">
        <v>24</v>
      </c>
      <c r="C359" s="2180" t="s">
        <v>658</v>
      </c>
      <c r="D359" s="2163" t="s">
        <v>644</v>
      </c>
      <c r="E359" s="2164">
        <v>160</v>
      </c>
      <c r="F359" s="2344">
        <v>0</v>
      </c>
      <c r="G359" s="2345">
        <f>E359*F359</f>
        <v>0</v>
      </c>
      <c r="H359" s="748"/>
    </row>
    <row r="360" spans="2:8" x14ac:dyDescent="0.2">
      <c r="B360" s="2342"/>
      <c r="C360" s="2180"/>
      <c r="D360" s="2163"/>
      <c r="E360" s="2164"/>
      <c r="F360" s="2172"/>
      <c r="G360" s="2357"/>
      <c r="H360" s="748"/>
    </row>
    <row r="361" spans="2:8" x14ac:dyDescent="0.2">
      <c r="B361" s="2342" t="s">
        <v>29</v>
      </c>
      <c r="C361" s="2180" t="s">
        <v>659</v>
      </c>
      <c r="D361" s="2163" t="s">
        <v>553</v>
      </c>
      <c r="E361" s="2164">
        <v>1</v>
      </c>
      <c r="F361" s="2344">
        <v>0</v>
      </c>
      <c r="G361" s="2345">
        <f>E361*F361</f>
        <v>0</v>
      </c>
      <c r="H361" s="748"/>
    </row>
    <row r="362" spans="2:8" x14ac:dyDescent="0.2">
      <c r="B362" s="2342"/>
      <c r="C362" s="2180"/>
      <c r="D362" s="2163"/>
      <c r="E362" s="2164"/>
      <c r="F362" s="2172"/>
      <c r="G362" s="2357"/>
      <c r="H362" s="748"/>
    </row>
    <row r="363" spans="2:8" x14ac:dyDescent="0.2">
      <c r="B363" s="2342" t="s">
        <v>33</v>
      </c>
      <c r="C363" s="2180" t="s">
        <v>660</v>
      </c>
      <c r="D363" s="2163" t="s">
        <v>123</v>
      </c>
      <c r="E363" s="2164">
        <v>16</v>
      </c>
      <c r="F363" s="2344">
        <v>0</v>
      </c>
      <c r="G363" s="2345">
        <f>E363*F363</f>
        <v>0</v>
      </c>
      <c r="H363" s="748"/>
    </row>
    <row r="364" spans="2:8" x14ac:dyDescent="0.2">
      <c r="B364" s="2342"/>
      <c r="C364" s="2180"/>
      <c r="D364" s="2163"/>
      <c r="E364" s="2164"/>
      <c r="F364" s="2172"/>
      <c r="G364" s="2357"/>
      <c r="H364" s="748"/>
    </row>
    <row r="365" spans="2:8" x14ac:dyDescent="0.2">
      <c r="B365" s="2342" t="s">
        <v>38</v>
      </c>
      <c r="C365" s="2180" t="s">
        <v>661</v>
      </c>
      <c r="D365" s="2163" t="s">
        <v>553</v>
      </c>
      <c r="E365" s="2164">
        <v>10</v>
      </c>
      <c r="F365" s="2344">
        <v>0</v>
      </c>
      <c r="G365" s="2345">
        <f>E365*F365</f>
        <v>0</v>
      </c>
      <c r="H365" s="748"/>
    </row>
    <row r="366" spans="2:8" x14ac:dyDescent="0.2">
      <c r="B366" s="2342"/>
      <c r="C366" s="2180"/>
      <c r="D366" s="2163"/>
      <c r="E366" s="2164"/>
      <c r="F366" s="2172"/>
      <c r="G366" s="2357"/>
      <c r="H366" s="748"/>
    </row>
    <row r="367" spans="2:8" x14ac:dyDescent="0.2">
      <c r="B367" s="2342" t="s">
        <v>43</v>
      </c>
      <c r="C367" s="2180" t="s">
        <v>662</v>
      </c>
      <c r="D367" s="2163" t="s">
        <v>553</v>
      </c>
      <c r="E367" s="2164">
        <v>2</v>
      </c>
      <c r="F367" s="2344">
        <v>0</v>
      </c>
      <c r="G367" s="2345">
        <f>E367*F367</f>
        <v>0</v>
      </c>
      <c r="H367" s="748"/>
    </row>
    <row r="368" spans="2:8" x14ac:dyDescent="0.2">
      <c r="B368" s="2342"/>
      <c r="C368" s="2180"/>
      <c r="D368" s="2163"/>
      <c r="E368" s="2164"/>
      <c r="F368" s="2172"/>
      <c r="G368" s="2357"/>
      <c r="H368" s="748"/>
    </row>
    <row r="369" spans="2:8" x14ac:dyDescent="0.2">
      <c r="B369" s="2342" t="s">
        <v>562</v>
      </c>
      <c r="C369" s="2180" t="s">
        <v>663</v>
      </c>
      <c r="D369" s="2163" t="s">
        <v>553</v>
      </c>
      <c r="E369" s="2164">
        <v>1</v>
      </c>
      <c r="F369" s="2344">
        <v>0</v>
      </c>
      <c r="G369" s="2345">
        <f>E369*F369</f>
        <v>0</v>
      </c>
      <c r="H369" s="748"/>
    </row>
    <row r="370" spans="2:8" x14ac:dyDescent="0.2">
      <c r="B370" s="2323"/>
      <c r="C370" s="2328"/>
      <c r="D370" s="2329"/>
      <c r="E370" s="2330"/>
      <c r="F370" s="2321"/>
      <c r="G370" s="2324"/>
      <c r="H370" s="748"/>
    </row>
    <row r="371" spans="2:8" x14ac:dyDescent="0.2">
      <c r="B371" s="2332" t="s">
        <v>1467</v>
      </c>
      <c r="C371" s="2159" t="s">
        <v>665</v>
      </c>
      <c r="D371" s="2333"/>
      <c r="E371" s="2334"/>
      <c r="F371" s="2335"/>
      <c r="G371" s="2336"/>
      <c r="H371" s="748"/>
    </row>
    <row r="372" spans="2:8" x14ac:dyDescent="0.2">
      <c r="B372" s="2342"/>
      <c r="C372" s="2350"/>
      <c r="D372" s="2333"/>
      <c r="E372" s="2334"/>
      <c r="F372" s="2335"/>
      <c r="G372" s="2336"/>
      <c r="H372" s="748"/>
    </row>
    <row r="373" spans="2:8" ht="36" x14ac:dyDescent="0.2">
      <c r="B373" s="2342" t="s">
        <v>8</v>
      </c>
      <c r="C373" s="2180" t="s">
        <v>666</v>
      </c>
      <c r="D373" s="2163" t="s">
        <v>644</v>
      </c>
      <c r="E373" s="2164">
        <v>21</v>
      </c>
      <c r="F373" s="2344">
        <v>0</v>
      </c>
      <c r="G373" s="2345">
        <f>E373*F373</f>
        <v>0</v>
      </c>
      <c r="H373" s="748"/>
    </row>
    <row r="374" spans="2:8" x14ac:dyDescent="0.2">
      <c r="B374" s="2342"/>
      <c r="C374" s="2180"/>
      <c r="D374" s="2163"/>
      <c r="E374" s="2164"/>
      <c r="F374" s="2172"/>
      <c r="G374" s="2346"/>
      <c r="H374" s="748"/>
    </row>
    <row r="375" spans="2:8" x14ac:dyDescent="0.2">
      <c r="B375" s="2342" t="s">
        <v>15</v>
      </c>
      <c r="C375" s="2180" t="s">
        <v>667</v>
      </c>
      <c r="D375" s="2163" t="s">
        <v>644</v>
      </c>
      <c r="E375" s="2164">
        <v>60</v>
      </c>
      <c r="F375" s="2344">
        <v>0</v>
      </c>
      <c r="G375" s="2345">
        <f>E375*F375</f>
        <v>0</v>
      </c>
      <c r="H375" s="748"/>
    </row>
    <row r="376" spans="2:8" x14ac:dyDescent="0.2">
      <c r="B376" s="2342"/>
      <c r="C376" s="2180"/>
      <c r="D376" s="2163"/>
      <c r="E376" s="2164"/>
      <c r="F376" s="2172"/>
      <c r="G376" s="2346"/>
      <c r="H376" s="748"/>
    </row>
    <row r="377" spans="2:8" x14ac:dyDescent="0.2">
      <c r="B377" s="2342" t="s">
        <v>20</v>
      </c>
      <c r="C377" s="2180" t="s">
        <v>668</v>
      </c>
      <c r="D377" s="2163" t="s">
        <v>644</v>
      </c>
      <c r="E377" s="2164">
        <v>30</v>
      </c>
      <c r="F377" s="2344">
        <v>0</v>
      </c>
      <c r="G377" s="2345">
        <f>E377*F377</f>
        <v>0</v>
      </c>
      <c r="H377" s="748"/>
    </row>
    <row r="378" spans="2:8" x14ac:dyDescent="0.2">
      <c r="B378" s="2342"/>
      <c r="C378" s="2180"/>
      <c r="D378" s="2163"/>
      <c r="E378" s="2164"/>
      <c r="F378" s="2172"/>
      <c r="G378" s="2346"/>
      <c r="H378" s="748"/>
    </row>
    <row r="379" spans="2:8" x14ac:dyDescent="0.2">
      <c r="B379" s="2342" t="s">
        <v>24</v>
      </c>
      <c r="C379" s="2180" t="s">
        <v>669</v>
      </c>
      <c r="D379" s="2163" t="s">
        <v>123</v>
      </c>
      <c r="E379" s="2164">
        <v>1</v>
      </c>
      <c r="F379" s="2344">
        <v>0</v>
      </c>
      <c r="G379" s="2345">
        <f>E379*F379</f>
        <v>0</v>
      </c>
      <c r="H379" s="748"/>
    </row>
    <row r="380" spans="2:8" x14ac:dyDescent="0.2">
      <c r="B380" s="2342"/>
      <c r="C380" s="2180"/>
      <c r="D380" s="2163"/>
      <c r="E380" s="2164"/>
      <c r="F380" s="2172"/>
      <c r="G380" s="2346"/>
      <c r="H380" s="748"/>
    </row>
    <row r="381" spans="2:8" ht="48" x14ac:dyDescent="0.2">
      <c r="B381" s="2342" t="s">
        <v>29</v>
      </c>
      <c r="C381" s="2356" t="s">
        <v>670</v>
      </c>
      <c r="D381" s="2163" t="s">
        <v>123</v>
      </c>
      <c r="E381" s="2164">
        <v>1</v>
      </c>
      <c r="F381" s="2344">
        <v>0</v>
      </c>
      <c r="G381" s="2345">
        <f>E381*F381</f>
        <v>0</v>
      </c>
      <c r="H381" s="748"/>
    </row>
    <row r="382" spans="2:8" x14ac:dyDescent="0.2">
      <c r="B382" s="2342"/>
      <c r="C382" s="2356"/>
      <c r="D382" s="2163"/>
      <c r="E382" s="2164"/>
      <c r="F382" s="2172"/>
      <c r="G382" s="2346"/>
      <c r="H382" s="748"/>
    </row>
    <row r="383" spans="2:8" x14ac:dyDescent="0.2">
      <c r="B383" s="2342" t="s">
        <v>33</v>
      </c>
      <c r="C383" s="2356" t="s">
        <v>671</v>
      </c>
      <c r="D383" s="2163" t="s">
        <v>123</v>
      </c>
      <c r="E383" s="2164">
        <v>1</v>
      </c>
      <c r="F383" s="2344">
        <v>0</v>
      </c>
      <c r="G383" s="2345">
        <f>E383*F383</f>
        <v>0</v>
      </c>
      <c r="H383" s="748"/>
    </row>
    <row r="384" spans="2:8" x14ac:dyDescent="0.2">
      <c r="B384" s="2342"/>
      <c r="C384" s="2356"/>
      <c r="D384" s="2163"/>
      <c r="E384" s="2164"/>
      <c r="F384" s="2172"/>
      <c r="G384" s="2346"/>
      <c r="H384" s="748"/>
    </row>
    <row r="385" spans="2:8" x14ac:dyDescent="0.2">
      <c r="B385" s="2342" t="s">
        <v>38</v>
      </c>
      <c r="C385" s="2356" t="s">
        <v>672</v>
      </c>
      <c r="D385" s="2163" t="s">
        <v>123</v>
      </c>
      <c r="E385" s="2164">
        <v>1</v>
      </c>
      <c r="F385" s="2344">
        <v>0</v>
      </c>
      <c r="G385" s="2345">
        <f>E385*F385</f>
        <v>0</v>
      </c>
      <c r="H385" s="748"/>
    </row>
    <row r="386" spans="2:8" x14ac:dyDescent="0.2">
      <c r="B386" s="2342"/>
      <c r="C386" s="2180"/>
      <c r="D386" s="2163"/>
      <c r="E386" s="2164"/>
      <c r="F386" s="2172"/>
      <c r="G386" s="2346"/>
      <c r="H386" s="748"/>
    </row>
    <row r="387" spans="2:8" ht="24" x14ac:dyDescent="0.2">
      <c r="B387" s="2342" t="s">
        <v>43</v>
      </c>
      <c r="C387" s="2180" t="s">
        <v>673</v>
      </c>
      <c r="D387" s="2163" t="s">
        <v>123</v>
      </c>
      <c r="E387" s="2164">
        <v>4</v>
      </c>
      <c r="F387" s="2344">
        <v>0</v>
      </c>
      <c r="G387" s="2345">
        <f>E387*F387</f>
        <v>0</v>
      </c>
      <c r="H387" s="748"/>
    </row>
    <row r="388" spans="2:8" x14ac:dyDescent="0.2">
      <c r="B388" s="2342"/>
      <c r="C388" s="2180"/>
      <c r="D388" s="2163"/>
      <c r="E388" s="2164"/>
      <c r="F388" s="2172"/>
      <c r="G388" s="2346"/>
      <c r="H388" s="748"/>
    </row>
    <row r="389" spans="2:8" x14ac:dyDescent="0.2">
      <c r="B389" s="2342" t="s">
        <v>562</v>
      </c>
      <c r="C389" s="2180" t="s">
        <v>674</v>
      </c>
      <c r="D389" s="2163" t="s">
        <v>123</v>
      </c>
      <c r="E389" s="2164">
        <v>1</v>
      </c>
      <c r="F389" s="2344">
        <v>0</v>
      </c>
      <c r="G389" s="2345">
        <f>E389*F389</f>
        <v>0</v>
      </c>
      <c r="H389" s="748"/>
    </row>
    <row r="390" spans="2:8" x14ac:dyDescent="0.2">
      <c r="B390" s="2342"/>
      <c r="C390" s="2180"/>
      <c r="D390" s="2163"/>
      <c r="E390" s="2164"/>
      <c r="F390" s="2172"/>
      <c r="G390" s="2346"/>
      <c r="H390" s="748"/>
    </row>
    <row r="391" spans="2:8" x14ac:dyDescent="0.2">
      <c r="B391" s="2342" t="s">
        <v>564</v>
      </c>
      <c r="C391" s="2180" t="s">
        <v>675</v>
      </c>
      <c r="D391" s="2163" t="s">
        <v>123</v>
      </c>
      <c r="E391" s="2164">
        <v>2</v>
      </c>
      <c r="F391" s="2344">
        <v>0</v>
      </c>
      <c r="G391" s="2345">
        <f>E391*F391</f>
        <v>0</v>
      </c>
      <c r="H391" s="748"/>
    </row>
    <row r="392" spans="2:8" x14ac:dyDescent="0.2">
      <c r="B392" s="2342"/>
      <c r="C392" s="2180"/>
      <c r="D392" s="2163"/>
      <c r="E392" s="2164"/>
      <c r="F392" s="2172"/>
      <c r="G392" s="2346"/>
      <c r="H392" s="748"/>
    </row>
    <row r="393" spans="2:8" x14ac:dyDescent="0.2">
      <c r="B393" s="2342" t="s">
        <v>566</v>
      </c>
      <c r="C393" s="2180" t="s">
        <v>676</v>
      </c>
      <c r="D393" s="2163" t="s">
        <v>123</v>
      </c>
      <c r="E393" s="2164">
        <v>2</v>
      </c>
      <c r="F393" s="2344">
        <v>0</v>
      </c>
      <c r="G393" s="2345">
        <f>E393*F393</f>
        <v>0</v>
      </c>
      <c r="H393" s="748"/>
    </row>
    <row r="394" spans="2:8" x14ac:dyDescent="0.2">
      <c r="B394" s="2342"/>
      <c r="C394" s="2180"/>
      <c r="D394" s="2163"/>
      <c r="E394" s="2164"/>
      <c r="F394" s="2172"/>
      <c r="G394" s="2346"/>
      <c r="H394" s="748"/>
    </row>
    <row r="395" spans="2:8" ht="24" x14ac:dyDescent="0.2">
      <c r="B395" s="2342" t="s">
        <v>568</v>
      </c>
      <c r="C395" s="2180" t="s">
        <v>677</v>
      </c>
      <c r="D395" s="2163" t="s">
        <v>123</v>
      </c>
      <c r="E395" s="2164">
        <v>1</v>
      </c>
      <c r="F395" s="2344">
        <v>0</v>
      </c>
      <c r="G395" s="2345">
        <f>E395*F395</f>
        <v>0</v>
      </c>
      <c r="H395" s="748"/>
    </row>
    <row r="396" spans="2:8" x14ac:dyDescent="0.2">
      <c r="B396" s="2323"/>
      <c r="C396" s="2156"/>
      <c r="D396" s="2325"/>
      <c r="E396" s="2326"/>
      <c r="F396" s="2327"/>
      <c r="G396" s="2322"/>
      <c r="H396" s="748"/>
    </row>
    <row r="397" spans="2:8" x14ac:dyDescent="0.2">
      <c r="B397" s="2332" t="s">
        <v>1468</v>
      </c>
      <c r="C397" s="2159" t="s">
        <v>679</v>
      </c>
      <c r="D397" s="2333"/>
      <c r="E397" s="2334"/>
      <c r="F397" s="2335"/>
      <c r="G397" s="2351"/>
      <c r="H397" s="748"/>
    </row>
    <row r="398" spans="2:8" x14ac:dyDescent="0.2">
      <c r="B398" s="2342"/>
      <c r="C398" s="2350"/>
      <c r="D398" s="2333"/>
      <c r="E398" s="2334"/>
      <c r="F398" s="2335"/>
      <c r="G398" s="2351"/>
      <c r="H398" s="748"/>
    </row>
    <row r="399" spans="2:8" x14ac:dyDescent="0.2">
      <c r="B399" s="2352" t="s">
        <v>8</v>
      </c>
      <c r="C399" s="2353" t="s">
        <v>680</v>
      </c>
      <c r="D399" s="2163" t="s">
        <v>553</v>
      </c>
      <c r="E399" s="2164">
        <v>12</v>
      </c>
      <c r="F399" s="2344">
        <v>0</v>
      </c>
      <c r="G399" s="2345">
        <f t="shared" ref="G399:G406" si="10">E399*F399</f>
        <v>0</v>
      </c>
      <c r="H399" s="748"/>
    </row>
    <row r="400" spans="2:8" x14ac:dyDescent="0.2">
      <c r="B400" s="2342" t="s">
        <v>15</v>
      </c>
      <c r="C400" s="2348" t="s">
        <v>681</v>
      </c>
      <c r="D400" s="2163" t="s">
        <v>553</v>
      </c>
      <c r="E400" s="2164">
        <v>1</v>
      </c>
      <c r="F400" s="2344">
        <v>0</v>
      </c>
      <c r="G400" s="2345">
        <f t="shared" si="10"/>
        <v>0</v>
      </c>
      <c r="H400" s="748"/>
    </row>
    <row r="401" spans="2:8" ht="72" x14ac:dyDescent="0.2">
      <c r="B401" s="2342" t="s">
        <v>20</v>
      </c>
      <c r="C401" s="2354" t="s">
        <v>1356</v>
      </c>
      <c r="D401" s="2163" t="s">
        <v>553</v>
      </c>
      <c r="E401" s="2164">
        <v>1</v>
      </c>
      <c r="F401" s="2344">
        <v>0</v>
      </c>
      <c r="G401" s="2345">
        <f t="shared" si="10"/>
        <v>0</v>
      </c>
      <c r="H401" s="748"/>
    </row>
    <row r="402" spans="2:8" ht="72" x14ac:dyDescent="0.2">
      <c r="B402" s="2342" t="s">
        <v>24</v>
      </c>
      <c r="C402" s="2168" t="s">
        <v>1469</v>
      </c>
      <c r="D402" s="2163" t="s">
        <v>553</v>
      </c>
      <c r="E402" s="2164">
        <v>1</v>
      </c>
      <c r="F402" s="2344">
        <v>0</v>
      </c>
      <c r="G402" s="2345">
        <f t="shared" si="10"/>
        <v>0</v>
      </c>
      <c r="H402" s="748"/>
    </row>
    <row r="403" spans="2:8" ht="48" x14ac:dyDescent="0.2">
      <c r="B403" s="2342" t="s">
        <v>29</v>
      </c>
      <c r="C403" s="2355" t="s">
        <v>1358</v>
      </c>
      <c r="D403" s="2163" t="s">
        <v>553</v>
      </c>
      <c r="E403" s="2164">
        <v>1</v>
      </c>
      <c r="F403" s="2344">
        <v>0</v>
      </c>
      <c r="G403" s="2345">
        <f t="shared" si="10"/>
        <v>0</v>
      </c>
      <c r="H403" s="748"/>
    </row>
    <row r="404" spans="2:8" ht="36" x14ac:dyDescent="0.2">
      <c r="B404" s="2342" t="s">
        <v>33</v>
      </c>
      <c r="C404" s="2168" t="s">
        <v>1359</v>
      </c>
      <c r="D404" s="2163" t="s">
        <v>553</v>
      </c>
      <c r="E404" s="2164">
        <v>1</v>
      </c>
      <c r="F404" s="2344">
        <v>0</v>
      </c>
      <c r="G404" s="2345">
        <f t="shared" si="10"/>
        <v>0</v>
      </c>
      <c r="H404" s="748"/>
    </row>
    <row r="405" spans="2:8" ht="36" x14ac:dyDescent="0.2">
      <c r="B405" s="2342" t="s">
        <v>38</v>
      </c>
      <c r="C405" s="2168" t="s">
        <v>1360</v>
      </c>
      <c r="D405" s="2163" t="s">
        <v>553</v>
      </c>
      <c r="E405" s="2164">
        <v>1</v>
      </c>
      <c r="F405" s="2344">
        <v>0</v>
      </c>
      <c r="G405" s="2345">
        <f t="shared" si="10"/>
        <v>0</v>
      </c>
      <c r="H405" s="748"/>
    </row>
    <row r="406" spans="2:8" ht="36" x14ac:dyDescent="0.2">
      <c r="B406" s="2342" t="s">
        <v>43</v>
      </c>
      <c r="C406" s="2168" t="s">
        <v>1361</v>
      </c>
      <c r="D406" s="2163" t="s">
        <v>553</v>
      </c>
      <c r="E406" s="2164">
        <v>1</v>
      </c>
      <c r="F406" s="2344">
        <v>0</v>
      </c>
      <c r="G406" s="2345">
        <f t="shared" si="10"/>
        <v>0</v>
      </c>
      <c r="H406" s="748"/>
    </row>
    <row r="407" spans="2:8" x14ac:dyDescent="0.2">
      <c r="B407" s="2323"/>
      <c r="C407" s="2156"/>
      <c r="D407" s="2325"/>
      <c r="E407" s="2326"/>
      <c r="F407" s="2327"/>
      <c r="G407" s="960"/>
      <c r="H407" s="748"/>
    </row>
    <row r="408" spans="2:8" x14ac:dyDescent="0.2">
      <c r="B408" s="2332" t="s">
        <v>1470</v>
      </c>
      <c r="C408" s="2159" t="s">
        <v>689</v>
      </c>
      <c r="D408" s="2333"/>
      <c r="E408" s="2334"/>
      <c r="F408" s="2335"/>
      <c r="G408" s="2336"/>
      <c r="H408" s="748"/>
    </row>
    <row r="409" spans="2:8" x14ac:dyDescent="0.2">
      <c r="B409" s="2337"/>
      <c r="C409" s="2169"/>
      <c r="D409" s="2338"/>
      <c r="E409" s="2339"/>
      <c r="F409" s="2340"/>
      <c r="G409" s="2341"/>
      <c r="H409" s="748"/>
    </row>
    <row r="410" spans="2:8" ht="60" x14ac:dyDescent="0.2">
      <c r="B410" s="2342" t="s">
        <v>8</v>
      </c>
      <c r="C410" s="2343" t="s">
        <v>1471</v>
      </c>
      <c r="D410" s="2163" t="s">
        <v>553</v>
      </c>
      <c r="E410" s="2164">
        <v>1</v>
      </c>
      <c r="F410" s="2344">
        <v>0</v>
      </c>
      <c r="G410" s="2345">
        <f>E410*F410</f>
        <v>0</v>
      </c>
      <c r="H410" s="748"/>
    </row>
    <row r="411" spans="2:8" x14ac:dyDescent="0.2">
      <c r="B411" s="2342"/>
      <c r="C411" s="2165"/>
      <c r="D411" s="2163"/>
      <c r="E411" s="2164"/>
      <c r="F411" s="2172"/>
      <c r="G411" s="2346"/>
      <c r="H411" s="748"/>
    </row>
    <row r="412" spans="2:8" ht="24" x14ac:dyDescent="0.2">
      <c r="B412" s="2342" t="s">
        <v>15</v>
      </c>
      <c r="C412" s="2347" t="s">
        <v>1472</v>
      </c>
      <c r="D412" s="2163" t="s">
        <v>553</v>
      </c>
      <c r="E412" s="2164">
        <v>1</v>
      </c>
      <c r="F412" s="2344">
        <v>0</v>
      </c>
      <c r="G412" s="2345">
        <f>E412*F412</f>
        <v>0</v>
      </c>
      <c r="H412" s="748"/>
    </row>
    <row r="413" spans="2:8" x14ac:dyDescent="0.2">
      <c r="B413" s="2342"/>
      <c r="C413" s="2348"/>
      <c r="D413" s="2163"/>
      <c r="E413" s="2164"/>
      <c r="F413" s="2172"/>
      <c r="G413" s="2346"/>
      <c r="H413" s="748"/>
    </row>
    <row r="414" spans="2:8" x14ac:dyDescent="0.2">
      <c r="B414" s="2342" t="s">
        <v>20</v>
      </c>
      <c r="C414" s="2349" t="s">
        <v>1473</v>
      </c>
      <c r="D414" s="2163" t="s">
        <v>553</v>
      </c>
      <c r="E414" s="2164">
        <v>1</v>
      </c>
      <c r="F414" s="2344">
        <v>0</v>
      </c>
      <c r="G414" s="2345">
        <f>E414*F414</f>
        <v>0</v>
      </c>
      <c r="H414" s="748"/>
    </row>
    <row r="415" spans="2:8" x14ac:dyDescent="0.2">
      <c r="B415" s="2342"/>
      <c r="C415" s="2348"/>
      <c r="D415" s="2163"/>
      <c r="E415" s="2164"/>
      <c r="F415" s="2172"/>
      <c r="G415" s="2346"/>
      <c r="H415" s="748"/>
    </row>
    <row r="416" spans="2:8" ht="60" x14ac:dyDescent="0.2">
      <c r="B416" s="2342" t="s">
        <v>24</v>
      </c>
      <c r="C416" s="2350" t="s">
        <v>1474</v>
      </c>
      <c r="D416" s="2333" t="s">
        <v>644</v>
      </c>
      <c r="E416" s="2334">
        <v>24</v>
      </c>
      <c r="F416" s="2344">
        <v>0</v>
      </c>
      <c r="G416" s="2345">
        <f>E416*F416</f>
        <v>0</v>
      </c>
      <c r="H416" s="748"/>
    </row>
    <row r="417" spans="2:8" x14ac:dyDescent="0.2">
      <c r="B417" s="2342"/>
      <c r="C417" s="2350"/>
      <c r="D417" s="2333"/>
      <c r="E417" s="2334"/>
      <c r="F417" s="2335"/>
      <c r="G417" s="2346"/>
      <c r="H417" s="748"/>
    </row>
    <row r="418" spans="2:8" x14ac:dyDescent="0.2">
      <c r="B418" s="2342" t="s">
        <v>29</v>
      </c>
      <c r="C418" s="2349" t="s">
        <v>691</v>
      </c>
      <c r="D418" s="2163" t="s">
        <v>644</v>
      </c>
      <c r="E418" s="2164">
        <v>130</v>
      </c>
      <c r="F418" s="2344">
        <v>0</v>
      </c>
      <c r="G418" s="2345">
        <f>E418*F418</f>
        <v>0</v>
      </c>
      <c r="H418" s="748"/>
    </row>
    <row r="419" spans="2:8" x14ac:dyDescent="0.2">
      <c r="B419" s="2342"/>
      <c r="C419" s="2348"/>
      <c r="D419" s="2163"/>
      <c r="E419" s="2164"/>
      <c r="F419" s="2172"/>
      <c r="G419" s="2346"/>
      <c r="H419" s="748"/>
    </row>
    <row r="420" spans="2:8" ht="24" x14ac:dyDescent="0.2">
      <c r="B420" s="2342" t="s">
        <v>33</v>
      </c>
      <c r="C420" s="2169" t="s">
        <v>1475</v>
      </c>
      <c r="D420" s="2163" t="s">
        <v>553</v>
      </c>
      <c r="E420" s="2164">
        <v>1</v>
      </c>
      <c r="F420" s="2344">
        <v>0</v>
      </c>
      <c r="G420" s="2345">
        <f>E420*F420</f>
        <v>0</v>
      </c>
      <c r="H420" s="748"/>
    </row>
    <row r="421" spans="2:8" x14ac:dyDescent="0.2">
      <c r="B421" s="2342"/>
      <c r="C421" s="2165"/>
      <c r="D421" s="2163"/>
      <c r="E421" s="2164"/>
      <c r="F421" s="2172"/>
      <c r="G421" s="2346"/>
      <c r="H421" s="748"/>
    </row>
    <row r="422" spans="2:8" ht="24" x14ac:dyDescent="0.2">
      <c r="B422" s="2342" t="s">
        <v>38</v>
      </c>
      <c r="C422" s="2165" t="s">
        <v>695</v>
      </c>
      <c r="D422" s="2163" t="s">
        <v>553</v>
      </c>
      <c r="E422" s="2164">
        <v>1</v>
      </c>
      <c r="F422" s="2344">
        <v>0</v>
      </c>
      <c r="G422" s="2345">
        <f>E422*F422</f>
        <v>0</v>
      </c>
      <c r="H422" s="748"/>
    </row>
    <row r="423" spans="2:8" x14ac:dyDescent="0.2">
      <c r="B423" s="2342"/>
      <c r="C423" s="2165"/>
      <c r="D423" s="2163"/>
      <c r="E423" s="2164"/>
      <c r="F423" s="2172"/>
      <c r="G423" s="2346"/>
      <c r="H423" s="748"/>
    </row>
    <row r="424" spans="2:8" x14ac:dyDescent="0.2">
      <c r="B424" s="2342" t="s">
        <v>43</v>
      </c>
      <c r="C424" s="2165" t="s">
        <v>696</v>
      </c>
      <c r="D424" s="2163" t="s">
        <v>644</v>
      </c>
      <c r="E424" s="2164">
        <v>60</v>
      </c>
      <c r="F424" s="2344">
        <v>0</v>
      </c>
      <c r="G424" s="2345">
        <f>E424*F424</f>
        <v>0</v>
      </c>
      <c r="H424" s="748"/>
    </row>
    <row r="425" spans="2:8" x14ac:dyDescent="0.2">
      <c r="B425" s="2342"/>
      <c r="C425" s="2165"/>
      <c r="D425" s="2163"/>
      <c r="E425" s="2164"/>
      <c r="F425" s="2172"/>
      <c r="G425" s="2346"/>
      <c r="H425" s="748"/>
    </row>
    <row r="426" spans="2:8" x14ac:dyDescent="0.2">
      <c r="B426" s="2342" t="s">
        <v>562</v>
      </c>
      <c r="C426" s="2165" t="s">
        <v>697</v>
      </c>
      <c r="D426" s="2163" t="s">
        <v>553</v>
      </c>
      <c r="E426" s="2164">
        <v>1</v>
      </c>
      <c r="F426" s="2344">
        <v>0</v>
      </c>
      <c r="G426" s="2345">
        <f>E426*F426</f>
        <v>0</v>
      </c>
      <c r="H426" s="748"/>
    </row>
    <row r="427" spans="2:8" x14ac:dyDescent="0.2">
      <c r="B427" s="2342"/>
      <c r="C427" s="2165"/>
      <c r="D427" s="2163"/>
      <c r="E427" s="2164"/>
      <c r="F427" s="2172"/>
      <c r="G427" s="2346"/>
      <c r="H427" s="748"/>
    </row>
    <row r="428" spans="2:8" x14ac:dyDescent="0.2">
      <c r="B428" s="2342" t="s">
        <v>564</v>
      </c>
      <c r="C428" s="2165" t="s">
        <v>698</v>
      </c>
      <c r="D428" s="2163" t="s">
        <v>553</v>
      </c>
      <c r="E428" s="2164">
        <v>1</v>
      </c>
      <c r="F428" s="2344">
        <v>0</v>
      </c>
      <c r="G428" s="2345">
        <f>E428*F428</f>
        <v>0</v>
      </c>
      <c r="H428" s="748"/>
    </row>
    <row r="429" spans="2:8" x14ac:dyDescent="0.2">
      <c r="B429" s="2342"/>
      <c r="C429" s="2165"/>
      <c r="D429" s="2163"/>
      <c r="E429" s="2164"/>
      <c r="F429" s="2172"/>
      <c r="G429" s="2346"/>
      <c r="H429" s="748"/>
    </row>
    <row r="430" spans="2:8" ht="24" x14ac:dyDescent="0.2">
      <c r="B430" s="2342" t="s">
        <v>566</v>
      </c>
      <c r="C430" s="2165" t="s">
        <v>699</v>
      </c>
      <c r="D430" s="2163" t="s">
        <v>553</v>
      </c>
      <c r="E430" s="2164">
        <v>1</v>
      </c>
      <c r="F430" s="2344">
        <v>0</v>
      </c>
      <c r="G430" s="2345">
        <f>E430*F430</f>
        <v>0</v>
      </c>
      <c r="H430" s="748"/>
    </row>
    <row r="431" spans="2:8" ht="12.75" customHeight="1" x14ac:dyDescent="0.2">
      <c r="H431" s="748"/>
    </row>
    <row r="432" spans="2:8" x14ac:dyDescent="0.2">
      <c r="B432" s="2373" t="s">
        <v>18</v>
      </c>
      <c r="C432" s="2374" t="s">
        <v>794</v>
      </c>
      <c r="D432" s="2375"/>
      <c r="E432" s="2376"/>
      <c r="F432" s="2377"/>
      <c r="G432" s="2345">
        <f>SUM(G207:G431)</f>
        <v>0</v>
      </c>
    </row>
    <row r="433" spans="8:8" x14ac:dyDescent="0.2">
      <c r="H433" s="748"/>
    </row>
    <row r="434" spans="8:8" x14ac:dyDescent="0.2">
      <c r="H434" s="748"/>
    </row>
    <row r="435" spans="8:8" x14ac:dyDescent="0.2">
      <c r="H435" s="748"/>
    </row>
    <row r="436" spans="8:8" x14ac:dyDescent="0.2">
      <c r="H436" s="748"/>
    </row>
    <row r="437" spans="8:8" x14ac:dyDescent="0.2">
      <c r="H437" s="748"/>
    </row>
    <row r="438" spans="8:8" x14ac:dyDescent="0.2">
      <c r="H438" s="748"/>
    </row>
    <row r="439" spans="8:8" x14ac:dyDescent="0.2">
      <c r="H439" s="748"/>
    </row>
  </sheetData>
  <mergeCells count="17">
    <mergeCell ref="B199:G199"/>
    <mergeCell ref="B200:G200"/>
    <mergeCell ref="B201:G201"/>
    <mergeCell ref="B202:G202"/>
    <mergeCell ref="B203:G203"/>
    <mergeCell ref="B198:G198"/>
    <mergeCell ref="C6:F6"/>
    <mergeCell ref="B37:G37"/>
    <mergeCell ref="B54:G54"/>
    <mergeCell ref="B68:G68"/>
    <mergeCell ref="B85:G85"/>
    <mergeCell ref="B104:G104"/>
    <mergeCell ref="B136:G136"/>
    <mergeCell ref="B137:G137"/>
    <mergeCell ref="B138:G138"/>
    <mergeCell ref="B196:G196"/>
    <mergeCell ref="B197:G197"/>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20" max="16383" man="1"/>
    <brk id="32"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0042-81EE-4A60-BBAF-1962479C2620}">
  <sheetPr codeName="Sheet69">
    <tabColor rgb="FF0070C0"/>
  </sheetPr>
  <dimension ref="A2:N444"/>
  <sheetViews>
    <sheetView showZeros="0" topLeftCell="A183" zoomScaleNormal="85" workbookViewId="0">
      <selection activeCell="B194" sqref="B194:G194"/>
    </sheetView>
  </sheetViews>
  <sheetFormatPr defaultColWidth="10.42578125" defaultRowHeight="12.75" x14ac:dyDescent="0.2"/>
  <cols>
    <col min="1" max="1" width="4.42578125" style="1107" customWidth="1"/>
    <col min="2" max="2" width="7.42578125" style="750" customWidth="1"/>
    <col min="3" max="3" width="42.85546875" style="751" customWidth="1"/>
    <col min="4" max="4" width="10.42578125" style="3158" customWidth="1"/>
    <col min="5" max="5" width="9.28515625" style="753" customWidth="1"/>
    <col min="6" max="6" width="15.5703125" style="754" customWidth="1"/>
    <col min="7" max="7" width="14.28515625" style="755" customWidth="1"/>
    <col min="8" max="8" width="16" style="1108" customWidth="1"/>
    <col min="9" max="9" width="26.28515625" style="1107" customWidth="1"/>
    <col min="10" max="10" width="10.42578125" style="1107" customWidth="1"/>
    <col min="11" max="256" width="10.42578125" style="1107"/>
    <col min="257" max="257" width="4.42578125" style="1107" customWidth="1"/>
    <col min="258" max="258" width="7.42578125" style="1107" customWidth="1"/>
    <col min="259" max="259" width="42.85546875" style="1107" customWidth="1"/>
    <col min="260" max="260" width="10.42578125" style="1107"/>
    <col min="261" max="261" width="9.28515625" style="1107" customWidth="1"/>
    <col min="262" max="262" width="15.5703125" style="1107" customWidth="1"/>
    <col min="263" max="263" width="14.28515625" style="1107" customWidth="1"/>
    <col min="264" max="264" width="16" style="1107" customWidth="1"/>
    <col min="265" max="265" width="26.28515625" style="1107" customWidth="1"/>
    <col min="266" max="512" width="10.42578125" style="1107"/>
    <col min="513" max="513" width="4.42578125" style="1107" customWidth="1"/>
    <col min="514" max="514" width="7.42578125" style="1107" customWidth="1"/>
    <col min="515" max="515" width="42.85546875" style="1107" customWidth="1"/>
    <col min="516" max="516" width="10.42578125" style="1107"/>
    <col min="517" max="517" width="9.28515625" style="1107" customWidth="1"/>
    <col min="518" max="518" width="15.5703125" style="1107" customWidth="1"/>
    <col min="519" max="519" width="14.28515625" style="1107" customWidth="1"/>
    <col min="520" max="520" width="16" style="1107" customWidth="1"/>
    <col min="521" max="521" width="26.28515625" style="1107" customWidth="1"/>
    <col min="522" max="768" width="10.42578125" style="1107"/>
    <col min="769" max="769" width="4.42578125" style="1107" customWidth="1"/>
    <col min="770" max="770" width="7.42578125" style="1107" customWidth="1"/>
    <col min="771" max="771" width="42.85546875" style="1107" customWidth="1"/>
    <col min="772" max="772" width="10.42578125" style="1107"/>
    <col min="773" max="773" width="9.28515625" style="1107" customWidth="1"/>
    <col min="774" max="774" width="15.5703125" style="1107" customWidth="1"/>
    <col min="775" max="775" width="14.28515625" style="1107" customWidth="1"/>
    <col min="776" max="776" width="16" style="1107" customWidth="1"/>
    <col min="777" max="777" width="26.28515625" style="1107" customWidth="1"/>
    <col min="778" max="1024" width="10.42578125" style="1107"/>
    <col min="1025" max="1025" width="4.42578125" style="1107" customWidth="1"/>
    <col min="1026" max="1026" width="7.42578125" style="1107" customWidth="1"/>
    <col min="1027" max="1027" width="42.85546875" style="1107" customWidth="1"/>
    <col min="1028" max="1028" width="10.42578125" style="1107"/>
    <col min="1029" max="1029" width="9.28515625" style="1107" customWidth="1"/>
    <col min="1030" max="1030" width="15.5703125" style="1107" customWidth="1"/>
    <col min="1031" max="1031" width="14.28515625" style="1107" customWidth="1"/>
    <col min="1032" max="1032" width="16" style="1107" customWidth="1"/>
    <col min="1033" max="1033" width="26.28515625" style="1107" customWidth="1"/>
    <col min="1034" max="1280" width="10.42578125" style="1107"/>
    <col min="1281" max="1281" width="4.42578125" style="1107" customWidth="1"/>
    <col min="1282" max="1282" width="7.42578125" style="1107" customWidth="1"/>
    <col min="1283" max="1283" width="42.85546875" style="1107" customWidth="1"/>
    <col min="1284" max="1284" width="10.42578125" style="1107"/>
    <col min="1285" max="1285" width="9.28515625" style="1107" customWidth="1"/>
    <col min="1286" max="1286" width="15.5703125" style="1107" customWidth="1"/>
    <col min="1287" max="1287" width="14.28515625" style="1107" customWidth="1"/>
    <col min="1288" max="1288" width="16" style="1107" customWidth="1"/>
    <col min="1289" max="1289" width="26.28515625" style="1107" customWidth="1"/>
    <col min="1290" max="1536" width="10.42578125" style="1107"/>
    <col min="1537" max="1537" width="4.42578125" style="1107" customWidth="1"/>
    <col min="1538" max="1538" width="7.42578125" style="1107" customWidth="1"/>
    <col min="1539" max="1539" width="42.85546875" style="1107" customWidth="1"/>
    <col min="1540" max="1540" width="10.42578125" style="1107"/>
    <col min="1541" max="1541" width="9.28515625" style="1107" customWidth="1"/>
    <col min="1542" max="1542" width="15.5703125" style="1107" customWidth="1"/>
    <col min="1543" max="1543" width="14.28515625" style="1107" customWidth="1"/>
    <col min="1544" max="1544" width="16" style="1107" customWidth="1"/>
    <col min="1545" max="1545" width="26.28515625" style="1107" customWidth="1"/>
    <col min="1546" max="1792" width="10.42578125" style="1107"/>
    <col min="1793" max="1793" width="4.42578125" style="1107" customWidth="1"/>
    <col min="1794" max="1794" width="7.42578125" style="1107" customWidth="1"/>
    <col min="1795" max="1795" width="42.85546875" style="1107" customWidth="1"/>
    <col min="1796" max="1796" width="10.42578125" style="1107"/>
    <col min="1797" max="1797" width="9.28515625" style="1107" customWidth="1"/>
    <col min="1798" max="1798" width="15.5703125" style="1107" customWidth="1"/>
    <col min="1799" max="1799" width="14.28515625" style="1107" customWidth="1"/>
    <col min="1800" max="1800" width="16" style="1107" customWidth="1"/>
    <col min="1801" max="1801" width="26.28515625" style="1107" customWidth="1"/>
    <col min="1802" max="2048" width="10.42578125" style="1107"/>
    <col min="2049" max="2049" width="4.42578125" style="1107" customWidth="1"/>
    <col min="2050" max="2050" width="7.42578125" style="1107" customWidth="1"/>
    <col min="2051" max="2051" width="42.85546875" style="1107" customWidth="1"/>
    <col min="2052" max="2052" width="10.42578125" style="1107"/>
    <col min="2053" max="2053" width="9.28515625" style="1107" customWidth="1"/>
    <col min="2054" max="2054" width="15.5703125" style="1107" customWidth="1"/>
    <col min="2055" max="2055" width="14.28515625" style="1107" customWidth="1"/>
    <col min="2056" max="2056" width="16" style="1107" customWidth="1"/>
    <col min="2057" max="2057" width="26.28515625" style="1107" customWidth="1"/>
    <col min="2058" max="2304" width="10.42578125" style="1107"/>
    <col min="2305" max="2305" width="4.42578125" style="1107" customWidth="1"/>
    <col min="2306" max="2306" width="7.42578125" style="1107" customWidth="1"/>
    <col min="2307" max="2307" width="42.85546875" style="1107" customWidth="1"/>
    <col min="2308" max="2308" width="10.42578125" style="1107"/>
    <col min="2309" max="2309" width="9.28515625" style="1107" customWidth="1"/>
    <col min="2310" max="2310" width="15.5703125" style="1107" customWidth="1"/>
    <col min="2311" max="2311" width="14.28515625" style="1107" customWidth="1"/>
    <col min="2312" max="2312" width="16" style="1107" customWidth="1"/>
    <col min="2313" max="2313" width="26.28515625" style="1107" customWidth="1"/>
    <col min="2314" max="2560" width="10.42578125" style="1107"/>
    <col min="2561" max="2561" width="4.42578125" style="1107" customWidth="1"/>
    <col min="2562" max="2562" width="7.42578125" style="1107" customWidth="1"/>
    <col min="2563" max="2563" width="42.85546875" style="1107" customWidth="1"/>
    <col min="2564" max="2564" width="10.42578125" style="1107"/>
    <col min="2565" max="2565" width="9.28515625" style="1107" customWidth="1"/>
    <col min="2566" max="2566" width="15.5703125" style="1107" customWidth="1"/>
    <col min="2567" max="2567" width="14.28515625" style="1107" customWidth="1"/>
    <col min="2568" max="2568" width="16" style="1107" customWidth="1"/>
    <col min="2569" max="2569" width="26.28515625" style="1107" customWidth="1"/>
    <col min="2570" max="2816" width="10.42578125" style="1107"/>
    <col min="2817" max="2817" width="4.42578125" style="1107" customWidth="1"/>
    <col min="2818" max="2818" width="7.42578125" style="1107" customWidth="1"/>
    <col min="2819" max="2819" width="42.85546875" style="1107" customWidth="1"/>
    <col min="2820" max="2820" width="10.42578125" style="1107"/>
    <col min="2821" max="2821" width="9.28515625" style="1107" customWidth="1"/>
    <col min="2822" max="2822" width="15.5703125" style="1107" customWidth="1"/>
    <col min="2823" max="2823" width="14.28515625" style="1107" customWidth="1"/>
    <col min="2824" max="2824" width="16" style="1107" customWidth="1"/>
    <col min="2825" max="2825" width="26.28515625" style="1107" customWidth="1"/>
    <col min="2826" max="3072" width="10.42578125" style="1107"/>
    <col min="3073" max="3073" width="4.42578125" style="1107" customWidth="1"/>
    <col min="3074" max="3074" width="7.42578125" style="1107" customWidth="1"/>
    <col min="3075" max="3075" width="42.85546875" style="1107" customWidth="1"/>
    <col min="3076" max="3076" width="10.42578125" style="1107"/>
    <col min="3077" max="3077" width="9.28515625" style="1107" customWidth="1"/>
    <col min="3078" max="3078" width="15.5703125" style="1107" customWidth="1"/>
    <col min="3079" max="3079" width="14.28515625" style="1107" customWidth="1"/>
    <col min="3080" max="3080" width="16" style="1107" customWidth="1"/>
    <col min="3081" max="3081" width="26.28515625" style="1107" customWidth="1"/>
    <col min="3082" max="3328" width="10.42578125" style="1107"/>
    <col min="3329" max="3329" width="4.42578125" style="1107" customWidth="1"/>
    <col min="3330" max="3330" width="7.42578125" style="1107" customWidth="1"/>
    <col min="3331" max="3331" width="42.85546875" style="1107" customWidth="1"/>
    <col min="3332" max="3332" width="10.42578125" style="1107"/>
    <col min="3333" max="3333" width="9.28515625" style="1107" customWidth="1"/>
    <col min="3334" max="3334" width="15.5703125" style="1107" customWidth="1"/>
    <col min="3335" max="3335" width="14.28515625" style="1107" customWidth="1"/>
    <col min="3336" max="3336" width="16" style="1107" customWidth="1"/>
    <col min="3337" max="3337" width="26.28515625" style="1107" customWidth="1"/>
    <col min="3338" max="3584" width="10.42578125" style="1107"/>
    <col min="3585" max="3585" width="4.42578125" style="1107" customWidth="1"/>
    <col min="3586" max="3586" width="7.42578125" style="1107" customWidth="1"/>
    <col min="3587" max="3587" width="42.85546875" style="1107" customWidth="1"/>
    <col min="3588" max="3588" width="10.42578125" style="1107"/>
    <col min="3589" max="3589" width="9.28515625" style="1107" customWidth="1"/>
    <col min="3590" max="3590" width="15.5703125" style="1107" customWidth="1"/>
    <col min="3591" max="3591" width="14.28515625" style="1107" customWidth="1"/>
    <col min="3592" max="3592" width="16" style="1107" customWidth="1"/>
    <col min="3593" max="3593" width="26.28515625" style="1107" customWidth="1"/>
    <col min="3594" max="3840" width="10.42578125" style="1107"/>
    <col min="3841" max="3841" width="4.42578125" style="1107" customWidth="1"/>
    <col min="3842" max="3842" width="7.42578125" style="1107" customWidth="1"/>
    <col min="3843" max="3843" width="42.85546875" style="1107" customWidth="1"/>
    <col min="3844" max="3844" width="10.42578125" style="1107"/>
    <col min="3845" max="3845" width="9.28515625" style="1107" customWidth="1"/>
    <col min="3846" max="3846" width="15.5703125" style="1107" customWidth="1"/>
    <col min="3847" max="3847" width="14.28515625" style="1107" customWidth="1"/>
    <col min="3848" max="3848" width="16" style="1107" customWidth="1"/>
    <col min="3849" max="3849" width="26.28515625" style="1107" customWidth="1"/>
    <col min="3850" max="4096" width="10.42578125" style="1107"/>
    <col min="4097" max="4097" width="4.42578125" style="1107" customWidth="1"/>
    <col min="4098" max="4098" width="7.42578125" style="1107" customWidth="1"/>
    <col min="4099" max="4099" width="42.85546875" style="1107" customWidth="1"/>
    <col min="4100" max="4100" width="10.42578125" style="1107"/>
    <col min="4101" max="4101" width="9.28515625" style="1107" customWidth="1"/>
    <col min="4102" max="4102" width="15.5703125" style="1107" customWidth="1"/>
    <col min="4103" max="4103" width="14.28515625" style="1107" customWidth="1"/>
    <col min="4104" max="4104" width="16" style="1107" customWidth="1"/>
    <col min="4105" max="4105" width="26.28515625" style="1107" customWidth="1"/>
    <col min="4106" max="4352" width="10.42578125" style="1107"/>
    <col min="4353" max="4353" width="4.42578125" style="1107" customWidth="1"/>
    <col min="4354" max="4354" width="7.42578125" style="1107" customWidth="1"/>
    <col min="4355" max="4355" width="42.85546875" style="1107" customWidth="1"/>
    <col min="4356" max="4356" width="10.42578125" style="1107"/>
    <col min="4357" max="4357" width="9.28515625" style="1107" customWidth="1"/>
    <col min="4358" max="4358" width="15.5703125" style="1107" customWidth="1"/>
    <col min="4359" max="4359" width="14.28515625" style="1107" customWidth="1"/>
    <col min="4360" max="4360" width="16" style="1107" customWidth="1"/>
    <col min="4361" max="4361" width="26.28515625" style="1107" customWidth="1"/>
    <col min="4362" max="4608" width="10.42578125" style="1107"/>
    <col min="4609" max="4609" width="4.42578125" style="1107" customWidth="1"/>
    <col min="4610" max="4610" width="7.42578125" style="1107" customWidth="1"/>
    <col min="4611" max="4611" width="42.85546875" style="1107" customWidth="1"/>
    <col min="4612" max="4612" width="10.42578125" style="1107"/>
    <col min="4613" max="4613" width="9.28515625" style="1107" customWidth="1"/>
    <col min="4614" max="4614" width="15.5703125" style="1107" customWidth="1"/>
    <col min="4615" max="4615" width="14.28515625" style="1107" customWidth="1"/>
    <col min="4616" max="4616" width="16" style="1107" customWidth="1"/>
    <col min="4617" max="4617" width="26.28515625" style="1107" customWidth="1"/>
    <col min="4618" max="4864" width="10.42578125" style="1107"/>
    <col min="4865" max="4865" width="4.42578125" style="1107" customWidth="1"/>
    <col min="4866" max="4866" width="7.42578125" style="1107" customWidth="1"/>
    <col min="4867" max="4867" width="42.85546875" style="1107" customWidth="1"/>
    <col min="4868" max="4868" width="10.42578125" style="1107"/>
    <col min="4869" max="4869" width="9.28515625" style="1107" customWidth="1"/>
    <col min="4870" max="4870" width="15.5703125" style="1107" customWidth="1"/>
    <col min="4871" max="4871" width="14.28515625" style="1107" customWidth="1"/>
    <col min="4872" max="4872" width="16" style="1107" customWidth="1"/>
    <col min="4873" max="4873" width="26.28515625" style="1107" customWidth="1"/>
    <col min="4874" max="5120" width="10.42578125" style="1107"/>
    <col min="5121" max="5121" width="4.42578125" style="1107" customWidth="1"/>
    <col min="5122" max="5122" width="7.42578125" style="1107" customWidth="1"/>
    <col min="5123" max="5123" width="42.85546875" style="1107" customWidth="1"/>
    <col min="5124" max="5124" width="10.42578125" style="1107"/>
    <col min="5125" max="5125" width="9.28515625" style="1107" customWidth="1"/>
    <col min="5126" max="5126" width="15.5703125" style="1107" customWidth="1"/>
    <col min="5127" max="5127" width="14.28515625" style="1107" customWidth="1"/>
    <col min="5128" max="5128" width="16" style="1107" customWidth="1"/>
    <col min="5129" max="5129" width="26.28515625" style="1107" customWidth="1"/>
    <col min="5130" max="5376" width="10.42578125" style="1107"/>
    <col min="5377" max="5377" width="4.42578125" style="1107" customWidth="1"/>
    <col min="5378" max="5378" width="7.42578125" style="1107" customWidth="1"/>
    <col min="5379" max="5379" width="42.85546875" style="1107" customWidth="1"/>
    <col min="5380" max="5380" width="10.42578125" style="1107"/>
    <col min="5381" max="5381" width="9.28515625" style="1107" customWidth="1"/>
    <col min="5382" max="5382" width="15.5703125" style="1107" customWidth="1"/>
    <col min="5383" max="5383" width="14.28515625" style="1107" customWidth="1"/>
    <col min="5384" max="5384" width="16" style="1107" customWidth="1"/>
    <col min="5385" max="5385" width="26.28515625" style="1107" customWidth="1"/>
    <col min="5386" max="5632" width="10.42578125" style="1107"/>
    <col min="5633" max="5633" width="4.42578125" style="1107" customWidth="1"/>
    <col min="5634" max="5634" width="7.42578125" style="1107" customWidth="1"/>
    <col min="5635" max="5635" width="42.85546875" style="1107" customWidth="1"/>
    <col min="5636" max="5636" width="10.42578125" style="1107"/>
    <col min="5637" max="5637" width="9.28515625" style="1107" customWidth="1"/>
    <col min="5638" max="5638" width="15.5703125" style="1107" customWidth="1"/>
    <col min="5639" max="5639" width="14.28515625" style="1107" customWidth="1"/>
    <col min="5640" max="5640" width="16" style="1107" customWidth="1"/>
    <col min="5641" max="5641" width="26.28515625" style="1107" customWidth="1"/>
    <col min="5642" max="5888" width="10.42578125" style="1107"/>
    <col min="5889" max="5889" width="4.42578125" style="1107" customWidth="1"/>
    <col min="5890" max="5890" width="7.42578125" style="1107" customWidth="1"/>
    <col min="5891" max="5891" width="42.85546875" style="1107" customWidth="1"/>
    <col min="5892" max="5892" width="10.42578125" style="1107"/>
    <col min="5893" max="5893" width="9.28515625" style="1107" customWidth="1"/>
    <col min="5894" max="5894" width="15.5703125" style="1107" customWidth="1"/>
    <col min="5895" max="5895" width="14.28515625" style="1107" customWidth="1"/>
    <col min="5896" max="5896" width="16" style="1107" customWidth="1"/>
    <col min="5897" max="5897" width="26.28515625" style="1107" customWidth="1"/>
    <col min="5898" max="6144" width="10.42578125" style="1107"/>
    <col min="6145" max="6145" width="4.42578125" style="1107" customWidth="1"/>
    <col min="6146" max="6146" width="7.42578125" style="1107" customWidth="1"/>
    <col min="6147" max="6147" width="42.85546875" style="1107" customWidth="1"/>
    <col min="6148" max="6148" width="10.42578125" style="1107"/>
    <col min="6149" max="6149" width="9.28515625" style="1107" customWidth="1"/>
    <col min="6150" max="6150" width="15.5703125" style="1107" customWidth="1"/>
    <col min="6151" max="6151" width="14.28515625" style="1107" customWidth="1"/>
    <col min="6152" max="6152" width="16" style="1107" customWidth="1"/>
    <col min="6153" max="6153" width="26.28515625" style="1107" customWidth="1"/>
    <col min="6154" max="6400" width="10.42578125" style="1107"/>
    <col min="6401" max="6401" width="4.42578125" style="1107" customWidth="1"/>
    <col min="6402" max="6402" width="7.42578125" style="1107" customWidth="1"/>
    <col min="6403" max="6403" width="42.85546875" style="1107" customWidth="1"/>
    <col min="6404" max="6404" width="10.42578125" style="1107"/>
    <col min="6405" max="6405" width="9.28515625" style="1107" customWidth="1"/>
    <col min="6406" max="6406" width="15.5703125" style="1107" customWidth="1"/>
    <col min="6407" max="6407" width="14.28515625" style="1107" customWidth="1"/>
    <col min="6408" max="6408" width="16" style="1107" customWidth="1"/>
    <col min="6409" max="6409" width="26.28515625" style="1107" customWidth="1"/>
    <col min="6410" max="6656" width="10.42578125" style="1107"/>
    <col min="6657" max="6657" width="4.42578125" style="1107" customWidth="1"/>
    <col min="6658" max="6658" width="7.42578125" style="1107" customWidth="1"/>
    <col min="6659" max="6659" width="42.85546875" style="1107" customWidth="1"/>
    <col min="6660" max="6660" width="10.42578125" style="1107"/>
    <col min="6661" max="6661" width="9.28515625" style="1107" customWidth="1"/>
    <col min="6662" max="6662" width="15.5703125" style="1107" customWidth="1"/>
    <col min="6663" max="6663" width="14.28515625" style="1107" customWidth="1"/>
    <col min="6664" max="6664" width="16" style="1107" customWidth="1"/>
    <col min="6665" max="6665" width="26.28515625" style="1107" customWidth="1"/>
    <col min="6666" max="6912" width="10.42578125" style="1107"/>
    <col min="6913" max="6913" width="4.42578125" style="1107" customWidth="1"/>
    <col min="6914" max="6914" width="7.42578125" style="1107" customWidth="1"/>
    <col min="6915" max="6915" width="42.85546875" style="1107" customWidth="1"/>
    <col min="6916" max="6916" width="10.42578125" style="1107"/>
    <col min="6917" max="6917" width="9.28515625" style="1107" customWidth="1"/>
    <col min="6918" max="6918" width="15.5703125" style="1107" customWidth="1"/>
    <col min="6919" max="6919" width="14.28515625" style="1107" customWidth="1"/>
    <col min="6920" max="6920" width="16" style="1107" customWidth="1"/>
    <col min="6921" max="6921" width="26.28515625" style="1107" customWidth="1"/>
    <col min="6922" max="7168" width="10.42578125" style="1107"/>
    <col min="7169" max="7169" width="4.42578125" style="1107" customWidth="1"/>
    <col min="7170" max="7170" width="7.42578125" style="1107" customWidth="1"/>
    <col min="7171" max="7171" width="42.85546875" style="1107" customWidth="1"/>
    <col min="7172" max="7172" width="10.42578125" style="1107"/>
    <col min="7173" max="7173" width="9.28515625" style="1107" customWidth="1"/>
    <col min="7174" max="7174" width="15.5703125" style="1107" customWidth="1"/>
    <col min="7175" max="7175" width="14.28515625" style="1107" customWidth="1"/>
    <col min="7176" max="7176" width="16" style="1107" customWidth="1"/>
    <col min="7177" max="7177" width="26.28515625" style="1107" customWidth="1"/>
    <col min="7178" max="7424" width="10.42578125" style="1107"/>
    <col min="7425" max="7425" width="4.42578125" style="1107" customWidth="1"/>
    <col min="7426" max="7426" width="7.42578125" style="1107" customWidth="1"/>
    <col min="7427" max="7427" width="42.85546875" style="1107" customWidth="1"/>
    <col min="7428" max="7428" width="10.42578125" style="1107"/>
    <col min="7429" max="7429" width="9.28515625" style="1107" customWidth="1"/>
    <col min="7430" max="7430" width="15.5703125" style="1107" customWidth="1"/>
    <col min="7431" max="7431" width="14.28515625" style="1107" customWidth="1"/>
    <col min="7432" max="7432" width="16" style="1107" customWidth="1"/>
    <col min="7433" max="7433" width="26.28515625" style="1107" customWidth="1"/>
    <col min="7434" max="7680" width="10.42578125" style="1107"/>
    <col min="7681" max="7681" width="4.42578125" style="1107" customWidth="1"/>
    <col min="7682" max="7682" width="7.42578125" style="1107" customWidth="1"/>
    <col min="7683" max="7683" width="42.85546875" style="1107" customWidth="1"/>
    <col min="7684" max="7684" width="10.42578125" style="1107"/>
    <col min="7685" max="7685" width="9.28515625" style="1107" customWidth="1"/>
    <col min="7686" max="7686" width="15.5703125" style="1107" customWidth="1"/>
    <col min="7687" max="7687" width="14.28515625" style="1107" customWidth="1"/>
    <col min="7688" max="7688" width="16" style="1107" customWidth="1"/>
    <col min="7689" max="7689" width="26.28515625" style="1107" customWidth="1"/>
    <col min="7690" max="7936" width="10.42578125" style="1107"/>
    <col min="7937" max="7937" width="4.42578125" style="1107" customWidth="1"/>
    <col min="7938" max="7938" width="7.42578125" style="1107" customWidth="1"/>
    <col min="7939" max="7939" width="42.85546875" style="1107" customWidth="1"/>
    <col min="7940" max="7940" width="10.42578125" style="1107"/>
    <col min="7941" max="7941" width="9.28515625" style="1107" customWidth="1"/>
    <col min="7942" max="7942" width="15.5703125" style="1107" customWidth="1"/>
    <col min="7943" max="7943" width="14.28515625" style="1107" customWidth="1"/>
    <col min="7944" max="7944" width="16" style="1107" customWidth="1"/>
    <col min="7945" max="7945" width="26.28515625" style="1107" customWidth="1"/>
    <col min="7946" max="8192" width="10.42578125" style="1107"/>
    <col min="8193" max="8193" width="4.42578125" style="1107" customWidth="1"/>
    <col min="8194" max="8194" width="7.42578125" style="1107" customWidth="1"/>
    <col min="8195" max="8195" width="42.85546875" style="1107" customWidth="1"/>
    <col min="8196" max="8196" width="10.42578125" style="1107"/>
    <col min="8197" max="8197" width="9.28515625" style="1107" customWidth="1"/>
    <col min="8198" max="8198" width="15.5703125" style="1107" customWidth="1"/>
    <col min="8199" max="8199" width="14.28515625" style="1107" customWidth="1"/>
    <col min="8200" max="8200" width="16" style="1107" customWidth="1"/>
    <col min="8201" max="8201" width="26.28515625" style="1107" customWidth="1"/>
    <col min="8202" max="8448" width="10.42578125" style="1107"/>
    <col min="8449" max="8449" width="4.42578125" style="1107" customWidth="1"/>
    <col min="8450" max="8450" width="7.42578125" style="1107" customWidth="1"/>
    <col min="8451" max="8451" width="42.85546875" style="1107" customWidth="1"/>
    <col min="8452" max="8452" width="10.42578125" style="1107"/>
    <col min="8453" max="8453" width="9.28515625" style="1107" customWidth="1"/>
    <col min="8454" max="8454" width="15.5703125" style="1107" customWidth="1"/>
    <col min="8455" max="8455" width="14.28515625" style="1107" customWidth="1"/>
    <col min="8456" max="8456" width="16" style="1107" customWidth="1"/>
    <col min="8457" max="8457" width="26.28515625" style="1107" customWidth="1"/>
    <col min="8458" max="8704" width="10.42578125" style="1107"/>
    <col min="8705" max="8705" width="4.42578125" style="1107" customWidth="1"/>
    <col min="8706" max="8706" width="7.42578125" style="1107" customWidth="1"/>
    <col min="8707" max="8707" width="42.85546875" style="1107" customWidth="1"/>
    <col min="8708" max="8708" width="10.42578125" style="1107"/>
    <col min="8709" max="8709" width="9.28515625" style="1107" customWidth="1"/>
    <col min="8710" max="8710" width="15.5703125" style="1107" customWidth="1"/>
    <col min="8711" max="8711" width="14.28515625" style="1107" customWidth="1"/>
    <col min="8712" max="8712" width="16" style="1107" customWidth="1"/>
    <col min="8713" max="8713" width="26.28515625" style="1107" customWidth="1"/>
    <col min="8714" max="8960" width="10.42578125" style="1107"/>
    <col min="8961" max="8961" width="4.42578125" style="1107" customWidth="1"/>
    <col min="8962" max="8962" width="7.42578125" style="1107" customWidth="1"/>
    <col min="8963" max="8963" width="42.85546875" style="1107" customWidth="1"/>
    <col min="8964" max="8964" width="10.42578125" style="1107"/>
    <col min="8965" max="8965" width="9.28515625" style="1107" customWidth="1"/>
    <col min="8966" max="8966" width="15.5703125" style="1107" customWidth="1"/>
    <col min="8967" max="8967" width="14.28515625" style="1107" customWidth="1"/>
    <col min="8968" max="8968" width="16" style="1107" customWidth="1"/>
    <col min="8969" max="8969" width="26.28515625" style="1107" customWidth="1"/>
    <col min="8970" max="9216" width="10.42578125" style="1107"/>
    <col min="9217" max="9217" width="4.42578125" style="1107" customWidth="1"/>
    <col min="9218" max="9218" width="7.42578125" style="1107" customWidth="1"/>
    <col min="9219" max="9219" width="42.85546875" style="1107" customWidth="1"/>
    <col min="9220" max="9220" width="10.42578125" style="1107"/>
    <col min="9221" max="9221" width="9.28515625" style="1107" customWidth="1"/>
    <col min="9222" max="9222" width="15.5703125" style="1107" customWidth="1"/>
    <col min="9223" max="9223" width="14.28515625" style="1107" customWidth="1"/>
    <col min="9224" max="9224" width="16" style="1107" customWidth="1"/>
    <col min="9225" max="9225" width="26.28515625" style="1107" customWidth="1"/>
    <col min="9226" max="9472" width="10.42578125" style="1107"/>
    <col min="9473" max="9473" width="4.42578125" style="1107" customWidth="1"/>
    <col min="9474" max="9474" width="7.42578125" style="1107" customWidth="1"/>
    <col min="9475" max="9475" width="42.85546875" style="1107" customWidth="1"/>
    <col min="9476" max="9476" width="10.42578125" style="1107"/>
    <col min="9477" max="9477" width="9.28515625" style="1107" customWidth="1"/>
    <col min="9478" max="9478" width="15.5703125" style="1107" customWidth="1"/>
    <col min="9479" max="9479" width="14.28515625" style="1107" customWidth="1"/>
    <col min="9480" max="9480" width="16" style="1107" customWidth="1"/>
    <col min="9481" max="9481" width="26.28515625" style="1107" customWidth="1"/>
    <col min="9482" max="9728" width="10.42578125" style="1107"/>
    <col min="9729" max="9729" width="4.42578125" style="1107" customWidth="1"/>
    <col min="9730" max="9730" width="7.42578125" style="1107" customWidth="1"/>
    <col min="9731" max="9731" width="42.85546875" style="1107" customWidth="1"/>
    <col min="9732" max="9732" width="10.42578125" style="1107"/>
    <col min="9733" max="9733" width="9.28515625" style="1107" customWidth="1"/>
    <col min="9734" max="9734" width="15.5703125" style="1107" customWidth="1"/>
    <col min="9735" max="9735" width="14.28515625" style="1107" customWidth="1"/>
    <col min="9736" max="9736" width="16" style="1107" customWidth="1"/>
    <col min="9737" max="9737" width="26.28515625" style="1107" customWidth="1"/>
    <col min="9738" max="9984" width="10.42578125" style="1107"/>
    <col min="9985" max="9985" width="4.42578125" style="1107" customWidth="1"/>
    <col min="9986" max="9986" width="7.42578125" style="1107" customWidth="1"/>
    <col min="9987" max="9987" width="42.85546875" style="1107" customWidth="1"/>
    <col min="9988" max="9988" width="10.42578125" style="1107"/>
    <col min="9989" max="9989" width="9.28515625" style="1107" customWidth="1"/>
    <col min="9990" max="9990" width="15.5703125" style="1107" customWidth="1"/>
    <col min="9991" max="9991" width="14.28515625" style="1107" customWidth="1"/>
    <col min="9992" max="9992" width="16" style="1107" customWidth="1"/>
    <col min="9993" max="9993" width="26.28515625" style="1107" customWidth="1"/>
    <col min="9994" max="10240" width="10.42578125" style="1107"/>
    <col min="10241" max="10241" width="4.42578125" style="1107" customWidth="1"/>
    <col min="10242" max="10242" width="7.42578125" style="1107" customWidth="1"/>
    <col min="10243" max="10243" width="42.85546875" style="1107" customWidth="1"/>
    <col min="10244" max="10244" width="10.42578125" style="1107"/>
    <col min="10245" max="10245" width="9.28515625" style="1107" customWidth="1"/>
    <col min="10246" max="10246" width="15.5703125" style="1107" customWidth="1"/>
    <col min="10247" max="10247" width="14.28515625" style="1107" customWidth="1"/>
    <col min="10248" max="10248" width="16" style="1107" customWidth="1"/>
    <col min="10249" max="10249" width="26.28515625" style="1107" customWidth="1"/>
    <col min="10250" max="10496" width="10.42578125" style="1107"/>
    <col min="10497" max="10497" width="4.42578125" style="1107" customWidth="1"/>
    <col min="10498" max="10498" width="7.42578125" style="1107" customWidth="1"/>
    <col min="10499" max="10499" width="42.85546875" style="1107" customWidth="1"/>
    <col min="10500" max="10500" width="10.42578125" style="1107"/>
    <col min="10501" max="10501" width="9.28515625" style="1107" customWidth="1"/>
    <col min="10502" max="10502" width="15.5703125" style="1107" customWidth="1"/>
    <col min="10503" max="10503" width="14.28515625" style="1107" customWidth="1"/>
    <col min="10504" max="10504" width="16" style="1107" customWidth="1"/>
    <col min="10505" max="10505" width="26.28515625" style="1107" customWidth="1"/>
    <col min="10506" max="10752" width="10.42578125" style="1107"/>
    <col min="10753" max="10753" width="4.42578125" style="1107" customWidth="1"/>
    <col min="10754" max="10754" width="7.42578125" style="1107" customWidth="1"/>
    <col min="10755" max="10755" width="42.85546875" style="1107" customWidth="1"/>
    <col min="10756" max="10756" width="10.42578125" style="1107"/>
    <col min="10757" max="10757" width="9.28515625" style="1107" customWidth="1"/>
    <col min="10758" max="10758" width="15.5703125" style="1107" customWidth="1"/>
    <col min="10759" max="10759" width="14.28515625" style="1107" customWidth="1"/>
    <col min="10760" max="10760" width="16" style="1107" customWidth="1"/>
    <col min="10761" max="10761" width="26.28515625" style="1107" customWidth="1"/>
    <col min="10762" max="11008" width="10.42578125" style="1107"/>
    <col min="11009" max="11009" width="4.42578125" style="1107" customWidth="1"/>
    <col min="11010" max="11010" width="7.42578125" style="1107" customWidth="1"/>
    <col min="11011" max="11011" width="42.85546875" style="1107" customWidth="1"/>
    <col min="11012" max="11012" width="10.42578125" style="1107"/>
    <col min="11013" max="11013" width="9.28515625" style="1107" customWidth="1"/>
    <col min="11014" max="11014" width="15.5703125" style="1107" customWidth="1"/>
    <col min="11015" max="11015" width="14.28515625" style="1107" customWidth="1"/>
    <col min="11016" max="11016" width="16" style="1107" customWidth="1"/>
    <col min="11017" max="11017" width="26.28515625" style="1107" customWidth="1"/>
    <col min="11018" max="11264" width="10.42578125" style="1107"/>
    <col min="11265" max="11265" width="4.42578125" style="1107" customWidth="1"/>
    <col min="11266" max="11266" width="7.42578125" style="1107" customWidth="1"/>
    <col min="11267" max="11267" width="42.85546875" style="1107" customWidth="1"/>
    <col min="11268" max="11268" width="10.42578125" style="1107"/>
    <col min="11269" max="11269" width="9.28515625" style="1107" customWidth="1"/>
    <col min="11270" max="11270" width="15.5703125" style="1107" customWidth="1"/>
    <col min="11271" max="11271" width="14.28515625" style="1107" customWidth="1"/>
    <col min="11272" max="11272" width="16" style="1107" customWidth="1"/>
    <col min="11273" max="11273" width="26.28515625" style="1107" customWidth="1"/>
    <col min="11274" max="11520" width="10.42578125" style="1107"/>
    <col min="11521" max="11521" width="4.42578125" style="1107" customWidth="1"/>
    <col min="11522" max="11522" width="7.42578125" style="1107" customWidth="1"/>
    <col min="11523" max="11523" width="42.85546875" style="1107" customWidth="1"/>
    <col min="11524" max="11524" width="10.42578125" style="1107"/>
    <col min="11525" max="11525" width="9.28515625" style="1107" customWidth="1"/>
    <col min="11526" max="11526" width="15.5703125" style="1107" customWidth="1"/>
    <col min="11527" max="11527" width="14.28515625" style="1107" customWidth="1"/>
    <col min="11528" max="11528" width="16" style="1107" customWidth="1"/>
    <col min="11529" max="11529" width="26.28515625" style="1107" customWidth="1"/>
    <col min="11530" max="11776" width="10.42578125" style="1107"/>
    <col min="11777" max="11777" width="4.42578125" style="1107" customWidth="1"/>
    <col min="11778" max="11778" width="7.42578125" style="1107" customWidth="1"/>
    <col min="11779" max="11779" width="42.85546875" style="1107" customWidth="1"/>
    <col min="11780" max="11780" width="10.42578125" style="1107"/>
    <col min="11781" max="11781" width="9.28515625" style="1107" customWidth="1"/>
    <col min="11782" max="11782" width="15.5703125" style="1107" customWidth="1"/>
    <col min="11783" max="11783" width="14.28515625" style="1107" customWidth="1"/>
    <col min="11784" max="11784" width="16" style="1107" customWidth="1"/>
    <col min="11785" max="11785" width="26.28515625" style="1107" customWidth="1"/>
    <col min="11786" max="12032" width="10.42578125" style="1107"/>
    <col min="12033" max="12033" width="4.42578125" style="1107" customWidth="1"/>
    <col min="12034" max="12034" width="7.42578125" style="1107" customWidth="1"/>
    <col min="12035" max="12035" width="42.85546875" style="1107" customWidth="1"/>
    <col min="12036" max="12036" width="10.42578125" style="1107"/>
    <col min="12037" max="12037" width="9.28515625" style="1107" customWidth="1"/>
    <col min="12038" max="12038" width="15.5703125" style="1107" customWidth="1"/>
    <col min="12039" max="12039" width="14.28515625" style="1107" customWidth="1"/>
    <col min="12040" max="12040" width="16" style="1107" customWidth="1"/>
    <col min="12041" max="12041" width="26.28515625" style="1107" customWidth="1"/>
    <col min="12042" max="12288" width="10.42578125" style="1107"/>
    <col min="12289" max="12289" width="4.42578125" style="1107" customWidth="1"/>
    <col min="12290" max="12290" width="7.42578125" style="1107" customWidth="1"/>
    <col min="12291" max="12291" width="42.85546875" style="1107" customWidth="1"/>
    <col min="12292" max="12292" width="10.42578125" style="1107"/>
    <col min="12293" max="12293" width="9.28515625" style="1107" customWidth="1"/>
    <col min="12294" max="12294" width="15.5703125" style="1107" customWidth="1"/>
    <col min="12295" max="12295" width="14.28515625" style="1107" customWidth="1"/>
    <col min="12296" max="12296" width="16" style="1107" customWidth="1"/>
    <col min="12297" max="12297" width="26.28515625" style="1107" customWidth="1"/>
    <col min="12298" max="12544" width="10.42578125" style="1107"/>
    <col min="12545" max="12545" width="4.42578125" style="1107" customWidth="1"/>
    <col min="12546" max="12546" width="7.42578125" style="1107" customWidth="1"/>
    <col min="12547" max="12547" width="42.85546875" style="1107" customWidth="1"/>
    <col min="12548" max="12548" width="10.42578125" style="1107"/>
    <col min="12549" max="12549" width="9.28515625" style="1107" customWidth="1"/>
    <col min="12550" max="12550" width="15.5703125" style="1107" customWidth="1"/>
    <col min="12551" max="12551" width="14.28515625" style="1107" customWidth="1"/>
    <col min="12552" max="12552" width="16" style="1107" customWidth="1"/>
    <col min="12553" max="12553" width="26.28515625" style="1107" customWidth="1"/>
    <col min="12554" max="12800" width="10.42578125" style="1107"/>
    <col min="12801" max="12801" width="4.42578125" style="1107" customWidth="1"/>
    <col min="12802" max="12802" width="7.42578125" style="1107" customWidth="1"/>
    <col min="12803" max="12803" width="42.85546875" style="1107" customWidth="1"/>
    <col min="12804" max="12804" width="10.42578125" style="1107"/>
    <col min="12805" max="12805" width="9.28515625" style="1107" customWidth="1"/>
    <col min="12806" max="12806" width="15.5703125" style="1107" customWidth="1"/>
    <col min="12807" max="12807" width="14.28515625" style="1107" customWidth="1"/>
    <col min="12808" max="12808" width="16" style="1107" customWidth="1"/>
    <col min="12809" max="12809" width="26.28515625" style="1107" customWidth="1"/>
    <col min="12810" max="13056" width="10.42578125" style="1107"/>
    <col min="13057" max="13057" width="4.42578125" style="1107" customWidth="1"/>
    <col min="13058" max="13058" width="7.42578125" style="1107" customWidth="1"/>
    <col min="13059" max="13059" width="42.85546875" style="1107" customWidth="1"/>
    <col min="13060" max="13060" width="10.42578125" style="1107"/>
    <col min="13061" max="13061" width="9.28515625" style="1107" customWidth="1"/>
    <col min="13062" max="13062" width="15.5703125" style="1107" customWidth="1"/>
    <col min="13063" max="13063" width="14.28515625" style="1107" customWidth="1"/>
    <col min="13064" max="13064" width="16" style="1107" customWidth="1"/>
    <col min="13065" max="13065" width="26.28515625" style="1107" customWidth="1"/>
    <col min="13066" max="13312" width="10.42578125" style="1107"/>
    <col min="13313" max="13313" width="4.42578125" style="1107" customWidth="1"/>
    <col min="13314" max="13314" width="7.42578125" style="1107" customWidth="1"/>
    <col min="13315" max="13315" width="42.85546875" style="1107" customWidth="1"/>
    <col min="13316" max="13316" width="10.42578125" style="1107"/>
    <col min="13317" max="13317" width="9.28515625" style="1107" customWidth="1"/>
    <col min="13318" max="13318" width="15.5703125" style="1107" customWidth="1"/>
    <col min="13319" max="13319" width="14.28515625" style="1107" customWidth="1"/>
    <col min="13320" max="13320" width="16" style="1107" customWidth="1"/>
    <col min="13321" max="13321" width="26.28515625" style="1107" customWidth="1"/>
    <col min="13322" max="13568" width="10.42578125" style="1107"/>
    <col min="13569" max="13569" width="4.42578125" style="1107" customWidth="1"/>
    <col min="13570" max="13570" width="7.42578125" style="1107" customWidth="1"/>
    <col min="13571" max="13571" width="42.85546875" style="1107" customWidth="1"/>
    <col min="13572" max="13572" width="10.42578125" style="1107"/>
    <col min="13573" max="13573" width="9.28515625" style="1107" customWidth="1"/>
    <col min="13574" max="13574" width="15.5703125" style="1107" customWidth="1"/>
    <col min="13575" max="13575" width="14.28515625" style="1107" customWidth="1"/>
    <col min="13576" max="13576" width="16" style="1107" customWidth="1"/>
    <col min="13577" max="13577" width="26.28515625" style="1107" customWidth="1"/>
    <col min="13578" max="13824" width="10.42578125" style="1107"/>
    <col min="13825" max="13825" width="4.42578125" style="1107" customWidth="1"/>
    <col min="13826" max="13826" width="7.42578125" style="1107" customWidth="1"/>
    <col min="13827" max="13827" width="42.85546875" style="1107" customWidth="1"/>
    <col min="13828" max="13828" width="10.42578125" style="1107"/>
    <col min="13829" max="13829" width="9.28515625" style="1107" customWidth="1"/>
    <col min="13830" max="13830" width="15.5703125" style="1107" customWidth="1"/>
    <col min="13831" max="13831" width="14.28515625" style="1107" customWidth="1"/>
    <col min="13832" max="13832" width="16" style="1107" customWidth="1"/>
    <col min="13833" max="13833" width="26.28515625" style="1107" customWidth="1"/>
    <col min="13834" max="14080" width="10.42578125" style="1107"/>
    <col min="14081" max="14081" width="4.42578125" style="1107" customWidth="1"/>
    <col min="14082" max="14082" width="7.42578125" style="1107" customWidth="1"/>
    <col min="14083" max="14083" width="42.85546875" style="1107" customWidth="1"/>
    <col min="14084" max="14084" width="10.42578125" style="1107"/>
    <col min="14085" max="14085" width="9.28515625" style="1107" customWidth="1"/>
    <col min="14086" max="14086" width="15.5703125" style="1107" customWidth="1"/>
    <col min="14087" max="14087" width="14.28515625" style="1107" customWidth="1"/>
    <col min="14088" max="14088" width="16" style="1107" customWidth="1"/>
    <col min="14089" max="14089" width="26.28515625" style="1107" customWidth="1"/>
    <col min="14090" max="14336" width="10.42578125" style="1107"/>
    <col min="14337" max="14337" width="4.42578125" style="1107" customWidth="1"/>
    <col min="14338" max="14338" width="7.42578125" style="1107" customWidth="1"/>
    <col min="14339" max="14339" width="42.85546875" style="1107" customWidth="1"/>
    <col min="14340" max="14340" width="10.42578125" style="1107"/>
    <col min="14341" max="14341" width="9.28515625" style="1107" customWidth="1"/>
    <col min="14342" max="14342" width="15.5703125" style="1107" customWidth="1"/>
    <col min="14343" max="14343" width="14.28515625" style="1107" customWidth="1"/>
    <col min="14344" max="14344" width="16" style="1107" customWidth="1"/>
    <col min="14345" max="14345" width="26.28515625" style="1107" customWidth="1"/>
    <col min="14346" max="14592" width="10.42578125" style="1107"/>
    <col min="14593" max="14593" width="4.42578125" style="1107" customWidth="1"/>
    <col min="14594" max="14594" width="7.42578125" style="1107" customWidth="1"/>
    <col min="14595" max="14595" width="42.85546875" style="1107" customWidth="1"/>
    <col min="14596" max="14596" width="10.42578125" style="1107"/>
    <col min="14597" max="14597" width="9.28515625" style="1107" customWidth="1"/>
    <col min="14598" max="14598" width="15.5703125" style="1107" customWidth="1"/>
    <col min="14599" max="14599" width="14.28515625" style="1107" customWidth="1"/>
    <col min="14600" max="14600" width="16" style="1107" customWidth="1"/>
    <col min="14601" max="14601" width="26.28515625" style="1107" customWidth="1"/>
    <col min="14602" max="14848" width="10.42578125" style="1107"/>
    <col min="14849" max="14849" width="4.42578125" style="1107" customWidth="1"/>
    <col min="14850" max="14850" width="7.42578125" style="1107" customWidth="1"/>
    <col min="14851" max="14851" width="42.85546875" style="1107" customWidth="1"/>
    <col min="14852" max="14852" width="10.42578125" style="1107"/>
    <col min="14853" max="14853" width="9.28515625" style="1107" customWidth="1"/>
    <col min="14854" max="14854" width="15.5703125" style="1107" customWidth="1"/>
    <col min="14855" max="14855" width="14.28515625" style="1107" customWidth="1"/>
    <col min="14856" max="14856" width="16" style="1107" customWidth="1"/>
    <col min="14857" max="14857" width="26.28515625" style="1107" customWidth="1"/>
    <col min="14858" max="15104" width="10.42578125" style="1107"/>
    <col min="15105" max="15105" width="4.42578125" style="1107" customWidth="1"/>
    <col min="15106" max="15106" width="7.42578125" style="1107" customWidth="1"/>
    <col min="15107" max="15107" width="42.85546875" style="1107" customWidth="1"/>
    <col min="15108" max="15108" width="10.42578125" style="1107"/>
    <col min="15109" max="15109" width="9.28515625" style="1107" customWidth="1"/>
    <col min="15110" max="15110" width="15.5703125" style="1107" customWidth="1"/>
    <col min="15111" max="15111" width="14.28515625" style="1107" customWidth="1"/>
    <col min="15112" max="15112" width="16" style="1107" customWidth="1"/>
    <col min="15113" max="15113" width="26.28515625" style="1107" customWidth="1"/>
    <col min="15114" max="15360" width="10.42578125" style="1107"/>
    <col min="15361" max="15361" width="4.42578125" style="1107" customWidth="1"/>
    <col min="15362" max="15362" width="7.42578125" style="1107" customWidth="1"/>
    <col min="15363" max="15363" width="42.85546875" style="1107" customWidth="1"/>
    <col min="15364" max="15364" width="10.42578125" style="1107"/>
    <col min="15365" max="15365" width="9.28515625" style="1107" customWidth="1"/>
    <col min="15366" max="15366" width="15.5703125" style="1107" customWidth="1"/>
    <col min="15367" max="15367" width="14.28515625" style="1107" customWidth="1"/>
    <col min="15368" max="15368" width="16" style="1107" customWidth="1"/>
    <col min="15369" max="15369" width="26.28515625" style="1107" customWidth="1"/>
    <col min="15370" max="15616" width="10.42578125" style="1107"/>
    <col min="15617" max="15617" width="4.42578125" style="1107" customWidth="1"/>
    <col min="15618" max="15618" width="7.42578125" style="1107" customWidth="1"/>
    <col min="15619" max="15619" width="42.85546875" style="1107" customWidth="1"/>
    <col min="15620" max="15620" width="10.42578125" style="1107"/>
    <col min="15621" max="15621" width="9.28515625" style="1107" customWidth="1"/>
    <col min="15622" max="15622" width="15.5703125" style="1107" customWidth="1"/>
    <col min="15623" max="15623" width="14.28515625" style="1107" customWidth="1"/>
    <col min="15624" max="15624" width="16" style="1107" customWidth="1"/>
    <col min="15625" max="15625" width="26.28515625" style="1107" customWidth="1"/>
    <col min="15626" max="15872" width="10.42578125" style="1107"/>
    <col min="15873" max="15873" width="4.42578125" style="1107" customWidth="1"/>
    <col min="15874" max="15874" width="7.42578125" style="1107" customWidth="1"/>
    <col min="15875" max="15875" width="42.85546875" style="1107" customWidth="1"/>
    <col min="15876" max="15876" width="10.42578125" style="1107"/>
    <col min="15877" max="15877" width="9.28515625" style="1107" customWidth="1"/>
    <col min="15878" max="15878" width="15.5703125" style="1107" customWidth="1"/>
    <col min="15879" max="15879" width="14.28515625" style="1107" customWidth="1"/>
    <col min="15880" max="15880" width="16" style="1107" customWidth="1"/>
    <col min="15881" max="15881" width="26.28515625" style="1107" customWidth="1"/>
    <col min="15882" max="16128" width="10.42578125" style="1107"/>
    <col min="16129" max="16129" width="4.42578125" style="1107" customWidth="1"/>
    <col min="16130" max="16130" width="7.42578125" style="1107" customWidth="1"/>
    <col min="16131" max="16131" width="42.85546875" style="1107" customWidth="1"/>
    <col min="16132" max="16132" width="10.42578125" style="1107"/>
    <col min="16133" max="16133" width="9.28515625" style="1107" customWidth="1"/>
    <col min="16134" max="16134" width="15.5703125" style="1107" customWidth="1"/>
    <col min="16135" max="16135" width="14.28515625" style="1107" customWidth="1"/>
    <col min="16136" max="16136" width="16" style="1107" customWidth="1"/>
    <col min="16137" max="16137" width="26.28515625" style="1107" customWidth="1"/>
    <col min="16138" max="16384" width="10.42578125" style="1107"/>
  </cols>
  <sheetData>
    <row r="2" spans="1:12" s="121" customFormat="1" ht="24.75" customHeight="1" x14ac:dyDescent="0.2">
      <c r="B2" s="137"/>
      <c r="C2" s="354" t="s">
        <v>59</v>
      </c>
      <c r="D2" s="3150"/>
      <c r="E2" s="156"/>
      <c r="F2" s="157"/>
      <c r="G2" s="355" t="s">
        <v>60</v>
      </c>
      <c r="H2" s="122"/>
    </row>
    <row r="4" spans="1:12" s="1109" customFormat="1" x14ac:dyDescent="0.2">
      <c r="B4" s="756" t="s">
        <v>7</v>
      </c>
      <c r="C4" s="2724" t="s">
        <v>1114</v>
      </c>
      <c r="D4" s="757"/>
      <c r="E4" s="758"/>
      <c r="F4" s="759"/>
      <c r="G4" s="760"/>
      <c r="H4" s="1110"/>
    </row>
    <row r="5" spans="1:12" s="1109" customFormat="1" ht="12" customHeight="1" x14ac:dyDescent="0.2">
      <c r="B5" s="761"/>
      <c r="C5" s="762"/>
      <c r="D5" s="763"/>
      <c r="E5" s="764"/>
      <c r="F5" s="765"/>
      <c r="G5" s="766"/>
      <c r="H5" s="1110"/>
    </row>
    <row r="6" spans="1:12" s="1111" customFormat="1" ht="14.25" x14ac:dyDescent="0.2">
      <c r="B6" s="756" t="s">
        <v>80</v>
      </c>
      <c r="C6" s="3253" t="s">
        <v>2526</v>
      </c>
      <c r="D6" s="3230"/>
      <c r="E6" s="3230"/>
      <c r="F6" s="3230"/>
      <c r="G6" s="760"/>
      <c r="H6" s="1112"/>
      <c r="I6" s="1113"/>
      <c r="J6" s="1113"/>
      <c r="K6" s="1113"/>
      <c r="L6" s="1113"/>
    </row>
    <row r="7" spans="1:12" s="1111" customFormat="1" ht="14.25" x14ac:dyDescent="0.2">
      <c r="B7" s="761"/>
      <c r="C7" s="767"/>
      <c r="D7" s="763"/>
      <c r="E7" s="769"/>
      <c r="F7" s="770"/>
      <c r="G7" s="771"/>
      <c r="H7" s="1112"/>
      <c r="I7" s="1113"/>
      <c r="J7" s="1113"/>
      <c r="K7" s="1113"/>
      <c r="L7" s="1113"/>
    </row>
    <row r="8" spans="1:12" s="1109" customFormat="1" ht="18" customHeight="1" x14ac:dyDescent="0.2">
      <c r="A8" s="1114"/>
      <c r="B8" s="2865" t="s">
        <v>1</v>
      </c>
      <c r="C8" s="2866"/>
      <c r="D8" s="3151"/>
      <c r="E8" s="2867"/>
      <c r="F8" s="2867"/>
      <c r="G8" s="2868"/>
    </row>
    <row r="9" spans="1:12" s="1109" customFormat="1" ht="18" customHeight="1" x14ac:dyDescent="0.25">
      <c r="A9" s="1115"/>
      <c r="B9" s="2869" t="s">
        <v>2</v>
      </c>
      <c r="C9" s="2870"/>
      <c r="D9" s="3152"/>
      <c r="E9" s="2872"/>
      <c r="F9" s="2872"/>
      <c r="G9" s="2871"/>
    </row>
    <row r="10" spans="1:12" s="1109" customFormat="1" ht="18" customHeight="1" x14ac:dyDescent="0.2">
      <c r="A10" s="1114"/>
      <c r="B10" s="2865" t="s">
        <v>3</v>
      </c>
      <c r="C10" s="2866"/>
      <c r="D10" s="3151"/>
      <c r="E10" s="2867"/>
      <c r="F10" s="2867"/>
      <c r="G10" s="2868"/>
    </row>
    <row r="11" spans="1:12" s="1109" customFormat="1" ht="18" customHeight="1" x14ac:dyDescent="0.25">
      <c r="A11" s="1115"/>
      <c r="B11" s="2869" t="s">
        <v>4</v>
      </c>
      <c r="C11" s="2870"/>
      <c r="D11" s="3153"/>
      <c r="E11" s="2872"/>
      <c r="F11" s="2872"/>
      <c r="G11" s="2871"/>
    </row>
    <row r="12" spans="1:12" s="1111" customFormat="1" ht="14.25" x14ac:dyDescent="0.2">
      <c r="B12" s="1116"/>
      <c r="C12" s="1117"/>
      <c r="D12" s="3154"/>
      <c r="E12" s="1119"/>
      <c r="F12" s="1120"/>
      <c r="G12" s="1121"/>
      <c r="H12" s="1112"/>
      <c r="I12" s="1113"/>
      <c r="J12" s="1113"/>
      <c r="K12" s="1113"/>
      <c r="L12" s="1113"/>
    </row>
    <row r="13" spans="1:12" s="1111" customFormat="1" ht="14.25" x14ac:dyDescent="0.2">
      <c r="B13" s="1122"/>
      <c r="C13" s="1123" t="s">
        <v>82</v>
      </c>
      <c r="D13" s="3155"/>
      <c r="E13" s="1125"/>
      <c r="F13" s="1126"/>
      <c r="G13" s="1127"/>
      <c r="H13" s="1112"/>
      <c r="I13" s="1113"/>
      <c r="J13" s="1113"/>
      <c r="K13" s="1113"/>
      <c r="L13" s="1113"/>
    </row>
    <row r="14" spans="1:12" s="1109" customFormat="1" x14ac:dyDescent="0.2">
      <c r="B14" s="1122" t="s">
        <v>83</v>
      </c>
      <c r="C14" s="1128" t="s">
        <v>84</v>
      </c>
      <c r="D14" s="3155"/>
      <c r="E14" s="1130"/>
      <c r="F14" s="1131"/>
      <c r="G14" s="1132" t="s">
        <v>64</v>
      </c>
      <c r="H14" s="1110"/>
    </row>
    <row r="15" spans="1:12" s="1109" customFormat="1" x14ac:dyDescent="0.2">
      <c r="B15" s="1133" t="s">
        <v>10</v>
      </c>
      <c r="C15" s="1134" t="s">
        <v>85</v>
      </c>
      <c r="D15" s="3156"/>
      <c r="E15" s="1136"/>
      <c r="F15" s="1137"/>
      <c r="G15" s="1138">
        <f>G31</f>
        <v>0</v>
      </c>
      <c r="H15" s="1110"/>
    </row>
    <row r="16" spans="1:12" s="1109" customFormat="1" x14ac:dyDescent="0.2">
      <c r="B16" s="1133" t="s">
        <v>12</v>
      </c>
      <c r="C16" s="1134" t="s">
        <v>109</v>
      </c>
      <c r="D16" s="3156"/>
      <c r="E16" s="1136"/>
      <c r="F16" s="1137"/>
      <c r="G16" s="1138">
        <f>G117</f>
        <v>0</v>
      </c>
      <c r="H16" s="1110"/>
    </row>
    <row r="17" spans="2:9" s="1109" customFormat="1" x14ac:dyDescent="0.2">
      <c r="B17" s="1133" t="s">
        <v>17</v>
      </c>
      <c r="C17" s="1134" t="s">
        <v>87</v>
      </c>
      <c r="D17" s="3156"/>
      <c r="E17" s="1136"/>
      <c r="F17" s="1137"/>
      <c r="G17" s="1138">
        <f>G185</f>
        <v>0</v>
      </c>
      <c r="H17" s="1110"/>
    </row>
    <row r="18" spans="2:9" s="1109" customFormat="1" x14ac:dyDescent="0.2">
      <c r="B18" s="1139" t="s">
        <v>18</v>
      </c>
      <c r="C18" s="1134" t="s">
        <v>367</v>
      </c>
      <c r="D18" s="3156"/>
      <c r="E18" s="1136"/>
      <c r="F18" s="1140"/>
      <c r="G18" s="1138">
        <f>G435</f>
        <v>0</v>
      </c>
      <c r="H18" s="1110"/>
    </row>
    <row r="19" spans="2:9" s="1109" customFormat="1" x14ac:dyDescent="0.2">
      <c r="B19" s="2922"/>
      <c r="C19" s="2923" t="s">
        <v>88</v>
      </c>
      <c r="D19" s="3157"/>
      <c r="E19" s="2925"/>
      <c r="F19" s="2926"/>
      <c r="G19" s="2927">
        <f>SUM(G15:G18)</f>
        <v>0</v>
      </c>
      <c r="H19" s="1110"/>
    </row>
    <row r="20" spans="2:9" x14ac:dyDescent="0.2">
      <c r="B20" s="1141"/>
      <c r="C20" s="1142"/>
      <c r="D20" s="1143"/>
      <c r="E20" s="1144"/>
      <c r="F20" s="1145"/>
    </row>
    <row r="21" spans="2:9" x14ac:dyDescent="0.2">
      <c r="G21" s="1146"/>
    </row>
    <row r="22" spans="2:9" x14ac:dyDescent="0.2">
      <c r="B22" s="2841" t="s">
        <v>368</v>
      </c>
      <c r="C22" s="2842" t="s">
        <v>89</v>
      </c>
      <c r="D22" s="2842" t="s">
        <v>90</v>
      </c>
      <c r="E22" s="2838" t="s">
        <v>91</v>
      </c>
      <c r="F22" s="2839" t="s">
        <v>92</v>
      </c>
      <c r="G22" s="2840" t="s">
        <v>93</v>
      </c>
      <c r="H22" s="748"/>
    </row>
    <row r="23" spans="2:9" x14ac:dyDescent="0.2">
      <c r="B23" s="811"/>
      <c r="C23" s="812"/>
      <c r="D23" s="878"/>
      <c r="E23" s="814"/>
      <c r="F23" s="815"/>
      <c r="G23" s="816"/>
      <c r="H23" s="748"/>
    </row>
    <row r="24" spans="2:9" s="1148" customFormat="1" ht="20.25" x14ac:dyDescent="0.3">
      <c r="B24" s="817" t="s">
        <v>10</v>
      </c>
      <c r="C24" s="818" t="s">
        <v>85</v>
      </c>
      <c r="D24" s="880"/>
      <c r="E24" s="820"/>
      <c r="F24" s="821"/>
      <c r="G24" s="822"/>
      <c r="H24" s="1207"/>
    </row>
    <row r="25" spans="2:9" x14ac:dyDescent="0.2">
      <c r="B25" s="811" t="s">
        <v>369</v>
      </c>
      <c r="C25" s="1149" t="s">
        <v>370</v>
      </c>
      <c r="D25" s="878" t="s">
        <v>123</v>
      </c>
      <c r="E25" s="814">
        <v>6</v>
      </c>
      <c r="F25" s="866">
        <v>0</v>
      </c>
      <c r="G25" s="867">
        <f t="shared" ref="G25:G30" si="0">E25*F25</f>
        <v>0</v>
      </c>
      <c r="H25" s="748"/>
    </row>
    <row r="26" spans="2:9" ht="129.75" customHeight="1" x14ac:dyDescent="0.2">
      <c r="B26" s="811" t="s">
        <v>371</v>
      </c>
      <c r="C26" s="898" t="s">
        <v>99</v>
      </c>
      <c r="D26" s="1150" t="s">
        <v>98</v>
      </c>
      <c r="E26" s="814">
        <v>1</v>
      </c>
      <c r="F26" s="866">
        <v>0</v>
      </c>
      <c r="G26" s="867">
        <f t="shared" si="0"/>
        <v>0</v>
      </c>
      <c r="H26" s="748"/>
      <c r="I26" s="1151"/>
    </row>
    <row r="27" spans="2:9" ht="30.75" customHeight="1" x14ac:dyDescent="0.2">
      <c r="B27" s="811" t="s">
        <v>372</v>
      </c>
      <c r="C27" s="1149" t="s">
        <v>100</v>
      </c>
      <c r="D27" s="210" t="s">
        <v>98</v>
      </c>
      <c r="E27" s="814">
        <v>1</v>
      </c>
      <c r="F27" s="866">
        <v>0</v>
      </c>
      <c r="G27" s="867">
        <f t="shared" si="0"/>
        <v>0</v>
      </c>
      <c r="H27" s="748"/>
    </row>
    <row r="28" spans="2:9" ht="52.5" customHeight="1" x14ac:dyDescent="0.2">
      <c r="B28" s="811" t="s">
        <v>373</v>
      </c>
      <c r="C28" s="1152" t="s">
        <v>102</v>
      </c>
      <c r="D28" s="210" t="s">
        <v>98</v>
      </c>
      <c r="E28" s="814">
        <v>2</v>
      </c>
      <c r="F28" s="866">
        <v>0</v>
      </c>
      <c r="G28" s="867">
        <f t="shared" si="0"/>
        <v>0</v>
      </c>
      <c r="H28" s="748"/>
    </row>
    <row r="29" spans="2:9" ht="14.25" customHeight="1" x14ac:dyDescent="0.2">
      <c r="B29" s="811" t="s">
        <v>375</v>
      </c>
      <c r="C29" s="1152" t="s">
        <v>105</v>
      </c>
      <c r="D29" s="210" t="s">
        <v>98</v>
      </c>
      <c r="E29" s="814">
        <v>1</v>
      </c>
      <c r="F29" s="866">
        <v>0</v>
      </c>
      <c r="G29" s="867">
        <f t="shared" si="0"/>
        <v>0</v>
      </c>
      <c r="H29" s="748"/>
    </row>
    <row r="30" spans="2:9" ht="38.25" customHeight="1" x14ac:dyDescent="0.2">
      <c r="B30" s="811" t="s">
        <v>376</v>
      </c>
      <c r="C30" s="1153" t="s">
        <v>106</v>
      </c>
      <c r="D30" s="210" t="s">
        <v>98</v>
      </c>
      <c r="E30" s="1154">
        <v>1</v>
      </c>
      <c r="F30" s="866">
        <v>0</v>
      </c>
      <c r="G30" s="867">
        <f t="shared" si="0"/>
        <v>0</v>
      </c>
      <c r="H30" s="748"/>
    </row>
    <row r="31" spans="2:9" x14ac:dyDescent="0.2">
      <c r="B31" s="1155" t="s">
        <v>10</v>
      </c>
      <c r="C31" s="1156" t="s">
        <v>108</v>
      </c>
      <c r="D31" s="1170"/>
      <c r="E31" s="1158"/>
      <c r="F31" s="1159"/>
      <c r="G31" s="1138">
        <f>SUM(G25:G30)</f>
        <v>0</v>
      </c>
      <c r="H31" s="748"/>
    </row>
    <row r="32" spans="2:9" x14ac:dyDescent="0.2">
      <c r="B32" s="811"/>
      <c r="C32" s="812"/>
      <c r="D32" s="878"/>
      <c r="E32" s="814"/>
      <c r="F32" s="815"/>
      <c r="G32" s="816"/>
      <c r="H32" s="748"/>
    </row>
    <row r="33" spans="2:12" x14ac:dyDescent="0.2">
      <c r="B33" s="1160" t="s">
        <v>368</v>
      </c>
      <c r="C33" s="1161" t="s">
        <v>89</v>
      </c>
      <c r="D33" s="1161" t="s">
        <v>90</v>
      </c>
      <c r="E33" s="1163" t="s">
        <v>91</v>
      </c>
      <c r="F33" s="1164" t="s">
        <v>92</v>
      </c>
      <c r="G33" s="1165" t="s">
        <v>93</v>
      </c>
      <c r="H33" s="748"/>
    </row>
    <row r="34" spans="2:12" x14ac:dyDescent="0.2">
      <c r="B34" s="811"/>
      <c r="C34" s="877"/>
      <c r="D34" s="878"/>
      <c r="E34" s="814"/>
      <c r="F34" s="815"/>
      <c r="G34" s="816"/>
      <c r="H34" s="748"/>
    </row>
    <row r="35" spans="2:12" s="1148" customFormat="1" ht="20.25" x14ac:dyDescent="0.3">
      <c r="B35" s="817" t="s">
        <v>12</v>
      </c>
      <c r="C35" s="879" t="s">
        <v>109</v>
      </c>
      <c r="D35" s="880"/>
      <c r="E35" s="820"/>
      <c r="F35" s="821"/>
      <c r="G35" s="822"/>
      <c r="H35" s="1207"/>
    </row>
    <row r="36" spans="2:12" s="1148" customFormat="1" ht="20.25" x14ac:dyDescent="0.3">
      <c r="B36" s="817" t="s">
        <v>357</v>
      </c>
      <c r="C36" s="879" t="s">
        <v>358</v>
      </c>
      <c r="D36" s="880"/>
      <c r="E36" s="820"/>
      <c r="F36" s="821"/>
      <c r="G36" s="822"/>
      <c r="H36" s="1207"/>
    </row>
    <row r="37" spans="2:12" s="130" customFormat="1" ht="71.25" customHeight="1" x14ac:dyDescent="0.2">
      <c r="B37" s="3233" t="s">
        <v>110</v>
      </c>
      <c r="C37" s="3234"/>
      <c r="D37" s="3234"/>
      <c r="E37" s="3234"/>
      <c r="F37" s="3234"/>
      <c r="G37" s="3235"/>
      <c r="H37" s="748"/>
    </row>
    <row r="38" spans="2:12" ht="24" x14ac:dyDescent="0.2">
      <c r="B38" s="1166" t="s">
        <v>377</v>
      </c>
      <c r="C38" s="1149" t="s">
        <v>111</v>
      </c>
      <c r="D38" s="878" t="s">
        <v>112</v>
      </c>
      <c r="E38" s="814">
        <v>60</v>
      </c>
      <c r="F38" s="866">
        <v>0</v>
      </c>
      <c r="G38" s="867">
        <f t="shared" ref="G38:G53" si="1">E38*F38</f>
        <v>0</v>
      </c>
      <c r="H38" s="748"/>
      <c r="I38" s="1167"/>
    </row>
    <row r="39" spans="2:12" ht="72" x14ac:dyDescent="0.2">
      <c r="B39" s="1166" t="s">
        <v>378</v>
      </c>
      <c r="C39" s="1149" t="s">
        <v>1476</v>
      </c>
      <c r="D39" s="878" t="s">
        <v>117</v>
      </c>
      <c r="E39" s="814">
        <v>40</v>
      </c>
      <c r="F39" s="866">
        <v>0</v>
      </c>
      <c r="G39" s="867">
        <f t="shared" si="1"/>
        <v>0</v>
      </c>
      <c r="H39" s="748"/>
      <c r="I39" s="1167"/>
    </row>
    <row r="40" spans="2:12" ht="48" x14ac:dyDescent="0.2">
      <c r="B40" s="1166" t="s">
        <v>380</v>
      </c>
      <c r="C40" s="1149" t="s">
        <v>1477</v>
      </c>
      <c r="D40" s="1150" t="s">
        <v>112</v>
      </c>
      <c r="E40" s="814">
        <v>30</v>
      </c>
      <c r="F40" s="866">
        <v>0</v>
      </c>
      <c r="G40" s="867">
        <f t="shared" si="1"/>
        <v>0</v>
      </c>
      <c r="H40" s="748"/>
      <c r="I40" s="1168"/>
      <c r="K40" s="1169"/>
      <c r="L40" s="1169"/>
    </row>
    <row r="41" spans="2:12" ht="24" customHeight="1" x14ac:dyDescent="0.2">
      <c r="B41" s="1166" t="s">
        <v>382</v>
      </c>
      <c r="C41" s="1149" t="s">
        <v>383</v>
      </c>
      <c r="D41" s="1150" t="s">
        <v>112</v>
      </c>
      <c r="E41" s="814">
        <v>106.25</v>
      </c>
      <c r="F41" s="866">
        <v>0</v>
      </c>
      <c r="G41" s="867">
        <f t="shared" si="1"/>
        <v>0</v>
      </c>
      <c r="H41" s="748"/>
      <c r="I41" s="1168"/>
    </row>
    <row r="42" spans="2:12" ht="82.5" customHeight="1" x14ac:dyDescent="0.2">
      <c r="B42" s="1166" t="s">
        <v>384</v>
      </c>
      <c r="C42" s="1208" t="s">
        <v>1478</v>
      </c>
      <c r="D42" s="1150" t="s">
        <v>117</v>
      </c>
      <c r="E42" s="814">
        <v>35</v>
      </c>
      <c r="F42" s="866">
        <v>0</v>
      </c>
      <c r="G42" s="867">
        <f t="shared" si="1"/>
        <v>0</v>
      </c>
      <c r="H42" s="748"/>
      <c r="I42" s="1168"/>
    </row>
    <row r="43" spans="2:12" ht="42" customHeight="1" x14ac:dyDescent="0.2">
      <c r="B43" s="1166" t="s">
        <v>386</v>
      </c>
      <c r="C43" s="1149" t="s">
        <v>385</v>
      </c>
      <c r="D43" s="1150" t="s">
        <v>117</v>
      </c>
      <c r="E43" s="814">
        <v>76</v>
      </c>
      <c r="F43" s="866">
        <v>0</v>
      </c>
      <c r="G43" s="867">
        <f t="shared" si="1"/>
        <v>0</v>
      </c>
      <c r="H43" s="748"/>
      <c r="I43" s="1167"/>
    </row>
    <row r="44" spans="2:12" ht="72" x14ac:dyDescent="0.2">
      <c r="B44" s="1166" t="s">
        <v>388</v>
      </c>
      <c r="C44" s="1149" t="s">
        <v>1479</v>
      </c>
      <c r="D44" s="1150" t="s">
        <v>112</v>
      </c>
      <c r="E44" s="814">
        <v>25</v>
      </c>
      <c r="F44" s="866">
        <v>0</v>
      </c>
      <c r="G44" s="867">
        <f t="shared" si="1"/>
        <v>0</v>
      </c>
      <c r="H44" s="748"/>
      <c r="I44" s="1169"/>
    </row>
    <row r="45" spans="2:12" ht="102" x14ac:dyDescent="0.2">
      <c r="B45" s="1166" t="s">
        <v>390</v>
      </c>
      <c r="C45" s="1209" t="s">
        <v>1480</v>
      </c>
      <c r="D45" s="1150" t="s">
        <v>112</v>
      </c>
      <c r="E45" s="2571">
        <v>5</v>
      </c>
      <c r="F45" s="866">
        <v>0</v>
      </c>
      <c r="G45" s="1210">
        <f t="shared" si="1"/>
        <v>0</v>
      </c>
      <c r="H45" s="748"/>
      <c r="I45" s="1169"/>
    </row>
    <row r="46" spans="2:12" ht="51" x14ac:dyDescent="0.2">
      <c r="B46" s="1166" t="s">
        <v>391</v>
      </c>
      <c r="C46" s="1209" t="s">
        <v>1481</v>
      </c>
      <c r="D46" s="3149" t="s">
        <v>112</v>
      </c>
      <c r="E46" s="2571">
        <v>160</v>
      </c>
      <c r="F46" s="866">
        <v>0</v>
      </c>
      <c r="G46" s="1210">
        <f t="shared" si="1"/>
        <v>0</v>
      </c>
      <c r="H46" s="748"/>
      <c r="I46" s="1169"/>
    </row>
    <row r="47" spans="2:12" ht="38.25" x14ac:dyDescent="0.2">
      <c r="B47" s="1166" t="s">
        <v>392</v>
      </c>
      <c r="C47" s="1209" t="s">
        <v>1482</v>
      </c>
      <c r="D47" s="3149" t="s">
        <v>112</v>
      </c>
      <c r="E47" s="2571">
        <v>14</v>
      </c>
      <c r="F47" s="866">
        <v>0</v>
      </c>
      <c r="G47" s="1210">
        <f t="shared" si="1"/>
        <v>0</v>
      </c>
      <c r="H47" s="748"/>
      <c r="I47" s="1169"/>
    </row>
    <row r="48" spans="2:12" ht="25.5" x14ac:dyDescent="0.2">
      <c r="B48" s="1166" t="s">
        <v>393</v>
      </c>
      <c r="C48" s="1209" t="s">
        <v>1483</v>
      </c>
      <c r="D48" s="3149" t="s">
        <v>112</v>
      </c>
      <c r="E48" s="2571">
        <v>15</v>
      </c>
      <c r="F48" s="866">
        <v>0</v>
      </c>
      <c r="G48" s="1210">
        <f t="shared" si="1"/>
        <v>0</v>
      </c>
      <c r="H48" s="748"/>
      <c r="I48" s="1169"/>
    </row>
    <row r="49" spans="2:9" ht="38.25" x14ac:dyDescent="0.2">
      <c r="B49" s="1166" t="s">
        <v>395</v>
      </c>
      <c r="C49" s="1209" t="s">
        <v>1484</v>
      </c>
      <c r="D49" s="3149" t="s">
        <v>117</v>
      </c>
      <c r="E49" s="2571">
        <v>300</v>
      </c>
      <c r="F49" s="866">
        <v>0</v>
      </c>
      <c r="G49" s="1210">
        <f t="shared" si="1"/>
        <v>0</v>
      </c>
      <c r="H49" s="748"/>
      <c r="I49" s="1169"/>
    </row>
    <row r="50" spans="2:9" ht="38.25" x14ac:dyDescent="0.2">
      <c r="B50" s="1166" t="s">
        <v>1485</v>
      </c>
      <c r="C50" s="1209" t="s">
        <v>1486</v>
      </c>
      <c r="D50" s="3149" t="s">
        <v>98</v>
      </c>
      <c r="E50" s="2571">
        <v>3</v>
      </c>
      <c r="F50" s="866">
        <v>0</v>
      </c>
      <c r="G50" s="1210">
        <f t="shared" si="1"/>
        <v>0</v>
      </c>
      <c r="H50" s="748"/>
      <c r="I50" s="1169"/>
    </row>
    <row r="51" spans="2:9" ht="38.25" x14ac:dyDescent="0.2">
      <c r="B51" s="1166" t="s">
        <v>1487</v>
      </c>
      <c r="C51" s="1209" t="s">
        <v>1488</v>
      </c>
      <c r="D51" s="3149" t="s">
        <v>112</v>
      </c>
      <c r="E51" s="2571">
        <v>10</v>
      </c>
      <c r="F51" s="866">
        <v>0</v>
      </c>
      <c r="G51" s="1210">
        <f t="shared" si="1"/>
        <v>0</v>
      </c>
      <c r="H51" s="748"/>
      <c r="I51" s="1169"/>
    </row>
    <row r="52" spans="2:9" ht="36" x14ac:dyDescent="0.2">
      <c r="B52" s="1166" t="s">
        <v>1489</v>
      </c>
      <c r="C52" s="206" t="s">
        <v>2575</v>
      </c>
      <c r="D52" s="3149" t="s">
        <v>95</v>
      </c>
      <c r="E52" s="2571">
        <v>70</v>
      </c>
      <c r="F52" s="866">
        <v>0</v>
      </c>
      <c r="G52" s="1210">
        <f t="shared" si="1"/>
        <v>0</v>
      </c>
      <c r="H52" s="748"/>
      <c r="I52" s="1169"/>
    </row>
    <row r="53" spans="2:9" ht="51" x14ac:dyDescent="0.2">
      <c r="B53" s="1166" t="s">
        <v>1490</v>
      </c>
      <c r="C53" s="1209" t="s">
        <v>1491</v>
      </c>
      <c r="D53" s="3149" t="s">
        <v>98</v>
      </c>
      <c r="E53" s="2571">
        <v>1</v>
      </c>
      <c r="F53" s="866">
        <v>0</v>
      </c>
      <c r="G53" s="1210">
        <f t="shared" si="1"/>
        <v>0</v>
      </c>
      <c r="H53" s="748"/>
      <c r="I53" s="1169"/>
    </row>
    <row r="54" spans="2:9" x14ac:dyDescent="0.2">
      <c r="B54" s="1155" t="s">
        <v>357</v>
      </c>
      <c r="C54" s="1156" t="s">
        <v>157</v>
      </c>
      <c r="D54" s="1170"/>
      <c r="E54" s="1158"/>
      <c r="F54" s="1159"/>
      <c r="G54" s="1138">
        <f>SUM(G38:G53)</f>
        <v>0</v>
      </c>
      <c r="H54" s="748"/>
    </row>
    <row r="55" spans="2:9" x14ac:dyDescent="0.2">
      <c r="B55" s="811"/>
      <c r="C55" s="812"/>
      <c r="D55" s="878"/>
      <c r="E55" s="814"/>
      <c r="F55" s="815"/>
      <c r="G55" s="816"/>
      <c r="H55" s="748"/>
    </row>
    <row r="56" spans="2:9" x14ac:dyDescent="0.2">
      <c r="B56" s="1160" t="s">
        <v>368</v>
      </c>
      <c r="C56" s="1161" t="s">
        <v>89</v>
      </c>
      <c r="D56" s="1161" t="s">
        <v>90</v>
      </c>
      <c r="E56" s="1163" t="s">
        <v>91</v>
      </c>
      <c r="F56" s="1164" t="s">
        <v>92</v>
      </c>
      <c r="G56" s="1165" t="s">
        <v>93</v>
      </c>
      <c r="H56" s="748"/>
    </row>
    <row r="57" spans="2:9" x14ac:dyDescent="0.2">
      <c r="B57" s="811"/>
      <c r="C57" s="877"/>
      <c r="D57" s="878"/>
      <c r="E57" s="814"/>
      <c r="F57" s="815"/>
      <c r="G57" s="816"/>
      <c r="H57" s="748"/>
    </row>
    <row r="58" spans="2:9" s="1148" customFormat="1" ht="20.25" x14ac:dyDescent="0.3">
      <c r="B58" s="817" t="s">
        <v>359</v>
      </c>
      <c r="C58" s="879" t="s">
        <v>360</v>
      </c>
      <c r="D58" s="880"/>
      <c r="E58" s="820"/>
      <c r="F58" s="821"/>
      <c r="G58" s="822"/>
      <c r="H58" s="1207"/>
    </row>
    <row r="59" spans="2:9" s="130" customFormat="1" ht="27" customHeight="1" x14ac:dyDescent="0.2">
      <c r="B59" s="3257" t="s">
        <v>397</v>
      </c>
      <c r="C59" s="3258"/>
      <c r="D59" s="3258"/>
      <c r="E59" s="3258"/>
      <c r="F59" s="3258"/>
      <c r="G59" s="3259"/>
      <c r="H59" s="748"/>
    </row>
    <row r="60" spans="2:9" ht="89.25" x14ac:dyDescent="0.2">
      <c r="B60" s="1166" t="s">
        <v>398</v>
      </c>
      <c r="C60" s="1209" t="s">
        <v>1492</v>
      </c>
      <c r="D60" s="878" t="s">
        <v>112</v>
      </c>
      <c r="E60" s="814">
        <v>7.8</v>
      </c>
      <c r="F60" s="866">
        <v>0</v>
      </c>
      <c r="G60" s="867">
        <f>E60*F60</f>
        <v>0</v>
      </c>
      <c r="H60" s="748"/>
      <c r="I60" s="1167"/>
    </row>
    <row r="61" spans="2:9" ht="20.25" customHeight="1" x14ac:dyDescent="0.2">
      <c r="B61" s="1166"/>
      <c r="C61" s="1209" t="s">
        <v>1493</v>
      </c>
      <c r="D61" s="3149" t="s">
        <v>112</v>
      </c>
      <c r="E61" s="2465">
        <v>3</v>
      </c>
      <c r="F61" s="866">
        <v>0</v>
      </c>
      <c r="G61" s="867">
        <f>E61*F61</f>
        <v>0</v>
      </c>
      <c r="H61" s="748"/>
      <c r="I61" s="1167"/>
    </row>
    <row r="62" spans="2:9" ht="25.5" x14ac:dyDescent="0.2">
      <c r="B62" s="1166" t="s">
        <v>400</v>
      </c>
      <c r="C62" s="1209" t="s">
        <v>1494</v>
      </c>
      <c r="D62" s="3149" t="s">
        <v>112</v>
      </c>
      <c r="E62" s="2465">
        <v>63</v>
      </c>
      <c r="F62" s="866">
        <v>0</v>
      </c>
      <c r="G62" s="867">
        <f>E62*F62</f>
        <v>0</v>
      </c>
      <c r="H62" s="748"/>
      <c r="I62" s="1171"/>
    </row>
    <row r="63" spans="2:9" ht="25.5" x14ac:dyDescent="0.2">
      <c r="B63" s="1166" t="s">
        <v>402</v>
      </c>
      <c r="C63" s="1209" t="s">
        <v>1495</v>
      </c>
      <c r="D63" s="3149" t="s">
        <v>112</v>
      </c>
      <c r="E63" s="2465">
        <v>7</v>
      </c>
      <c r="F63" s="866">
        <v>0</v>
      </c>
      <c r="G63" s="867">
        <f>E63*F63</f>
        <v>0</v>
      </c>
      <c r="H63" s="748"/>
      <c r="I63" s="1167"/>
    </row>
    <row r="64" spans="2:9" ht="27.75" customHeight="1" x14ac:dyDescent="0.2">
      <c r="B64" s="1166" t="s">
        <v>408</v>
      </c>
      <c r="C64" s="1149" t="s">
        <v>411</v>
      </c>
      <c r="D64" s="1150"/>
      <c r="E64" s="814"/>
      <c r="F64" s="866"/>
      <c r="G64" s="867"/>
      <c r="H64" s="748"/>
      <c r="I64" s="1167"/>
    </row>
    <row r="65" spans="2:12" x14ac:dyDescent="0.2">
      <c r="B65" s="1166"/>
      <c r="C65" s="1149" t="s">
        <v>412</v>
      </c>
      <c r="D65" s="1150" t="s">
        <v>413</v>
      </c>
      <c r="E65" s="2465">
        <v>3534.21</v>
      </c>
      <c r="F65" s="866">
        <v>0</v>
      </c>
      <c r="G65" s="867">
        <f>E65*F65</f>
        <v>0</v>
      </c>
      <c r="H65" s="748"/>
      <c r="I65" s="1211"/>
    </row>
    <row r="66" spans="2:12" x14ac:dyDescent="0.2">
      <c r="B66" s="1166"/>
      <c r="C66" s="1149" t="s">
        <v>414</v>
      </c>
      <c r="D66" s="1150" t="s">
        <v>413</v>
      </c>
      <c r="E66" s="2465">
        <v>6002.65</v>
      </c>
      <c r="F66" s="866">
        <v>0</v>
      </c>
      <c r="G66" s="867">
        <f>E66*F66</f>
        <v>0</v>
      </c>
      <c r="H66" s="748"/>
      <c r="I66" s="1211"/>
    </row>
    <row r="67" spans="2:12" x14ac:dyDescent="0.2">
      <c r="B67" s="1155" t="s">
        <v>359</v>
      </c>
      <c r="C67" s="1156" t="s">
        <v>415</v>
      </c>
      <c r="D67" s="1170"/>
      <c r="E67" s="1158"/>
      <c r="F67" s="1159"/>
      <c r="G67" s="1138">
        <f>SUM(G60:G66)</f>
        <v>0</v>
      </c>
      <c r="H67" s="748"/>
      <c r="I67" s="1211"/>
    </row>
    <row r="68" spans="2:12" x14ac:dyDescent="0.2">
      <c r="B68" s="811"/>
      <c r="C68" s="812"/>
      <c r="D68" s="878"/>
      <c r="E68" s="814"/>
      <c r="F68" s="815"/>
      <c r="G68" s="816"/>
      <c r="H68" s="748"/>
    </row>
    <row r="69" spans="2:12" x14ac:dyDescent="0.2">
      <c r="B69" s="1160" t="s">
        <v>368</v>
      </c>
      <c r="C69" s="1161" t="s">
        <v>89</v>
      </c>
      <c r="D69" s="1161" t="s">
        <v>90</v>
      </c>
      <c r="E69" s="1163" t="s">
        <v>91</v>
      </c>
      <c r="F69" s="1164" t="s">
        <v>92</v>
      </c>
      <c r="G69" s="1165" t="s">
        <v>93</v>
      </c>
      <c r="H69" s="748"/>
    </row>
    <row r="70" spans="2:12" x14ac:dyDescent="0.2">
      <c r="B70" s="811"/>
      <c r="C70" s="877"/>
      <c r="D70" s="878"/>
      <c r="E70" s="814"/>
      <c r="F70" s="815"/>
      <c r="G70" s="816"/>
      <c r="H70" s="748"/>
    </row>
    <row r="71" spans="2:12" s="1148" customFormat="1" ht="20.25" x14ac:dyDescent="0.3">
      <c r="B71" s="817" t="s">
        <v>361</v>
      </c>
      <c r="C71" s="879" t="s">
        <v>362</v>
      </c>
      <c r="D71" s="880"/>
      <c r="E71" s="820"/>
      <c r="F71" s="821"/>
      <c r="G71" s="822"/>
      <c r="H71" s="1207"/>
    </row>
    <row r="72" spans="2:12" s="130" customFormat="1" ht="34.5" customHeight="1" x14ac:dyDescent="0.2">
      <c r="B72" s="3257" t="s">
        <v>1432</v>
      </c>
      <c r="C72" s="3258"/>
      <c r="D72" s="3258"/>
      <c r="E72" s="3258"/>
      <c r="F72" s="3258"/>
      <c r="G72" s="3259"/>
      <c r="H72" s="748"/>
    </row>
    <row r="73" spans="2:12" ht="51" x14ac:dyDescent="0.2">
      <c r="B73" s="1166" t="s">
        <v>417</v>
      </c>
      <c r="C73" s="1209" t="s">
        <v>1496</v>
      </c>
      <c r="D73" s="3149" t="s">
        <v>117</v>
      </c>
      <c r="E73" s="2465">
        <v>65</v>
      </c>
      <c r="F73" s="866">
        <v>0</v>
      </c>
      <c r="G73" s="867">
        <f>E73*F73</f>
        <v>0</v>
      </c>
      <c r="H73" s="748"/>
      <c r="I73" s="1212"/>
      <c r="J73" s="1212"/>
      <c r="K73" s="1213"/>
      <c r="L73" s="1214"/>
    </row>
    <row r="74" spans="2:12" ht="63.75" x14ac:dyDescent="0.2">
      <c r="B74" s="1166" t="s">
        <v>419</v>
      </c>
      <c r="C74" s="1209" t="s">
        <v>1497</v>
      </c>
      <c r="D74" s="3149" t="s">
        <v>117</v>
      </c>
      <c r="E74" s="2465">
        <v>155</v>
      </c>
      <c r="F74" s="866">
        <v>0</v>
      </c>
      <c r="G74" s="867">
        <f>E74*F74</f>
        <v>0</v>
      </c>
      <c r="H74" s="748"/>
      <c r="I74" s="1212"/>
      <c r="J74" s="1215"/>
      <c r="K74" s="1213"/>
      <c r="L74" s="1216"/>
    </row>
    <row r="75" spans="2:12" ht="25.5" x14ac:dyDescent="0.2">
      <c r="B75" s="1166" t="s">
        <v>421</v>
      </c>
      <c r="C75" s="1209" t="s">
        <v>1498</v>
      </c>
      <c r="D75" s="3149" t="s">
        <v>117</v>
      </c>
      <c r="E75" s="2465">
        <v>58</v>
      </c>
      <c r="F75" s="866">
        <v>0</v>
      </c>
      <c r="G75" s="867">
        <f>E75*F75</f>
        <v>0</v>
      </c>
      <c r="H75" s="748"/>
      <c r="I75" s="1215"/>
      <c r="J75" s="1212"/>
      <c r="K75" s="1213"/>
      <c r="L75" s="1214"/>
    </row>
    <row r="76" spans="2:12" ht="38.25" x14ac:dyDescent="0.2">
      <c r="B76" s="1166" t="s">
        <v>423</v>
      </c>
      <c r="C76" s="1209" t="s">
        <v>1499</v>
      </c>
      <c r="D76" s="878" t="s">
        <v>123</v>
      </c>
      <c r="E76" s="814">
        <v>5</v>
      </c>
      <c r="F76" s="866">
        <v>0</v>
      </c>
      <c r="G76" s="867">
        <f>E76*F76</f>
        <v>0</v>
      </c>
      <c r="H76" s="748"/>
      <c r="I76" s="1212"/>
      <c r="J76" s="1217"/>
      <c r="K76" s="1213"/>
      <c r="L76" s="1216"/>
    </row>
    <row r="77" spans="2:12" x14ac:dyDescent="0.2">
      <c r="B77" s="1155" t="s">
        <v>361</v>
      </c>
      <c r="C77" s="1156" t="s">
        <v>442</v>
      </c>
      <c r="D77" s="1170"/>
      <c r="E77" s="1158"/>
      <c r="F77" s="1159"/>
      <c r="G77" s="1138">
        <f>SUM(G73:G76)</f>
        <v>0</v>
      </c>
      <c r="H77" s="748"/>
    </row>
    <row r="78" spans="2:12" x14ac:dyDescent="0.2">
      <c r="B78" s="811"/>
      <c r="C78" s="812"/>
      <c r="D78" s="878"/>
      <c r="E78" s="814"/>
      <c r="F78" s="815"/>
      <c r="G78" s="816"/>
      <c r="H78" s="748"/>
    </row>
    <row r="79" spans="2:12" x14ac:dyDescent="0.2">
      <c r="B79" s="1160" t="s">
        <v>368</v>
      </c>
      <c r="C79" s="1161" t="s">
        <v>89</v>
      </c>
      <c r="D79" s="1161" t="s">
        <v>90</v>
      </c>
      <c r="E79" s="1163" t="s">
        <v>91</v>
      </c>
      <c r="F79" s="1164" t="s">
        <v>92</v>
      </c>
      <c r="G79" s="1165" t="s">
        <v>93</v>
      </c>
      <c r="H79" s="748"/>
    </row>
    <row r="80" spans="2:12" x14ac:dyDescent="0.2">
      <c r="B80" s="811"/>
      <c r="C80" s="877"/>
      <c r="D80" s="878"/>
      <c r="E80" s="814"/>
      <c r="F80" s="815"/>
      <c r="G80" s="816"/>
      <c r="H80" s="748"/>
    </row>
    <row r="81" spans="2:9" s="1148" customFormat="1" ht="20.25" x14ac:dyDescent="0.3">
      <c r="B81" s="817" t="s">
        <v>363</v>
      </c>
      <c r="C81" s="879" t="s">
        <v>364</v>
      </c>
      <c r="D81" s="880"/>
      <c r="E81" s="820"/>
      <c r="F81" s="821"/>
      <c r="G81" s="822"/>
      <c r="H81" s="1207"/>
    </row>
    <row r="82" spans="2:9" s="130" customFormat="1" ht="23.25" customHeight="1" x14ac:dyDescent="0.2">
      <c r="B82" s="3257" t="s">
        <v>443</v>
      </c>
      <c r="C82" s="3258"/>
      <c r="D82" s="3258"/>
      <c r="E82" s="3258"/>
      <c r="F82" s="3258"/>
      <c r="G82" s="3259"/>
      <c r="H82" s="748"/>
    </row>
    <row r="83" spans="2:9" ht="38.25" x14ac:dyDescent="0.2">
      <c r="B83" s="1166" t="s">
        <v>444</v>
      </c>
      <c r="C83" s="1209" t="s">
        <v>1500</v>
      </c>
      <c r="D83" s="878" t="s">
        <v>117</v>
      </c>
      <c r="E83" s="814">
        <v>145</v>
      </c>
      <c r="F83" s="866">
        <v>0</v>
      </c>
      <c r="G83" s="867">
        <f>E83*F83</f>
        <v>0</v>
      </c>
      <c r="H83" s="748"/>
      <c r="I83" s="1167"/>
    </row>
    <row r="84" spans="2:9" ht="25.5" x14ac:dyDescent="0.2">
      <c r="B84" s="1166" t="s">
        <v>446</v>
      </c>
      <c r="C84" s="1209" t="s">
        <v>1501</v>
      </c>
      <c r="D84" s="3149" t="s">
        <v>117</v>
      </c>
      <c r="E84" s="2465">
        <v>95</v>
      </c>
      <c r="F84" s="866">
        <v>0</v>
      </c>
      <c r="G84" s="867">
        <f>E84*F84</f>
        <v>0</v>
      </c>
      <c r="H84" s="748"/>
      <c r="I84" s="1167"/>
    </row>
    <row r="85" spans="2:9" ht="38.25" x14ac:dyDescent="0.2">
      <c r="B85" s="1166" t="s">
        <v>448</v>
      </c>
      <c r="C85" s="1209" t="s">
        <v>1502</v>
      </c>
      <c r="D85" s="3149" t="s">
        <v>117</v>
      </c>
      <c r="E85" s="2465">
        <v>200</v>
      </c>
      <c r="F85" s="866">
        <v>0</v>
      </c>
      <c r="G85" s="867">
        <f>E85*F85</f>
        <v>0</v>
      </c>
      <c r="H85" s="748"/>
      <c r="I85" s="1167"/>
    </row>
    <row r="86" spans="2:9" ht="51" x14ac:dyDescent="0.2">
      <c r="B86" s="1166" t="s">
        <v>451</v>
      </c>
      <c r="C86" s="1209" t="s">
        <v>1503</v>
      </c>
      <c r="D86" s="3149" t="s">
        <v>95</v>
      </c>
      <c r="E86" s="2465">
        <v>32</v>
      </c>
      <c r="F86" s="866">
        <v>0</v>
      </c>
      <c r="G86" s="867">
        <f>E86*F86</f>
        <v>0</v>
      </c>
      <c r="H86" s="748"/>
      <c r="I86" s="1167"/>
    </row>
    <row r="87" spans="2:9" x14ac:dyDescent="0.2">
      <c r="B87" s="1166" t="s">
        <v>453</v>
      </c>
      <c r="C87" s="1149" t="s">
        <v>464</v>
      </c>
      <c r="D87" s="878" t="s">
        <v>123</v>
      </c>
      <c r="E87" s="814">
        <v>1</v>
      </c>
      <c r="F87" s="866">
        <v>0</v>
      </c>
      <c r="G87" s="867">
        <f>E87*F87</f>
        <v>0</v>
      </c>
      <c r="H87" s="748"/>
      <c r="I87" s="1167"/>
    </row>
    <row r="88" spans="2:9" s="121" customFormat="1" ht="24" x14ac:dyDescent="0.2">
      <c r="B88" s="1166" t="s">
        <v>455</v>
      </c>
      <c r="C88" s="206" t="s">
        <v>1830</v>
      </c>
      <c r="D88" s="207" t="s">
        <v>95</v>
      </c>
      <c r="E88" s="1444">
        <v>50</v>
      </c>
      <c r="F88" s="1445">
        <v>0</v>
      </c>
      <c r="G88" s="1446">
        <f t="shared" ref="G88:G90" si="2">E88*F88</f>
        <v>0</v>
      </c>
      <c r="H88" s="1423"/>
      <c r="I88" s="132"/>
    </row>
    <row r="89" spans="2:9" s="121" customFormat="1" ht="36" x14ac:dyDescent="0.2">
      <c r="B89" s="1166" t="s">
        <v>457</v>
      </c>
      <c r="C89" s="206" t="s">
        <v>2566</v>
      </c>
      <c r="D89" s="207" t="s">
        <v>117</v>
      </c>
      <c r="E89" s="1444">
        <v>150</v>
      </c>
      <c r="F89" s="1445">
        <v>0</v>
      </c>
      <c r="G89" s="1446">
        <f t="shared" si="2"/>
        <v>0</v>
      </c>
      <c r="H89" s="1423"/>
      <c r="I89" s="132"/>
    </row>
    <row r="90" spans="2:9" s="121" customFormat="1" ht="36" x14ac:dyDescent="0.2">
      <c r="B90" s="1166" t="s">
        <v>459</v>
      </c>
      <c r="C90" s="206" t="s">
        <v>1832</v>
      </c>
      <c r="D90" s="207" t="s">
        <v>117</v>
      </c>
      <c r="E90" s="1444">
        <v>50</v>
      </c>
      <c r="F90" s="1445">
        <v>0</v>
      </c>
      <c r="G90" s="1446">
        <f t="shared" si="2"/>
        <v>0</v>
      </c>
      <c r="H90" s="1423"/>
      <c r="I90" s="132"/>
    </row>
    <row r="91" spans="2:9" ht="24" x14ac:dyDescent="0.2">
      <c r="B91" s="1166" t="s">
        <v>461</v>
      </c>
      <c r="C91" s="1149" t="s">
        <v>466</v>
      </c>
      <c r="D91" s="878"/>
      <c r="E91" s="814"/>
      <c r="F91" s="866"/>
      <c r="G91" s="867"/>
      <c r="H91" s="748"/>
      <c r="I91" s="1167"/>
    </row>
    <row r="92" spans="2:9" x14ac:dyDescent="0.2">
      <c r="B92" s="1166"/>
      <c r="C92" s="1149" t="s">
        <v>467</v>
      </c>
      <c r="D92" s="878" t="s">
        <v>156</v>
      </c>
      <c r="E92" s="814">
        <v>20</v>
      </c>
      <c r="F92" s="866">
        <v>0</v>
      </c>
      <c r="G92" s="867">
        <f>E92*F92</f>
        <v>0</v>
      </c>
      <c r="H92" s="748"/>
      <c r="I92" s="1167"/>
    </row>
    <row r="93" spans="2:9" x14ac:dyDescent="0.2">
      <c r="B93" s="1166"/>
      <c r="C93" s="1149" t="s">
        <v>468</v>
      </c>
      <c r="D93" s="878" t="s">
        <v>156</v>
      </c>
      <c r="E93" s="814">
        <v>40</v>
      </c>
      <c r="F93" s="866">
        <v>0</v>
      </c>
      <c r="G93" s="867">
        <f>E93*F93</f>
        <v>0</v>
      </c>
      <c r="H93" s="748"/>
      <c r="I93" s="1167"/>
    </row>
    <row r="94" spans="2:9" x14ac:dyDescent="0.2">
      <c r="B94" s="1155" t="s">
        <v>363</v>
      </c>
      <c r="C94" s="1156" t="s">
        <v>469</v>
      </c>
      <c r="D94" s="1170"/>
      <c r="E94" s="1158"/>
      <c r="F94" s="1159"/>
      <c r="G94" s="1138">
        <f>SUM(G83:G93)</f>
        <v>0</v>
      </c>
      <c r="H94" s="748"/>
    </row>
    <row r="95" spans="2:9" x14ac:dyDescent="0.2">
      <c r="B95" s="811"/>
      <c r="C95" s="812"/>
      <c r="D95" s="878"/>
      <c r="E95" s="814"/>
      <c r="F95" s="815"/>
      <c r="G95" s="816"/>
      <c r="H95" s="748"/>
    </row>
    <row r="96" spans="2:9" x14ac:dyDescent="0.2">
      <c r="B96" s="1160" t="s">
        <v>368</v>
      </c>
      <c r="C96" s="1161" t="s">
        <v>89</v>
      </c>
      <c r="D96" s="1161" t="s">
        <v>90</v>
      </c>
      <c r="E96" s="1163" t="s">
        <v>91</v>
      </c>
      <c r="F96" s="1164" t="s">
        <v>92</v>
      </c>
      <c r="G96" s="1165" t="s">
        <v>93</v>
      </c>
      <c r="H96" s="748"/>
    </row>
    <row r="97" spans="2:14" x14ac:dyDescent="0.2">
      <c r="B97" s="811"/>
      <c r="C97" s="877"/>
      <c r="D97" s="878"/>
      <c r="E97" s="814"/>
      <c r="F97" s="815"/>
      <c r="G97" s="816"/>
      <c r="H97" s="748"/>
    </row>
    <row r="98" spans="2:14" s="1148" customFormat="1" ht="20.25" x14ac:dyDescent="0.3">
      <c r="B98" s="817" t="s">
        <v>365</v>
      </c>
      <c r="C98" s="879" t="s">
        <v>366</v>
      </c>
      <c r="D98" s="880"/>
      <c r="E98" s="820"/>
      <c r="F98" s="821"/>
      <c r="G98" s="822"/>
      <c r="H98" s="1207"/>
    </row>
    <row r="99" spans="2:14" s="130" customFormat="1" ht="20.25" customHeight="1" x14ac:dyDescent="0.2">
      <c r="B99" s="3257" t="s">
        <v>470</v>
      </c>
      <c r="C99" s="3258"/>
      <c r="D99" s="3258"/>
      <c r="E99" s="3258"/>
      <c r="F99" s="3258"/>
      <c r="G99" s="3259"/>
      <c r="H99" s="748"/>
    </row>
    <row r="100" spans="2:14" ht="63.75" x14ac:dyDescent="0.2">
      <c r="B100" s="1166" t="s">
        <v>471</v>
      </c>
      <c r="C100" s="1209" t="s">
        <v>1504</v>
      </c>
      <c r="D100" s="3149" t="s">
        <v>117</v>
      </c>
      <c r="E100" s="2465">
        <v>240</v>
      </c>
      <c r="F100" s="866">
        <v>0</v>
      </c>
      <c r="G100" s="867">
        <f t="shared" ref="G100:G114" si="3">E100*F100</f>
        <v>0</v>
      </c>
      <c r="H100" s="748"/>
      <c r="I100" s="1212"/>
      <c r="J100" s="1213"/>
      <c r="K100" s="1214"/>
      <c r="L100" s="1212"/>
      <c r="M100" s="1213"/>
      <c r="N100" s="1214"/>
    </row>
    <row r="101" spans="2:14" ht="38.25" x14ac:dyDescent="0.2">
      <c r="B101" s="1166" t="s">
        <v>474</v>
      </c>
      <c r="C101" s="1209" t="s">
        <v>1500</v>
      </c>
      <c r="D101" s="878" t="s">
        <v>117</v>
      </c>
      <c r="E101" s="814">
        <v>145</v>
      </c>
      <c r="F101" s="866">
        <v>0</v>
      </c>
      <c r="G101" s="867">
        <f t="shared" si="3"/>
        <v>0</v>
      </c>
      <c r="H101" s="748"/>
      <c r="I101" s="1167"/>
      <c r="J101" s="1212"/>
      <c r="K101" s="1213"/>
      <c r="L101" s="1215"/>
      <c r="M101" s="1213"/>
      <c r="N101" s="1216"/>
    </row>
    <row r="102" spans="2:14" ht="25.5" x14ac:dyDescent="0.2">
      <c r="B102" s="1166" t="s">
        <v>476</v>
      </c>
      <c r="C102" s="1209" t="s">
        <v>1501</v>
      </c>
      <c r="D102" s="3149" t="s">
        <v>117</v>
      </c>
      <c r="E102" s="2465">
        <v>95</v>
      </c>
      <c r="F102" s="866">
        <v>0</v>
      </c>
      <c r="G102" s="867">
        <f>E102*F102</f>
        <v>0</v>
      </c>
      <c r="H102" s="748"/>
      <c r="I102" s="1167"/>
      <c r="J102" s="1212"/>
      <c r="K102" s="1213"/>
      <c r="L102" s="1212"/>
      <c r="M102" s="1213"/>
      <c r="N102" s="1214"/>
    </row>
    <row r="103" spans="2:14" ht="38.25" x14ac:dyDescent="0.2">
      <c r="B103" s="1166" t="s">
        <v>476</v>
      </c>
      <c r="C103" s="1209" t="s">
        <v>1502</v>
      </c>
      <c r="D103" s="3149" t="s">
        <v>117</v>
      </c>
      <c r="E103" s="2465">
        <v>200</v>
      </c>
      <c r="F103" s="866">
        <v>0</v>
      </c>
      <c r="G103" s="867">
        <f t="shared" si="3"/>
        <v>0</v>
      </c>
      <c r="H103" s="748"/>
      <c r="I103" s="1167"/>
      <c r="J103" s="1215"/>
      <c r="K103" s="1213"/>
      <c r="L103" s="1215"/>
      <c r="M103" s="1213"/>
      <c r="N103" s="1216"/>
    </row>
    <row r="104" spans="2:14" ht="51" x14ac:dyDescent="0.2">
      <c r="B104" s="1166" t="s">
        <v>477</v>
      </c>
      <c r="C104" s="1209" t="s">
        <v>1503</v>
      </c>
      <c r="D104" s="3149" t="s">
        <v>95</v>
      </c>
      <c r="E104" s="2465">
        <v>32</v>
      </c>
      <c r="F104" s="866">
        <v>0</v>
      </c>
      <c r="G104" s="867">
        <f t="shared" si="3"/>
        <v>0</v>
      </c>
      <c r="H104" s="748"/>
      <c r="I104" s="1212"/>
      <c r="J104" s="1213"/>
      <c r="K104" s="1214"/>
      <c r="L104" s="1212"/>
      <c r="M104" s="1213"/>
      <c r="N104" s="1214"/>
    </row>
    <row r="105" spans="2:14" ht="38.25" x14ac:dyDescent="0.2">
      <c r="B105" s="1166" t="s">
        <v>478</v>
      </c>
      <c r="C105" s="1209" t="s">
        <v>1505</v>
      </c>
      <c r="D105" s="3149" t="s">
        <v>117</v>
      </c>
      <c r="E105" s="2465">
        <v>70</v>
      </c>
      <c r="F105" s="866">
        <v>0</v>
      </c>
      <c r="G105" s="867">
        <f t="shared" si="3"/>
        <v>0</v>
      </c>
      <c r="H105" s="748"/>
      <c r="I105" s="1215"/>
      <c r="J105" s="1213"/>
      <c r="K105" s="1214"/>
      <c r="L105" s="1215"/>
      <c r="M105" s="1213"/>
      <c r="N105" s="1216"/>
    </row>
    <row r="106" spans="2:14" ht="38.25" x14ac:dyDescent="0.2">
      <c r="B106" s="1166" t="s">
        <v>480</v>
      </c>
      <c r="C106" s="1209" t="s">
        <v>1506</v>
      </c>
      <c r="D106" s="3149" t="s">
        <v>117</v>
      </c>
      <c r="E106" s="2465">
        <v>20</v>
      </c>
      <c r="F106" s="866">
        <v>0</v>
      </c>
      <c r="G106" s="867">
        <f t="shared" si="3"/>
        <v>0</v>
      </c>
      <c r="H106" s="748"/>
      <c r="I106" s="1212"/>
      <c r="J106" s="1213"/>
      <c r="K106" s="1214"/>
      <c r="L106" s="1212"/>
      <c r="M106" s="1213"/>
      <c r="N106" s="1214"/>
    </row>
    <row r="107" spans="2:14" ht="66" customHeight="1" x14ac:dyDescent="0.2">
      <c r="B107" s="1166" t="s">
        <v>482</v>
      </c>
      <c r="C107" s="1209" t="s">
        <v>2578</v>
      </c>
      <c r="D107" s="3149" t="s">
        <v>98</v>
      </c>
      <c r="E107" s="2465">
        <v>3</v>
      </c>
      <c r="F107" s="866">
        <v>0</v>
      </c>
      <c r="G107" s="867">
        <f t="shared" si="3"/>
        <v>0</v>
      </c>
      <c r="H107" s="748"/>
      <c r="I107" s="1215"/>
      <c r="J107" s="1213"/>
      <c r="K107" s="1216"/>
      <c r="L107" s="1215"/>
      <c r="M107" s="1213"/>
      <c r="N107" s="1216"/>
    </row>
    <row r="108" spans="2:14" ht="38.25" x14ac:dyDescent="0.2">
      <c r="B108" s="1166" t="s">
        <v>484</v>
      </c>
      <c r="C108" s="1209" t="s">
        <v>1507</v>
      </c>
      <c r="D108" s="3149" t="s">
        <v>413</v>
      </c>
      <c r="E108" s="2465">
        <v>105</v>
      </c>
      <c r="F108" s="866">
        <v>0</v>
      </c>
      <c r="G108" s="867">
        <f t="shared" si="3"/>
        <v>0</v>
      </c>
      <c r="H108" s="748"/>
      <c r="I108" s="1212"/>
      <c r="J108" s="1213"/>
      <c r="K108" s="1214"/>
      <c r="L108" s="1212"/>
      <c r="M108" s="1213"/>
      <c r="N108" s="1214"/>
    </row>
    <row r="109" spans="2:14" ht="84" customHeight="1" x14ac:dyDescent="0.2">
      <c r="B109" s="1166" t="s">
        <v>486</v>
      </c>
      <c r="C109" s="1209" t="s">
        <v>1508</v>
      </c>
      <c r="D109" s="3149" t="s">
        <v>413</v>
      </c>
      <c r="E109" s="2465">
        <v>105</v>
      </c>
      <c r="F109" s="866">
        <v>0</v>
      </c>
      <c r="G109" s="867">
        <f t="shared" si="3"/>
        <v>0</v>
      </c>
      <c r="H109" s="748"/>
      <c r="I109" s="1215"/>
      <c r="J109" s="1213"/>
      <c r="K109" s="1216"/>
      <c r="L109" s="1216"/>
    </row>
    <row r="110" spans="2:14" ht="78.75" customHeight="1" x14ac:dyDescent="0.2">
      <c r="B110" s="1166" t="s">
        <v>488</v>
      </c>
      <c r="C110" s="1209" t="s">
        <v>2548</v>
      </c>
      <c r="D110" s="3149" t="s">
        <v>98</v>
      </c>
      <c r="E110" s="2465">
        <v>1</v>
      </c>
      <c r="F110" s="866">
        <v>0</v>
      </c>
      <c r="G110" s="867">
        <f t="shared" si="3"/>
        <v>0</v>
      </c>
      <c r="H110" s="748"/>
      <c r="I110" s="1212"/>
      <c r="J110" s="1213"/>
      <c r="K110" s="1214"/>
      <c r="L110" s="1214"/>
    </row>
    <row r="111" spans="2:14" ht="38.25" x14ac:dyDescent="0.2">
      <c r="B111" s="1166" t="s">
        <v>490</v>
      </c>
      <c r="C111" s="1209" t="s">
        <v>1509</v>
      </c>
      <c r="D111" s="3149" t="s">
        <v>95</v>
      </c>
      <c r="E111" s="2465">
        <v>7.5</v>
      </c>
      <c r="F111" s="866">
        <v>0</v>
      </c>
      <c r="G111" s="867">
        <f t="shared" si="3"/>
        <v>0</v>
      </c>
      <c r="H111" s="748"/>
      <c r="I111" s="1212"/>
      <c r="J111" s="1213"/>
      <c r="K111" s="1214"/>
    </row>
    <row r="112" spans="2:14" ht="25.5" x14ac:dyDescent="0.2">
      <c r="B112" s="1166" t="s">
        <v>492</v>
      </c>
      <c r="C112" s="1209" t="s">
        <v>1510</v>
      </c>
      <c r="D112" s="3149" t="s">
        <v>123</v>
      </c>
      <c r="E112" s="2465">
        <v>5</v>
      </c>
      <c r="F112" s="866">
        <v>0</v>
      </c>
      <c r="G112" s="867">
        <f t="shared" si="3"/>
        <v>0</v>
      </c>
      <c r="H112" s="748"/>
      <c r="I112" s="1212"/>
      <c r="J112" s="1213"/>
      <c r="K112" s="1214"/>
    </row>
    <row r="113" spans="1:11" ht="38.25" x14ac:dyDescent="0.2">
      <c r="B113" s="1166" t="s">
        <v>494</v>
      </c>
      <c r="C113" s="1209" t="s">
        <v>1511</v>
      </c>
      <c r="D113" s="3149" t="s">
        <v>123</v>
      </c>
      <c r="E113" s="2465">
        <v>1</v>
      </c>
      <c r="F113" s="866">
        <v>0</v>
      </c>
      <c r="G113" s="867">
        <f t="shared" si="3"/>
        <v>0</v>
      </c>
      <c r="H113" s="748"/>
      <c r="I113" s="1215"/>
      <c r="J113" s="1213"/>
      <c r="K113" s="1216"/>
    </row>
    <row r="114" spans="1:11" ht="233.25" customHeight="1" x14ac:dyDescent="0.2">
      <c r="B114" s="1166" t="s">
        <v>496</v>
      </c>
      <c r="C114" s="1209" t="s">
        <v>2557</v>
      </c>
      <c r="D114" s="3149" t="s">
        <v>98</v>
      </c>
      <c r="E114" s="2465">
        <v>1</v>
      </c>
      <c r="F114" s="866">
        <v>0</v>
      </c>
      <c r="G114" s="867">
        <f t="shared" si="3"/>
        <v>0</v>
      </c>
      <c r="H114" s="748"/>
      <c r="I114" s="1212"/>
      <c r="J114" s="1213"/>
      <c r="K114" s="1214"/>
    </row>
    <row r="115" spans="1:11" x14ac:dyDescent="0.2">
      <c r="B115" s="1155" t="s">
        <v>365</v>
      </c>
      <c r="C115" s="1156" t="s">
        <v>506</v>
      </c>
      <c r="D115" s="1170"/>
      <c r="E115" s="1158"/>
      <c r="F115" s="1159"/>
      <c r="G115" s="1138">
        <f>SUM(G100:G114)</f>
        <v>0</v>
      </c>
      <c r="H115" s="748"/>
    </row>
    <row r="116" spans="1:11" x14ac:dyDescent="0.2">
      <c r="B116" s="2928"/>
      <c r="C116" s="2929"/>
      <c r="D116" s="2930"/>
      <c r="E116" s="1163"/>
      <c r="F116" s="2931"/>
      <c r="G116" s="2939"/>
      <c r="H116" s="748"/>
    </row>
    <row r="117" spans="1:11" x14ac:dyDescent="0.2">
      <c r="B117" s="1155" t="s">
        <v>12</v>
      </c>
      <c r="C117" s="1156" t="s">
        <v>157</v>
      </c>
      <c r="D117" s="1170"/>
      <c r="E117" s="1158"/>
      <c r="F117" s="1159"/>
      <c r="G117" s="1138">
        <f>G115+G94+G77+G67+G54</f>
        <v>0</v>
      </c>
      <c r="H117" s="748"/>
    </row>
    <row r="118" spans="1:11" x14ac:dyDescent="0.2">
      <c r="B118" s="811"/>
      <c r="C118" s="812"/>
      <c r="D118" s="878"/>
      <c r="E118" s="814"/>
      <c r="F118" s="815"/>
      <c r="G118" s="816"/>
      <c r="H118" s="748"/>
    </row>
    <row r="119" spans="1:11" x14ac:dyDescent="0.2">
      <c r="B119" s="1160" t="s">
        <v>368</v>
      </c>
      <c r="C119" s="1161" t="s">
        <v>89</v>
      </c>
      <c r="D119" s="1161" t="s">
        <v>90</v>
      </c>
      <c r="E119" s="1163" t="s">
        <v>91</v>
      </c>
      <c r="F119" s="1164" t="s">
        <v>92</v>
      </c>
      <c r="G119" s="1165" t="s">
        <v>93</v>
      </c>
      <c r="H119" s="748"/>
    </row>
    <row r="120" spans="1:11" x14ac:dyDescent="0.2">
      <c r="B120" s="811"/>
      <c r="C120" s="812"/>
      <c r="D120" s="878"/>
      <c r="E120" s="814"/>
      <c r="F120" s="815"/>
      <c r="G120" s="816"/>
      <c r="H120" s="748"/>
    </row>
    <row r="121" spans="1:11" s="1148" customFormat="1" ht="20.25" x14ac:dyDescent="0.3">
      <c r="B121" s="930" t="s">
        <v>17</v>
      </c>
      <c r="C121" s="931" t="s">
        <v>158</v>
      </c>
      <c r="D121" s="880"/>
      <c r="E121" s="820"/>
      <c r="F121" s="821"/>
      <c r="G121" s="822"/>
      <c r="H121" s="1207"/>
    </row>
    <row r="122" spans="1:11" s="1109" customFormat="1" ht="18" customHeight="1" x14ac:dyDescent="0.2">
      <c r="A122" s="1114"/>
      <c r="B122" s="2865" t="s">
        <v>1</v>
      </c>
      <c r="C122" s="2866"/>
      <c r="D122" s="3151"/>
      <c r="E122" s="2867"/>
      <c r="F122" s="2867"/>
      <c r="G122" s="2868"/>
    </row>
    <row r="123" spans="1:11" s="1109" customFormat="1" ht="18" customHeight="1" x14ac:dyDescent="0.25">
      <c r="A123" s="1115"/>
      <c r="B123" s="2869" t="s">
        <v>2</v>
      </c>
      <c r="C123" s="2870"/>
      <c r="D123" s="3152"/>
      <c r="E123" s="2872"/>
      <c r="F123" s="2872"/>
      <c r="G123" s="2871"/>
    </row>
    <row r="124" spans="1:11" s="1109" customFormat="1" ht="18" customHeight="1" x14ac:dyDescent="0.2">
      <c r="A124" s="1114"/>
      <c r="B124" s="2865" t="s">
        <v>3</v>
      </c>
      <c r="C124" s="2866"/>
      <c r="D124" s="3151"/>
      <c r="E124" s="2867"/>
      <c r="F124" s="2867"/>
      <c r="G124" s="2868"/>
    </row>
    <row r="125" spans="1:11" s="1109" customFormat="1" ht="18" customHeight="1" x14ac:dyDescent="0.25">
      <c r="A125" s="1115"/>
      <c r="B125" s="2869" t="s">
        <v>4</v>
      </c>
      <c r="C125" s="2870"/>
      <c r="D125" s="3153"/>
      <c r="E125" s="2872"/>
      <c r="F125" s="2872"/>
      <c r="G125" s="2871"/>
    </row>
    <row r="126" spans="1:11" s="130" customFormat="1" ht="18.75" customHeight="1" x14ac:dyDescent="0.2">
      <c r="B126" s="3233" t="s">
        <v>159</v>
      </c>
      <c r="C126" s="3234"/>
      <c r="D126" s="3234"/>
      <c r="E126" s="3234"/>
      <c r="F126" s="3234"/>
      <c r="G126" s="3235"/>
      <c r="H126" s="748"/>
    </row>
    <row r="127" spans="1:11" s="130" customFormat="1" ht="18.75" customHeight="1" x14ac:dyDescent="0.2">
      <c r="B127" s="3233" t="s">
        <v>160</v>
      </c>
      <c r="C127" s="3234"/>
      <c r="D127" s="3234"/>
      <c r="E127" s="3234"/>
      <c r="F127" s="3234"/>
      <c r="G127" s="3235"/>
      <c r="H127" s="748"/>
    </row>
    <row r="128" spans="1:11" s="130" customFormat="1" ht="18.75" customHeight="1" x14ac:dyDescent="0.2">
      <c r="B128" s="3233" t="s">
        <v>161</v>
      </c>
      <c r="C128" s="3234"/>
      <c r="D128" s="3234"/>
      <c r="E128" s="3234"/>
      <c r="F128" s="3234"/>
      <c r="G128" s="3235"/>
      <c r="H128" s="748"/>
    </row>
    <row r="129" spans="2:8" ht="30" customHeight="1" x14ac:dyDescent="0.2">
      <c r="B129" s="973">
        <v>1</v>
      </c>
      <c r="C129" s="1176" t="s">
        <v>507</v>
      </c>
      <c r="D129" s="226"/>
      <c r="E129" s="814"/>
      <c r="F129" s="815"/>
      <c r="G129" s="816"/>
      <c r="H129" s="748"/>
    </row>
    <row r="130" spans="2:8" s="136" customFormat="1" ht="95.25" customHeight="1" x14ac:dyDescent="0.2">
      <c r="B130" s="2731"/>
      <c r="C130" s="2732"/>
      <c r="D130" s="2745"/>
      <c r="E130" s="2734"/>
      <c r="F130" s="2735"/>
      <c r="G130" s="2736"/>
      <c r="H130" s="122"/>
    </row>
    <row r="131" spans="2:8" s="136" customFormat="1" ht="97.5" customHeight="1" x14ac:dyDescent="0.2">
      <c r="B131" s="2737"/>
      <c r="C131" s="2738"/>
      <c r="D131" s="2745"/>
      <c r="E131" s="2734"/>
      <c r="F131" s="2735"/>
      <c r="G131" s="2736"/>
      <c r="H131" s="122"/>
    </row>
    <row r="132" spans="2:8" s="136" customFormat="1" ht="108.75" customHeight="1" x14ac:dyDescent="0.2">
      <c r="B132" s="2737"/>
      <c r="C132" s="2738"/>
      <c r="D132" s="2745"/>
      <c r="E132" s="2734"/>
      <c r="F132" s="2735"/>
      <c r="G132" s="2736"/>
      <c r="H132" s="122"/>
    </row>
    <row r="133" spans="2:8" s="136" customFormat="1" ht="108.75" customHeight="1" x14ac:dyDescent="0.2">
      <c r="B133" s="2737"/>
      <c r="C133" s="2738"/>
      <c r="D133" s="2745"/>
      <c r="E133" s="2734"/>
      <c r="F133" s="2735"/>
      <c r="G133" s="2736"/>
      <c r="H133" s="122"/>
    </row>
    <row r="134" spans="2:8" s="136" customFormat="1" ht="99" customHeight="1" x14ac:dyDescent="0.2">
      <c r="B134" s="2737"/>
      <c r="C134" s="2738"/>
      <c r="D134" s="2745"/>
      <c r="E134" s="2734"/>
      <c r="F134" s="2735"/>
      <c r="G134" s="2736"/>
      <c r="H134" s="122"/>
    </row>
    <row r="135" spans="2:8" s="136" customFormat="1" ht="108.75" customHeight="1" x14ac:dyDescent="0.2">
      <c r="B135" s="2737"/>
      <c r="C135" s="2738"/>
      <c r="D135" s="2745"/>
      <c r="E135" s="2734"/>
      <c r="F135" s="2735"/>
      <c r="G135" s="2736"/>
      <c r="H135" s="122"/>
    </row>
    <row r="136" spans="2:8" s="136" customFormat="1" ht="52.5" customHeight="1" x14ac:dyDescent="0.2">
      <c r="B136" s="2737"/>
      <c r="C136" s="2738"/>
      <c r="D136" s="2745"/>
      <c r="E136" s="2734"/>
      <c r="F136" s="2735"/>
      <c r="G136" s="2736"/>
      <c r="H136" s="122"/>
    </row>
    <row r="137" spans="2:8" s="136" customFormat="1" ht="18" customHeight="1" x14ac:dyDescent="0.2">
      <c r="B137" s="2737"/>
      <c r="C137" s="2732" t="s">
        <v>2464</v>
      </c>
      <c r="D137" s="3159" t="s">
        <v>98</v>
      </c>
      <c r="E137" s="2740">
        <v>1</v>
      </c>
      <c r="F137" s="2741">
        <v>0</v>
      </c>
      <c r="G137" s="2742">
        <f t="shared" ref="G137" si="4">E137*F137</f>
        <v>0</v>
      </c>
      <c r="H137" s="122"/>
    </row>
    <row r="138" spans="2:8" s="1180" customFormat="1" ht="130.15" customHeight="1" x14ac:dyDescent="0.25">
      <c r="B138" s="1177"/>
      <c r="C138" s="1219" t="s">
        <v>508</v>
      </c>
      <c r="D138" s="1097" t="s">
        <v>149</v>
      </c>
      <c r="E138" s="913">
        <v>1</v>
      </c>
      <c r="F138" s="914">
        <v>0</v>
      </c>
      <c r="G138" s="915">
        <f>E138*F138</f>
        <v>0</v>
      </c>
      <c r="H138" s="1218"/>
    </row>
    <row r="139" spans="2:8" ht="24" x14ac:dyDescent="0.2">
      <c r="B139" s="973">
        <v>3</v>
      </c>
      <c r="C139" s="1181" t="s">
        <v>179</v>
      </c>
      <c r="D139" s="878"/>
      <c r="E139" s="814"/>
      <c r="F139" s="815">
        <v>0</v>
      </c>
      <c r="G139" s="816"/>
      <c r="H139" s="748"/>
    </row>
    <row r="140" spans="2:8" x14ac:dyDescent="0.2">
      <c r="B140" s="970"/>
      <c r="C140" s="1209" t="s">
        <v>1512</v>
      </c>
      <c r="D140" s="1097" t="s">
        <v>149</v>
      </c>
      <c r="E140" s="2465">
        <v>2</v>
      </c>
      <c r="F140" s="914">
        <v>0</v>
      </c>
      <c r="G140" s="915">
        <f>E140*F140</f>
        <v>0</v>
      </c>
      <c r="H140" s="748"/>
    </row>
    <row r="141" spans="2:8" s="1180" customFormat="1" ht="18" customHeight="1" x14ac:dyDescent="0.25">
      <c r="B141" s="831"/>
      <c r="C141" s="1209" t="s">
        <v>1513</v>
      </c>
      <c r="D141" s="1097" t="s">
        <v>149</v>
      </c>
      <c r="E141" s="2465">
        <v>2</v>
      </c>
      <c r="F141" s="914">
        <v>0</v>
      </c>
      <c r="G141" s="915">
        <f>E141*F141</f>
        <v>0</v>
      </c>
      <c r="H141" s="1218"/>
    </row>
    <row r="142" spans="2:8" s="1180" customFormat="1" ht="18" customHeight="1" x14ac:dyDescent="0.25">
      <c r="B142" s="831"/>
      <c r="C142" s="1209" t="s">
        <v>1514</v>
      </c>
      <c r="D142" s="1097" t="s">
        <v>149</v>
      </c>
      <c r="E142" s="2465">
        <v>2</v>
      </c>
      <c r="F142" s="914">
        <v>0</v>
      </c>
      <c r="G142" s="915">
        <f t="shared" ref="G142:G176" si="5">E142*F142</f>
        <v>0</v>
      </c>
      <c r="H142" s="1218"/>
    </row>
    <row r="143" spans="2:8" s="1180" customFormat="1" ht="18" customHeight="1" x14ac:dyDescent="0.25">
      <c r="B143" s="831"/>
      <c r="C143" s="1209" t="s">
        <v>1515</v>
      </c>
      <c r="D143" s="1097" t="s">
        <v>149</v>
      </c>
      <c r="E143" s="2465">
        <v>5</v>
      </c>
      <c r="F143" s="914">
        <v>0</v>
      </c>
      <c r="G143" s="915">
        <f t="shared" si="5"/>
        <v>0</v>
      </c>
      <c r="H143" s="1218"/>
    </row>
    <row r="144" spans="2:8" s="1180" customFormat="1" ht="18" customHeight="1" x14ac:dyDescent="0.25">
      <c r="B144" s="831"/>
      <c r="C144" s="1209" t="s">
        <v>1516</v>
      </c>
      <c r="D144" s="1097" t="s">
        <v>149</v>
      </c>
      <c r="E144" s="2465">
        <v>7</v>
      </c>
      <c r="F144" s="914">
        <v>0</v>
      </c>
      <c r="G144" s="915">
        <f t="shared" si="5"/>
        <v>0</v>
      </c>
      <c r="H144" s="1218"/>
    </row>
    <row r="145" spans="2:8" s="1180" customFormat="1" ht="18" customHeight="1" x14ac:dyDescent="0.25">
      <c r="B145" s="831"/>
      <c r="C145" s="1209" t="s">
        <v>1517</v>
      </c>
      <c r="D145" s="1097" t="s">
        <v>149</v>
      </c>
      <c r="E145" s="2465">
        <v>2</v>
      </c>
      <c r="F145" s="914">
        <v>0</v>
      </c>
      <c r="G145" s="915">
        <f t="shared" si="5"/>
        <v>0</v>
      </c>
      <c r="H145" s="1218"/>
    </row>
    <row r="146" spans="2:8" s="1180" customFormat="1" ht="106.5" customHeight="1" x14ac:dyDescent="0.25">
      <c r="B146" s="831"/>
      <c r="C146" s="836" t="s">
        <v>533</v>
      </c>
      <c r="D146" s="1097" t="s">
        <v>149</v>
      </c>
      <c r="E146" s="2572">
        <v>1</v>
      </c>
      <c r="F146" s="914">
        <v>0</v>
      </c>
      <c r="G146" s="915">
        <f t="shared" si="5"/>
        <v>0</v>
      </c>
      <c r="H146" s="1218"/>
    </row>
    <row r="147" spans="2:8" s="1180" customFormat="1" ht="18" customHeight="1" x14ac:dyDescent="0.25">
      <c r="B147" s="831"/>
      <c r="C147" s="836" t="s">
        <v>1518</v>
      </c>
      <c r="D147" s="1097" t="s">
        <v>149</v>
      </c>
      <c r="E147" s="2572">
        <v>1</v>
      </c>
      <c r="F147" s="914">
        <v>0</v>
      </c>
      <c r="G147" s="915">
        <f t="shared" si="5"/>
        <v>0</v>
      </c>
      <c r="H147" s="1218"/>
    </row>
    <row r="148" spans="2:8" s="1180" customFormat="1" ht="51" x14ac:dyDescent="0.25">
      <c r="B148" s="831"/>
      <c r="C148" s="836" t="s">
        <v>1519</v>
      </c>
      <c r="D148" s="1097" t="s">
        <v>149</v>
      </c>
      <c r="E148" s="2572">
        <v>3</v>
      </c>
      <c r="F148" s="914">
        <v>0</v>
      </c>
      <c r="G148" s="915">
        <f t="shared" si="5"/>
        <v>0</v>
      </c>
      <c r="H148" s="1218"/>
    </row>
    <row r="149" spans="2:8" s="1180" customFormat="1" ht="18" customHeight="1" x14ac:dyDescent="0.25">
      <c r="B149" s="831"/>
      <c r="C149" s="836" t="s">
        <v>1520</v>
      </c>
      <c r="D149" s="1097" t="s">
        <v>149</v>
      </c>
      <c r="E149" s="2572">
        <v>2</v>
      </c>
      <c r="F149" s="914">
        <v>0</v>
      </c>
      <c r="G149" s="915">
        <f t="shared" si="5"/>
        <v>0</v>
      </c>
      <c r="H149" s="1218"/>
    </row>
    <row r="150" spans="2:8" s="1180" customFormat="1" ht="18" customHeight="1" x14ac:dyDescent="0.25">
      <c r="B150" s="831"/>
      <c r="C150" s="836" t="s">
        <v>1521</v>
      </c>
      <c r="D150" s="1097" t="s">
        <v>149</v>
      </c>
      <c r="E150" s="2572">
        <v>2</v>
      </c>
      <c r="F150" s="914">
        <v>0</v>
      </c>
      <c r="G150" s="915">
        <f t="shared" si="5"/>
        <v>0</v>
      </c>
      <c r="H150" s="1218"/>
    </row>
    <row r="151" spans="2:8" x14ac:dyDescent="0.2">
      <c r="B151" s="970"/>
      <c r="C151" s="836" t="s">
        <v>1522</v>
      </c>
      <c r="D151" s="1097" t="s">
        <v>149</v>
      </c>
      <c r="E151" s="2572">
        <v>1</v>
      </c>
      <c r="F151" s="914">
        <v>0</v>
      </c>
      <c r="G151" s="915">
        <f t="shared" si="5"/>
        <v>0</v>
      </c>
      <c r="H151" s="748"/>
    </row>
    <row r="152" spans="2:8" ht="18" customHeight="1" x14ac:dyDescent="0.2">
      <c r="B152" s="811"/>
      <c r="C152" s="836" t="s">
        <v>1523</v>
      </c>
      <c r="D152" s="1097" t="s">
        <v>149</v>
      </c>
      <c r="E152" s="2572">
        <v>2</v>
      </c>
      <c r="F152" s="914">
        <v>0</v>
      </c>
      <c r="G152" s="915">
        <f t="shared" si="5"/>
        <v>0</v>
      </c>
      <c r="H152" s="748"/>
    </row>
    <row r="153" spans="2:8" ht="18" customHeight="1" x14ac:dyDescent="0.2">
      <c r="B153" s="811"/>
      <c r="C153" s="836" t="s">
        <v>1524</v>
      </c>
      <c r="D153" s="1097" t="s">
        <v>149</v>
      </c>
      <c r="E153" s="2572">
        <v>2</v>
      </c>
      <c r="F153" s="914">
        <v>0</v>
      </c>
      <c r="G153" s="915">
        <f t="shared" si="5"/>
        <v>0</v>
      </c>
      <c r="H153" s="748"/>
    </row>
    <row r="154" spans="2:8" ht="18" customHeight="1" x14ac:dyDescent="0.2">
      <c r="B154" s="811"/>
      <c r="C154" s="836" t="s">
        <v>1525</v>
      </c>
      <c r="D154" s="1097" t="s">
        <v>149</v>
      </c>
      <c r="E154" s="2572">
        <v>1</v>
      </c>
      <c r="F154" s="914">
        <v>0</v>
      </c>
      <c r="G154" s="915">
        <f t="shared" si="5"/>
        <v>0</v>
      </c>
      <c r="H154" s="748"/>
    </row>
    <row r="155" spans="2:8" ht="18" customHeight="1" x14ac:dyDescent="0.2">
      <c r="B155" s="811"/>
      <c r="C155" s="836" t="s">
        <v>1526</v>
      </c>
      <c r="D155" s="1097" t="s">
        <v>149</v>
      </c>
      <c r="E155" s="2572">
        <v>1</v>
      </c>
      <c r="F155" s="914">
        <v>0</v>
      </c>
      <c r="G155" s="915">
        <f t="shared" si="5"/>
        <v>0</v>
      </c>
      <c r="H155" s="748"/>
    </row>
    <row r="156" spans="2:8" ht="18" customHeight="1" x14ac:dyDescent="0.2">
      <c r="B156" s="811"/>
      <c r="C156" s="836" t="s">
        <v>1527</v>
      </c>
      <c r="D156" s="1097" t="s">
        <v>149</v>
      </c>
      <c r="E156" s="2572">
        <v>1</v>
      </c>
      <c r="F156" s="914">
        <v>0</v>
      </c>
      <c r="G156" s="915">
        <f t="shared" si="5"/>
        <v>0</v>
      </c>
      <c r="H156" s="748"/>
    </row>
    <row r="157" spans="2:8" ht="48" customHeight="1" x14ac:dyDescent="0.2">
      <c r="B157" s="811"/>
      <c r="C157" s="836" t="s">
        <v>1528</v>
      </c>
      <c r="D157" s="1097" t="s">
        <v>149</v>
      </c>
      <c r="E157" s="2572">
        <v>1</v>
      </c>
      <c r="F157" s="914">
        <v>0</v>
      </c>
      <c r="G157" s="915">
        <f t="shared" si="5"/>
        <v>0</v>
      </c>
      <c r="H157" s="748"/>
    </row>
    <row r="158" spans="2:8" s="1180" customFormat="1" ht="23.45" customHeight="1" x14ac:dyDescent="0.25">
      <c r="B158" s="831"/>
      <c r="C158" s="836" t="s">
        <v>1529</v>
      </c>
      <c r="D158" s="1097" t="s">
        <v>149</v>
      </c>
      <c r="E158" s="2572">
        <v>1</v>
      </c>
      <c r="F158" s="914">
        <v>0</v>
      </c>
      <c r="G158" s="915">
        <f t="shared" si="5"/>
        <v>0</v>
      </c>
      <c r="H158" s="1218"/>
    </row>
    <row r="159" spans="2:8" ht="101.25" customHeight="1" x14ac:dyDescent="0.2">
      <c r="B159" s="811"/>
      <c r="C159" s="836" t="s">
        <v>533</v>
      </c>
      <c r="D159" s="1097" t="s">
        <v>149</v>
      </c>
      <c r="E159" s="2572">
        <v>1</v>
      </c>
      <c r="F159" s="914">
        <v>0</v>
      </c>
      <c r="G159" s="915">
        <f t="shared" si="5"/>
        <v>0</v>
      </c>
      <c r="H159" s="748"/>
    </row>
    <row r="160" spans="2:8" ht="18" customHeight="1" x14ac:dyDescent="0.2">
      <c r="B160" s="811"/>
      <c r="C160" s="1209" t="s">
        <v>1530</v>
      </c>
      <c r="D160" s="1097" t="s">
        <v>149</v>
      </c>
      <c r="E160" s="2465">
        <v>1</v>
      </c>
      <c r="F160" s="914">
        <v>0</v>
      </c>
      <c r="G160" s="915">
        <f t="shared" si="5"/>
        <v>0</v>
      </c>
      <c r="H160" s="748"/>
    </row>
    <row r="161" spans="2:8" ht="18" customHeight="1" x14ac:dyDescent="0.2">
      <c r="B161" s="811"/>
      <c r="C161" s="1209" t="s">
        <v>1531</v>
      </c>
      <c r="D161" s="1097" t="s">
        <v>149</v>
      </c>
      <c r="E161" s="2465">
        <v>2</v>
      </c>
      <c r="F161" s="914">
        <v>0</v>
      </c>
      <c r="G161" s="915">
        <f t="shared" si="5"/>
        <v>0</v>
      </c>
      <c r="H161" s="748"/>
    </row>
    <row r="162" spans="2:8" ht="18" customHeight="1" x14ac:dyDescent="0.2">
      <c r="B162" s="811"/>
      <c r="C162" s="1209" t="s">
        <v>1532</v>
      </c>
      <c r="D162" s="1097" t="s">
        <v>149</v>
      </c>
      <c r="E162" s="2465">
        <v>1</v>
      </c>
      <c r="F162" s="914">
        <v>0</v>
      </c>
      <c r="G162" s="915">
        <f t="shared" si="5"/>
        <v>0</v>
      </c>
      <c r="H162" s="748"/>
    </row>
    <row r="163" spans="2:8" s="1180" customFormat="1" ht="29.25" customHeight="1" x14ac:dyDescent="0.25">
      <c r="B163" s="831"/>
      <c r="C163" s="1209" t="s">
        <v>1533</v>
      </c>
      <c r="D163" s="1097" t="s">
        <v>149</v>
      </c>
      <c r="E163" s="2465">
        <v>1</v>
      </c>
      <c r="F163" s="914">
        <v>0</v>
      </c>
      <c r="G163" s="915">
        <f t="shared" si="5"/>
        <v>0</v>
      </c>
      <c r="H163" s="1218"/>
    </row>
    <row r="164" spans="2:8" ht="18" customHeight="1" x14ac:dyDescent="0.2">
      <c r="B164" s="811"/>
      <c r="C164" s="1209" t="s">
        <v>1534</v>
      </c>
      <c r="D164" s="1097" t="s">
        <v>149</v>
      </c>
      <c r="E164" s="2465">
        <v>1</v>
      </c>
      <c r="F164" s="914">
        <v>0</v>
      </c>
      <c r="G164" s="915">
        <f t="shared" si="5"/>
        <v>0</v>
      </c>
      <c r="H164" s="748"/>
    </row>
    <row r="165" spans="2:8" s="1180" customFormat="1" ht="18" customHeight="1" x14ac:dyDescent="0.25">
      <c r="B165" s="831"/>
      <c r="C165" s="1209" t="s">
        <v>1535</v>
      </c>
      <c r="D165" s="1097" t="s">
        <v>149</v>
      </c>
      <c r="E165" s="2465">
        <v>2</v>
      </c>
      <c r="F165" s="914">
        <v>0</v>
      </c>
      <c r="G165" s="915">
        <f t="shared" si="5"/>
        <v>0</v>
      </c>
      <c r="H165" s="1218"/>
    </row>
    <row r="166" spans="2:8" x14ac:dyDescent="0.2">
      <c r="B166" s="970"/>
      <c r="C166" s="1209" t="s">
        <v>1536</v>
      </c>
      <c r="D166" s="1097" t="s">
        <v>149</v>
      </c>
      <c r="E166" s="2465">
        <v>1</v>
      </c>
      <c r="F166" s="914">
        <v>0</v>
      </c>
      <c r="G166" s="915">
        <f t="shared" si="5"/>
        <v>0</v>
      </c>
      <c r="H166" s="748"/>
    </row>
    <row r="167" spans="2:8" ht="18" customHeight="1" x14ac:dyDescent="0.2">
      <c r="B167" s="811"/>
      <c r="C167" s="1209" t="s">
        <v>1537</v>
      </c>
      <c r="D167" s="1097" t="s">
        <v>149</v>
      </c>
      <c r="E167" s="2465">
        <v>1</v>
      </c>
      <c r="F167" s="914">
        <v>0</v>
      </c>
      <c r="G167" s="915">
        <f t="shared" si="5"/>
        <v>0</v>
      </c>
      <c r="H167" s="748"/>
    </row>
    <row r="168" spans="2:8" ht="18" customHeight="1" x14ac:dyDescent="0.2">
      <c r="B168" s="811"/>
      <c r="C168" s="1209" t="s">
        <v>1538</v>
      </c>
      <c r="D168" s="1097" t="s">
        <v>149</v>
      </c>
      <c r="E168" s="2465">
        <v>1</v>
      </c>
      <c r="F168" s="914">
        <v>0</v>
      </c>
      <c r="G168" s="915">
        <f t="shared" si="5"/>
        <v>0</v>
      </c>
      <c r="H168" s="748"/>
    </row>
    <row r="169" spans="2:8" ht="18" customHeight="1" x14ac:dyDescent="0.2">
      <c r="B169" s="811"/>
      <c r="C169" s="1209" t="s">
        <v>1539</v>
      </c>
      <c r="D169" s="1097" t="s">
        <v>149</v>
      </c>
      <c r="E169" s="2465">
        <v>1</v>
      </c>
      <c r="F169" s="914">
        <v>0</v>
      </c>
      <c r="G169" s="915">
        <f t="shared" si="5"/>
        <v>0</v>
      </c>
      <c r="H169" s="748"/>
    </row>
    <row r="170" spans="2:8" ht="18" customHeight="1" x14ac:dyDescent="0.2">
      <c r="B170" s="811"/>
      <c r="C170" s="1209" t="s">
        <v>1540</v>
      </c>
      <c r="D170" s="1097" t="s">
        <v>149</v>
      </c>
      <c r="E170" s="2465">
        <v>21</v>
      </c>
      <c r="F170" s="914">
        <v>0</v>
      </c>
      <c r="G170" s="915">
        <f t="shared" si="5"/>
        <v>0</v>
      </c>
      <c r="H170" s="748"/>
    </row>
    <row r="171" spans="2:8" ht="18" customHeight="1" x14ac:dyDescent="0.2">
      <c r="B171" s="811"/>
      <c r="C171" s="1209" t="s">
        <v>1541</v>
      </c>
      <c r="D171" s="1097" t="s">
        <v>149</v>
      </c>
      <c r="E171" s="2465">
        <v>3</v>
      </c>
      <c r="F171" s="914">
        <v>0</v>
      </c>
      <c r="G171" s="915">
        <f t="shared" si="5"/>
        <v>0</v>
      </c>
      <c r="H171" s="748"/>
    </row>
    <row r="172" spans="2:8" ht="30" customHeight="1" x14ac:dyDescent="0.2">
      <c r="B172" s="811"/>
      <c r="C172" s="1209" t="s">
        <v>1542</v>
      </c>
      <c r="D172" s="1097" t="s">
        <v>95</v>
      </c>
      <c r="E172" s="2465">
        <v>18.3</v>
      </c>
      <c r="F172" s="914">
        <v>0</v>
      </c>
      <c r="G172" s="915">
        <f t="shared" si="5"/>
        <v>0</v>
      </c>
      <c r="H172" s="748"/>
    </row>
    <row r="173" spans="2:8" s="1180" customFormat="1" ht="30" customHeight="1" x14ac:dyDescent="0.25">
      <c r="B173" s="831"/>
      <c r="C173" s="1209" t="s">
        <v>1543</v>
      </c>
      <c r="D173" s="1097" t="s">
        <v>117</v>
      </c>
      <c r="E173" s="2465">
        <v>2.2000000000000002</v>
      </c>
      <c r="F173" s="914">
        <v>0</v>
      </c>
      <c r="G173" s="915">
        <f t="shared" si="5"/>
        <v>0</v>
      </c>
      <c r="H173" s="1218"/>
    </row>
    <row r="174" spans="2:8" ht="18" customHeight="1" x14ac:dyDescent="0.2">
      <c r="B174" s="811"/>
      <c r="C174" s="1209" t="s">
        <v>1544</v>
      </c>
      <c r="D174" s="1097" t="s">
        <v>112</v>
      </c>
      <c r="E174" s="2465">
        <v>20</v>
      </c>
      <c r="F174" s="914">
        <v>0</v>
      </c>
      <c r="G174" s="915">
        <f t="shared" si="5"/>
        <v>0</v>
      </c>
      <c r="H174" s="748"/>
    </row>
    <row r="175" spans="2:8" ht="18" customHeight="1" x14ac:dyDescent="0.2">
      <c r="B175" s="811"/>
      <c r="C175" s="1209" t="s">
        <v>1545</v>
      </c>
      <c r="D175" s="1097" t="s">
        <v>1546</v>
      </c>
      <c r="E175" s="2465">
        <v>2</v>
      </c>
      <c r="F175" s="914">
        <v>0</v>
      </c>
      <c r="G175" s="915">
        <f t="shared" si="5"/>
        <v>0</v>
      </c>
      <c r="H175" s="748"/>
    </row>
    <row r="176" spans="2:8" ht="18" customHeight="1" x14ac:dyDescent="0.2">
      <c r="B176" s="811"/>
      <c r="C176" s="1209" t="s">
        <v>1547</v>
      </c>
      <c r="D176" s="1097" t="s">
        <v>149</v>
      </c>
      <c r="E176" s="2465">
        <v>1</v>
      </c>
      <c r="F176" s="914">
        <v>0</v>
      </c>
      <c r="G176" s="915">
        <f t="shared" si="5"/>
        <v>0</v>
      </c>
      <c r="H176" s="748"/>
    </row>
    <row r="177" spans="2:9" ht="14.45" customHeight="1" x14ac:dyDescent="0.2">
      <c r="B177" s="2757" t="s">
        <v>180</v>
      </c>
      <c r="C177" s="2758" t="s">
        <v>1548</v>
      </c>
      <c r="D177" s="2759"/>
      <c r="E177" s="2760"/>
      <c r="F177" s="2761"/>
      <c r="G177" s="2762"/>
      <c r="H177" s="748"/>
    </row>
    <row r="178" spans="2:9" ht="328.9" customHeight="1" x14ac:dyDescent="0.2">
      <c r="B178" s="2763"/>
      <c r="C178" s="2764" t="s">
        <v>1549</v>
      </c>
      <c r="D178" s="2759" t="s">
        <v>149</v>
      </c>
      <c r="E178" s="2760">
        <v>1</v>
      </c>
      <c r="F178" s="2761"/>
      <c r="G178" s="2765"/>
      <c r="H178" s="748"/>
    </row>
    <row r="179" spans="2:9" ht="265.89999999999998" customHeight="1" x14ac:dyDescent="0.2">
      <c r="B179" s="2763"/>
      <c r="C179" s="2764" t="s">
        <v>1550</v>
      </c>
      <c r="D179" s="2759" t="s">
        <v>560</v>
      </c>
      <c r="E179" s="2760">
        <v>1</v>
      </c>
      <c r="F179" s="2761"/>
      <c r="G179" s="2765"/>
      <c r="H179" s="748"/>
    </row>
    <row r="180" spans="2:9" ht="112.15" customHeight="1" x14ac:dyDescent="0.2">
      <c r="B180" s="2763"/>
      <c r="C180" s="2764" t="s">
        <v>1551</v>
      </c>
      <c r="D180" s="2759" t="s">
        <v>149</v>
      </c>
      <c r="E180" s="2760">
        <v>1</v>
      </c>
      <c r="F180" s="2761"/>
      <c r="G180" s="2765"/>
      <c r="H180" s="748"/>
    </row>
    <row r="181" spans="2:9" ht="96" customHeight="1" x14ac:dyDescent="0.2">
      <c r="B181" s="2763"/>
      <c r="C181" s="2764" t="s">
        <v>1352</v>
      </c>
      <c r="D181" s="2759" t="s">
        <v>560</v>
      </c>
      <c r="E181" s="2760">
        <v>1</v>
      </c>
      <c r="F181" s="2761"/>
      <c r="G181" s="2765"/>
      <c r="H181" s="748"/>
    </row>
    <row r="182" spans="2:9" ht="344.45" customHeight="1" x14ac:dyDescent="0.2">
      <c r="B182" s="2763"/>
      <c r="C182" s="2764" t="s">
        <v>923</v>
      </c>
      <c r="D182" s="2759" t="s">
        <v>149</v>
      </c>
      <c r="E182" s="2760">
        <v>1</v>
      </c>
      <c r="F182" s="2761"/>
      <c r="G182" s="2765"/>
      <c r="H182" s="748"/>
    </row>
    <row r="183" spans="2:9" ht="18" customHeight="1" x14ac:dyDescent="0.2">
      <c r="B183" s="2763"/>
      <c r="C183" s="2766" t="s">
        <v>924</v>
      </c>
      <c r="D183" s="2759" t="s">
        <v>560</v>
      </c>
      <c r="E183" s="2760">
        <v>1</v>
      </c>
      <c r="F183" s="2761"/>
      <c r="G183" s="2765"/>
      <c r="H183" s="748"/>
    </row>
    <row r="184" spans="2:9" ht="18" customHeight="1" x14ac:dyDescent="0.2">
      <c r="B184" s="2763"/>
      <c r="C184" s="2767" t="s">
        <v>2522</v>
      </c>
      <c r="D184" s="2768" t="s">
        <v>560</v>
      </c>
      <c r="E184" s="2769">
        <v>1</v>
      </c>
      <c r="F184" s="2761">
        <v>0</v>
      </c>
      <c r="G184" s="2765">
        <f t="shared" ref="G184" si="6">E184*F184</f>
        <v>0</v>
      </c>
      <c r="H184" s="748"/>
    </row>
    <row r="185" spans="2:9" s="1180" customFormat="1" ht="16.5" customHeight="1" x14ac:dyDescent="0.25">
      <c r="B185" s="984" t="s">
        <v>17</v>
      </c>
      <c r="C185" s="1192" t="s">
        <v>302</v>
      </c>
      <c r="D185" s="1193"/>
      <c r="E185" s="1194"/>
      <c r="F185" s="1195"/>
      <c r="G185" s="1138">
        <f>SUM(G129:G183)</f>
        <v>0</v>
      </c>
      <c r="H185" s="1218"/>
      <c r="I185" s="1197"/>
    </row>
    <row r="186" spans="2:9" x14ac:dyDescent="0.2">
      <c r="H186" s="748"/>
    </row>
    <row r="188" spans="2:9" ht="23.25" x14ac:dyDescent="0.2">
      <c r="B188" s="3236" t="s">
        <v>1552</v>
      </c>
      <c r="C188" s="3237"/>
      <c r="D188" s="3237"/>
      <c r="E188" s="3237"/>
      <c r="F188" s="3237"/>
      <c r="G188" s="3238"/>
      <c r="H188" s="748"/>
    </row>
    <row r="189" spans="2:9" ht="15" x14ac:dyDescent="0.2">
      <c r="B189" s="3269" t="s">
        <v>539</v>
      </c>
      <c r="C189" s="3270"/>
      <c r="D189" s="3270"/>
      <c r="E189" s="3270"/>
      <c r="F189" s="3270"/>
      <c r="G189" s="3271"/>
      <c r="H189" s="748"/>
    </row>
    <row r="190" spans="2:9" ht="38.25" customHeight="1" x14ac:dyDescent="0.2">
      <c r="B190" s="3275" t="s">
        <v>540</v>
      </c>
      <c r="C190" s="3276"/>
      <c r="D190" s="3276"/>
      <c r="E190" s="3276"/>
      <c r="F190" s="3276"/>
      <c r="G190" s="3277"/>
      <c r="H190" s="748"/>
    </row>
    <row r="191" spans="2:9" ht="30.75" customHeight="1" x14ac:dyDescent="0.2">
      <c r="B191" s="3275" t="s">
        <v>541</v>
      </c>
      <c r="C191" s="3276"/>
      <c r="D191" s="3276"/>
      <c r="E191" s="3276"/>
      <c r="F191" s="3276"/>
      <c r="G191" s="3277"/>
      <c r="H191" s="748"/>
    </row>
    <row r="192" spans="2:9" ht="37.5" customHeight="1" x14ac:dyDescent="0.2">
      <c r="B192" s="3275" t="s">
        <v>542</v>
      </c>
      <c r="C192" s="3276"/>
      <c r="D192" s="3276"/>
      <c r="E192" s="3276"/>
      <c r="F192" s="3276"/>
      <c r="G192" s="3277"/>
      <c r="H192" s="748"/>
    </row>
    <row r="193" spans="2:8" ht="36" customHeight="1" x14ac:dyDescent="0.2">
      <c r="B193" s="3275" t="s">
        <v>543</v>
      </c>
      <c r="C193" s="3276"/>
      <c r="D193" s="3276"/>
      <c r="E193" s="3276"/>
      <c r="F193" s="3276"/>
      <c r="G193" s="3277"/>
      <c r="H193" s="748"/>
    </row>
    <row r="194" spans="2:8" ht="48" customHeight="1" x14ac:dyDescent="0.2">
      <c r="B194" s="3278" t="s">
        <v>544</v>
      </c>
      <c r="C194" s="3279"/>
      <c r="D194" s="3279"/>
      <c r="E194" s="3279"/>
      <c r="F194" s="3279"/>
      <c r="G194" s="3280"/>
      <c r="H194" s="748"/>
    </row>
    <row r="195" spans="2:8" ht="27.75" customHeight="1" x14ac:dyDescent="0.2">
      <c r="B195" s="3272" t="s">
        <v>545</v>
      </c>
      <c r="C195" s="3273"/>
      <c r="D195" s="3273"/>
      <c r="E195" s="3273"/>
      <c r="F195" s="3273"/>
      <c r="G195" s="3274"/>
      <c r="H195" s="748"/>
    </row>
    <row r="196" spans="2:8" x14ac:dyDescent="0.2">
      <c r="B196" s="520"/>
      <c r="C196" s="1220"/>
      <c r="D196" s="522"/>
      <c r="E196" s="523"/>
      <c r="F196" s="524"/>
      <c r="G196" s="1221"/>
      <c r="H196" s="748"/>
    </row>
    <row r="197" spans="2:8" ht="24" x14ac:dyDescent="0.2">
      <c r="B197" s="526" t="s">
        <v>368</v>
      </c>
      <c r="C197" s="527" t="s">
        <v>84</v>
      </c>
      <c r="D197" s="527" t="s">
        <v>546</v>
      </c>
      <c r="E197" s="528" t="s">
        <v>547</v>
      </c>
      <c r="F197" s="529" t="s">
        <v>548</v>
      </c>
      <c r="G197" s="527" t="s">
        <v>549</v>
      </c>
      <c r="H197" s="748"/>
    </row>
    <row r="198" spans="2:8" x14ac:dyDescent="0.2">
      <c r="B198" s="2129"/>
      <c r="C198" s="2130"/>
      <c r="D198" s="2657"/>
      <c r="E198" s="2573"/>
      <c r="F198" s="2378"/>
      <c r="G198" s="2379"/>
      <c r="H198" s="748"/>
    </row>
    <row r="199" spans="2:8" x14ac:dyDescent="0.2">
      <c r="B199" s="2385" t="s">
        <v>1451</v>
      </c>
      <c r="C199" s="2364" t="s">
        <v>550</v>
      </c>
      <c r="D199" s="2365" t="s">
        <v>551</v>
      </c>
      <c r="E199" s="2366" t="s">
        <v>551</v>
      </c>
      <c r="F199" s="2386"/>
      <c r="G199" s="2386"/>
      <c r="H199" s="748"/>
    </row>
    <row r="200" spans="2:8" x14ac:dyDescent="0.2">
      <c r="B200" s="2387"/>
      <c r="C200" s="2356"/>
      <c r="D200" s="2367"/>
      <c r="E200" s="2368"/>
      <c r="F200" s="2386"/>
      <c r="G200" s="2386"/>
      <c r="H200" s="748"/>
    </row>
    <row r="201" spans="2:8" ht="72" x14ac:dyDescent="0.2">
      <c r="B201" s="2387" t="s">
        <v>8</v>
      </c>
      <c r="C201" s="2369" t="s">
        <v>1452</v>
      </c>
      <c r="D201" s="2163" t="s">
        <v>553</v>
      </c>
      <c r="E201" s="2164">
        <v>1</v>
      </c>
      <c r="F201" s="2344">
        <v>0</v>
      </c>
      <c r="G201" s="2388">
        <f>E201*F201</f>
        <v>0</v>
      </c>
      <c r="H201" s="748"/>
    </row>
    <row r="202" spans="2:8" x14ac:dyDescent="0.2">
      <c r="B202" s="2387"/>
      <c r="C202" s="2356"/>
      <c r="D202" s="2163"/>
      <c r="E202" s="2164"/>
      <c r="F202" s="2172"/>
      <c r="G202" s="2389"/>
      <c r="H202" s="748"/>
    </row>
    <row r="203" spans="2:8" ht="60" x14ac:dyDescent="0.2">
      <c r="B203" s="2387" t="s">
        <v>15</v>
      </c>
      <c r="C203" s="2369" t="s">
        <v>554</v>
      </c>
      <c r="D203" s="2163" t="s">
        <v>123</v>
      </c>
      <c r="E203" s="2164">
        <v>1</v>
      </c>
      <c r="F203" s="2344">
        <v>0</v>
      </c>
      <c r="G203" s="2388">
        <f>E203*F203</f>
        <v>0</v>
      </c>
      <c r="H203" s="748"/>
    </row>
    <row r="204" spans="2:8" x14ac:dyDescent="0.2">
      <c r="B204" s="2387"/>
      <c r="C204" s="2356"/>
      <c r="D204" s="2163"/>
      <c r="E204" s="2164"/>
      <c r="F204" s="2172"/>
      <c r="G204" s="2389"/>
      <c r="H204" s="748"/>
    </row>
    <row r="205" spans="2:8" ht="24" x14ac:dyDescent="0.2">
      <c r="B205" s="2387" t="s">
        <v>20</v>
      </c>
      <c r="C205" s="2390" t="s">
        <v>555</v>
      </c>
      <c r="D205" s="2163" t="s">
        <v>553</v>
      </c>
      <c r="E205" s="2164">
        <v>1</v>
      </c>
      <c r="F205" s="2344">
        <v>0</v>
      </c>
      <c r="G205" s="2388">
        <f>E205*F205</f>
        <v>0</v>
      </c>
      <c r="H205" s="748"/>
    </row>
    <row r="206" spans="2:8" x14ac:dyDescent="0.2">
      <c r="B206" s="2387"/>
      <c r="C206" s="2356"/>
      <c r="D206" s="2163"/>
      <c r="E206" s="2164"/>
      <c r="F206" s="2172"/>
      <c r="G206" s="2389"/>
      <c r="H206" s="748"/>
    </row>
    <row r="207" spans="2:8" x14ac:dyDescent="0.2">
      <c r="B207" s="2387"/>
      <c r="C207" s="2356"/>
      <c r="D207" s="2163"/>
      <c r="E207" s="2164"/>
      <c r="F207" s="2172"/>
      <c r="G207" s="2391"/>
      <c r="H207" s="748"/>
    </row>
    <row r="208" spans="2:8" ht="24" x14ac:dyDescent="0.2">
      <c r="B208" s="2387" t="s">
        <v>24</v>
      </c>
      <c r="C208" s="2356" t="s">
        <v>556</v>
      </c>
      <c r="D208" s="2163" t="s">
        <v>123</v>
      </c>
      <c r="E208" s="2164">
        <v>2</v>
      </c>
      <c r="F208" s="2344">
        <v>0</v>
      </c>
      <c r="G208" s="2388">
        <f>E208*F208</f>
        <v>0</v>
      </c>
      <c r="H208" s="748"/>
    </row>
    <row r="209" spans="2:8" x14ac:dyDescent="0.2">
      <c r="B209" s="2387"/>
      <c r="C209" s="2356"/>
      <c r="D209" s="2163"/>
      <c r="E209" s="2164"/>
      <c r="F209" s="2172"/>
      <c r="G209" s="2389"/>
      <c r="H209" s="748"/>
    </row>
    <row r="210" spans="2:8" ht="24" x14ac:dyDescent="0.2">
      <c r="B210" s="2387" t="s">
        <v>29</v>
      </c>
      <c r="C210" s="2356" t="s">
        <v>557</v>
      </c>
      <c r="D210" s="2163" t="s">
        <v>123</v>
      </c>
      <c r="E210" s="2164">
        <v>1</v>
      </c>
      <c r="F210" s="2344">
        <v>0</v>
      </c>
      <c r="G210" s="2388">
        <f>E210*F210</f>
        <v>0</v>
      </c>
      <c r="H210" s="748"/>
    </row>
    <row r="211" spans="2:8" x14ac:dyDescent="0.2">
      <c r="B211" s="2387"/>
      <c r="C211" s="2356"/>
      <c r="D211" s="2163"/>
      <c r="E211" s="2164"/>
      <c r="F211" s="2172"/>
      <c r="G211" s="2389"/>
      <c r="H211" s="748"/>
    </row>
    <row r="212" spans="2:8" x14ac:dyDescent="0.2">
      <c r="B212" s="2387" t="s">
        <v>33</v>
      </c>
      <c r="C212" s="2356" t="s">
        <v>558</v>
      </c>
      <c r="D212" s="2163" t="s">
        <v>123</v>
      </c>
      <c r="E212" s="2164">
        <v>1</v>
      </c>
      <c r="F212" s="2344">
        <v>0</v>
      </c>
      <c r="G212" s="2388">
        <f>E212*F212</f>
        <v>0</v>
      </c>
      <c r="H212" s="748"/>
    </row>
    <row r="213" spans="2:8" x14ac:dyDescent="0.2">
      <c r="B213" s="2387"/>
      <c r="C213" s="2356"/>
      <c r="D213" s="2163"/>
      <c r="E213" s="2164"/>
      <c r="F213" s="2172"/>
      <c r="G213" s="2391"/>
      <c r="H213" s="748"/>
    </row>
    <row r="214" spans="2:8" ht="60" x14ac:dyDescent="0.2">
      <c r="B214" s="2387" t="s">
        <v>38</v>
      </c>
      <c r="C214" s="2356" t="s">
        <v>559</v>
      </c>
      <c r="D214" s="2163" t="s">
        <v>560</v>
      </c>
      <c r="E214" s="2164">
        <v>1</v>
      </c>
      <c r="F214" s="2344">
        <v>0</v>
      </c>
      <c r="G214" s="2388">
        <f>E214*F214</f>
        <v>0</v>
      </c>
      <c r="H214" s="748"/>
    </row>
    <row r="215" spans="2:8" x14ac:dyDescent="0.2">
      <c r="B215" s="2387"/>
      <c r="C215" s="2356"/>
      <c r="D215" s="2163"/>
      <c r="E215" s="2164"/>
      <c r="F215" s="2172"/>
      <c r="G215" s="2391"/>
      <c r="H215" s="748"/>
    </row>
    <row r="216" spans="2:8" ht="36" x14ac:dyDescent="0.2">
      <c r="B216" s="2387" t="s">
        <v>43</v>
      </c>
      <c r="C216" s="2356" t="s">
        <v>561</v>
      </c>
      <c r="D216" s="2163" t="s">
        <v>123</v>
      </c>
      <c r="E216" s="2164">
        <v>1</v>
      </c>
      <c r="F216" s="2344">
        <v>0</v>
      </c>
      <c r="G216" s="2388">
        <f>E216*F216</f>
        <v>0</v>
      </c>
      <c r="H216" s="748"/>
    </row>
    <row r="217" spans="2:8" x14ac:dyDescent="0.2">
      <c r="B217" s="2387"/>
      <c r="C217" s="2356"/>
      <c r="D217" s="2163"/>
      <c r="E217" s="2164"/>
      <c r="F217" s="2172"/>
      <c r="G217" s="2391"/>
      <c r="H217" s="748"/>
    </row>
    <row r="218" spans="2:8" ht="24" x14ac:dyDescent="0.2">
      <c r="B218" s="2387" t="s">
        <v>562</v>
      </c>
      <c r="C218" s="2356" t="s">
        <v>749</v>
      </c>
      <c r="D218" s="2163" t="s">
        <v>123</v>
      </c>
      <c r="E218" s="2164">
        <v>1</v>
      </c>
      <c r="F218" s="2344">
        <v>0</v>
      </c>
      <c r="G218" s="2388">
        <f>E218*F218</f>
        <v>0</v>
      </c>
      <c r="H218" s="748"/>
    </row>
    <row r="219" spans="2:8" x14ac:dyDescent="0.2">
      <c r="B219" s="2387"/>
      <c r="C219" s="2356"/>
      <c r="D219" s="2163"/>
      <c r="E219" s="2164"/>
      <c r="F219" s="2172"/>
      <c r="G219" s="2391"/>
      <c r="H219" s="748"/>
    </row>
    <row r="220" spans="2:8" ht="36" x14ac:dyDescent="0.2">
      <c r="B220" s="2387" t="s">
        <v>564</v>
      </c>
      <c r="C220" s="2356" t="s">
        <v>565</v>
      </c>
      <c r="D220" s="2163" t="s">
        <v>149</v>
      </c>
      <c r="E220" s="2164">
        <v>1</v>
      </c>
      <c r="F220" s="2344">
        <v>0</v>
      </c>
      <c r="G220" s="2388">
        <f>E220*F220</f>
        <v>0</v>
      </c>
      <c r="H220" s="748"/>
    </row>
    <row r="221" spans="2:8" x14ac:dyDescent="0.2">
      <c r="B221" s="2387"/>
      <c r="C221" s="2356"/>
      <c r="D221" s="2163"/>
      <c r="E221" s="2164"/>
      <c r="F221" s="2172"/>
      <c r="G221" s="2392"/>
      <c r="H221" s="748"/>
    </row>
    <row r="222" spans="2:8" ht="168" x14ac:dyDescent="0.2">
      <c r="B222" s="2393" t="s">
        <v>566</v>
      </c>
      <c r="C222" s="2394" t="s">
        <v>1553</v>
      </c>
      <c r="D222" s="2163" t="s">
        <v>123</v>
      </c>
      <c r="E222" s="2164">
        <v>1</v>
      </c>
      <c r="F222" s="2344">
        <v>0</v>
      </c>
      <c r="G222" s="2388">
        <f>E222*F222</f>
        <v>0</v>
      </c>
      <c r="H222" s="748"/>
    </row>
    <row r="223" spans="2:8" x14ac:dyDescent="0.2">
      <c r="B223" s="2393"/>
      <c r="C223" s="2371"/>
      <c r="D223" s="2163"/>
      <c r="E223" s="2164"/>
      <c r="F223" s="2172"/>
      <c r="G223" s="2392"/>
      <c r="H223" s="748"/>
    </row>
    <row r="224" spans="2:8" ht="24" x14ac:dyDescent="0.2">
      <c r="B224" s="2387" t="s">
        <v>568</v>
      </c>
      <c r="C224" s="2356" t="s">
        <v>569</v>
      </c>
      <c r="D224" s="2163" t="s">
        <v>123</v>
      </c>
      <c r="E224" s="2164">
        <v>9</v>
      </c>
      <c r="F224" s="2344">
        <v>0</v>
      </c>
      <c r="G224" s="2388">
        <f>E224*F224</f>
        <v>0</v>
      </c>
      <c r="H224" s="748"/>
    </row>
    <row r="225" spans="2:8" x14ac:dyDescent="0.2">
      <c r="B225" s="2387"/>
      <c r="C225" s="2356"/>
      <c r="D225" s="2163"/>
      <c r="E225" s="2164"/>
      <c r="F225" s="2172"/>
      <c r="G225" s="2346"/>
      <c r="H225" s="748"/>
    </row>
    <row r="226" spans="2:8" x14ac:dyDescent="0.2">
      <c r="B226" s="2387"/>
      <c r="C226" s="2356"/>
      <c r="D226" s="2163"/>
      <c r="E226" s="2164"/>
      <c r="F226" s="2172"/>
      <c r="G226" s="2346"/>
      <c r="H226" s="748"/>
    </row>
    <row r="227" spans="2:8" ht="24" x14ac:dyDescent="0.2">
      <c r="B227" s="2387" t="s">
        <v>570</v>
      </c>
      <c r="C227" s="2356" t="s">
        <v>1340</v>
      </c>
      <c r="D227" s="2163" t="s">
        <v>123</v>
      </c>
      <c r="E227" s="2164">
        <v>1</v>
      </c>
      <c r="F227" s="2344">
        <v>0</v>
      </c>
      <c r="G227" s="2388">
        <f>E227*F227</f>
        <v>0</v>
      </c>
      <c r="H227" s="748"/>
    </row>
    <row r="228" spans="2:8" x14ac:dyDescent="0.2">
      <c r="B228" s="2387"/>
      <c r="C228" s="2356"/>
      <c r="D228" s="2163"/>
      <c r="E228" s="2164"/>
      <c r="F228" s="2172"/>
      <c r="G228" s="2346"/>
      <c r="H228" s="748"/>
    </row>
    <row r="229" spans="2:8" ht="24" x14ac:dyDescent="0.2">
      <c r="B229" s="2387" t="s">
        <v>572</v>
      </c>
      <c r="C229" s="2356" t="s">
        <v>573</v>
      </c>
      <c r="D229" s="2163" t="s">
        <v>123</v>
      </c>
      <c r="E229" s="2164">
        <v>4</v>
      </c>
      <c r="F229" s="2344">
        <v>0</v>
      </c>
      <c r="G229" s="2388">
        <f>E229*F229</f>
        <v>0</v>
      </c>
      <c r="H229" s="748"/>
    </row>
    <row r="230" spans="2:8" x14ac:dyDescent="0.2">
      <c r="B230" s="2387"/>
      <c r="C230" s="2356"/>
      <c r="D230" s="2163"/>
      <c r="E230" s="2164"/>
      <c r="F230" s="2172"/>
      <c r="G230" s="2346"/>
      <c r="H230" s="748"/>
    </row>
    <row r="231" spans="2:8" ht="24" x14ac:dyDescent="0.2">
      <c r="B231" s="2387" t="s">
        <v>574</v>
      </c>
      <c r="C231" s="2356" t="s">
        <v>575</v>
      </c>
      <c r="D231" s="2163" t="s">
        <v>123</v>
      </c>
      <c r="E231" s="2164">
        <v>2</v>
      </c>
      <c r="F231" s="2344">
        <v>0</v>
      </c>
      <c r="G231" s="2388">
        <f>E231*F231</f>
        <v>0</v>
      </c>
      <c r="H231" s="748"/>
    </row>
    <row r="232" spans="2:8" x14ac:dyDescent="0.2">
      <c r="B232" s="2387"/>
      <c r="C232" s="2356"/>
      <c r="D232" s="2163"/>
      <c r="E232" s="2164"/>
      <c r="F232" s="2172"/>
      <c r="G232" s="2346"/>
      <c r="H232" s="748"/>
    </row>
    <row r="233" spans="2:8" ht="24" x14ac:dyDescent="0.2">
      <c r="B233" s="2387" t="s">
        <v>576</v>
      </c>
      <c r="C233" s="2356" t="s">
        <v>577</v>
      </c>
      <c r="D233" s="2163" t="s">
        <v>123</v>
      </c>
      <c r="E233" s="2164">
        <v>1</v>
      </c>
      <c r="F233" s="2344">
        <v>0</v>
      </c>
      <c r="G233" s="2388">
        <f>E233*F233</f>
        <v>0</v>
      </c>
      <c r="H233" s="748"/>
    </row>
    <row r="234" spans="2:8" x14ac:dyDescent="0.2">
      <c r="B234" s="2387"/>
      <c r="C234" s="2356"/>
      <c r="D234" s="2163"/>
      <c r="E234" s="2164"/>
      <c r="F234" s="2172"/>
      <c r="G234" s="2346"/>
      <c r="H234" s="748"/>
    </row>
    <row r="235" spans="2:8" ht="24" x14ac:dyDescent="0.2">
      <c r="B235" s="2387" t="s">
        <v>578</v>
      </c>
      <c r="C235" s="2356" t="s">
        <v>579</v>
      </c>
      <c r="D235" s="2163" t="s">
        <v>123</v>
      </c>
      <c r="E235" s="2164">
        <v>1</v>
      </c>
      <c r="F235" s="2344">
        <v>0</v>
      </c>
      <c r="G235" s="2388">
        <f>E235*F235</f>
        <v>0</v>
      </c>
      <c r="H235" s="748"/>
    </row>
    <row r="236" spans="2:8" x14ac:dyDescent="0.2">
      <c r="B236" s="2387"/>
      <c r="C236" s="2356"/>
      <c r="D236" s="2163"/>
      <c r="E236" s="2164"/>
      <c r="F236" s="2172"/>
      <c r="G236" s="2346"/>
      <c r="H236" s="748"/>
    </row>
    <row r="237" spans="2:8" ht="24" x14ac:dyDescent="0.2">
      <c r="B237" s="2387" t="s">
        <v>580</v>
      </c>
      <c r="C237" s="2356" t="s">
        <v>581</v>
      </c>
      <c r="D237" s="2163" t="s">
        <v>123</v>
      </c>
      <c r="E237" s="2164">
        <v>2</v>
      </c>
      <c r="F237" s="2344">
        <v>0</v>
      </c>
      <c r="G237" s="2388">
        <f>E237*F237</f>
        <v>0</v>
      </c>
      <c r="H237" s="748"/>
    </row>
    <row r="238" spans="2:8" x14ac:dyDescent="0.2">
      <c r="B238" s="2387"/>
      <c r="C238" s="2356"/>
      <c r="D238" s="2163"/>
      <c r="E238" s="2164"/>
      <c r="F238" s="2172"/>
      <c r="G238" s="2346"/>
      <c r="H238" s="748"/>
    </row>
    <row r="239" spans="2:8" ht="24" x14ac:dyDescent="0.2">
      <c r="B239" s="2387" t="s">
        <v>582</v>
      </c>
      <c r="C239" s="2356" t="s">
        <v>583</v>
      </c>
      <c r="D239" s="2163" t="s">
        <v>123</v>
      </c>
      <c r="E239" s="2164">
        <v>1</v>
      </c>
      <c r="F239" s="2344">
        <v>0</v>
      </c>
      <c r="G239" s="2388">
        <f>E239*F239</f>
        <v>0</v>
      </c>
      <c r="H239" s="748"/>
    </row>
    <row r="240" spans="2:8" x14ac:dyDescent="0.2">
      <c r="B240" s="2387"/>
      <c r="C240" s="2356"/>
      <c r="D240" s="2163"/>
      <c r="E240" s="2164"/>
      <c r="F240" s="2172"/>
      <c r="G240" s="2346"/>
      <c r="H240" s="748"/>
    </row>
    <row r="241" spans="2:8" ht="24" x14ac:dyDescent="0.2">
      <c r="B241" s="2387" t="s">
        <v>584</v>
      </c>
      <c r="C241" s="2356" t="s">
        <v>585</v>
      </c>
      <c r="D241" s="2163" t="s">
        <v>123</v>
      </c>
      <c r="E241" s="2164">
        <v>1</v>
      </c>
      <c r="F241" s="2344">
        <v>0</v>
      </c>
      <c r="G241" s="2388">
        <f>E241*F241</f>
        <v>0</v>
      </c>
      <c r="H241" s="748"/>
    </row>
    <row r="242" spans="2:8" x14ac:dyDescent="0.2">
      <c r="B242" s="2387"/>
      <c r="C242" s="2356"/>
      <c r="D242" s="2163"/>
      <c r="E242" s="2164"/>
      <c r="F242" s="2172"/>
      <c r="G242" s="2346"/>
      <c r="H242" s="748"/>
    </row>
    <row r="243" spans="2:8" ht="24" x14ac:dyDescent="0.2">
      <c r="B243" s="2387" t="s">
        <v>586</v>
      </c>
      <c r="C243" s="2356" t="s">
        <v>587</v>
      </c>
      <c r="D243" s="2163" t="s">
        <v>123</v>
      </c>
      <c r="E243" s="2164">
        <v>6</v>
      </c>
      <c r="F243" s="2344">
        <v>0</v>
      </c>
      <c r="G243" s="2388">
        <f>E243*F243</f>
        <v>0</v>
      </c>
      <c r="H243" s="748"/>
    </row>
    <row r="244" spans="2:8" x14ac:dyDescent="0.2">
      <c r="B244" s="2387"/>
      <c r="C244" s="2356"/>
      <c r="D244" s="2163"/>
      <c r="E244" s="2164"/>
      <c r="F244" s="2172"/>
      <c r="G244" s="2346"/>
      <c r="H244" s="748"/>
    </row>
    <row r="245" spans="2:8" ht="24" x14ac:dyDescent="0.2">
      <c r="B245" s="2387" t="s">
        <v>588</v>
      </c>
      <c r="C245" s="2356" t="s">
        <v>589</v>
      </c>
      <c r="D245" s="2163" t="s">
        <v>123</v>
      </c>
      <c r="E245" s="2164">
        <v>4</v>
      </c>
      <c r="F245" s="2344">
        <v>0</v>
      </c>
      <c r="G245" s="2388">
        <f>E245*F245</f>
        <v>0</v>
      </c>
      <c r="H245" s="748"/>
    </row>
    <row r="246" spans="2:8" x14ac:dyDescent="0.2">
      <c r="B246" s="2387"/>
      <c r="C246" s="2356"/>
      <c r="D246" s="2163"/>
      <c r="E246" s="2164"/>
      <c r="F246" s="2172"/>
      <c r="G246" s="2346"/>
      <c r="H246" s="748"/>
    </row>
    <row r="247" spans="2:8" ht="60" x14ac:dyDescent="0.2">
      <c r="B247" s="2387" t="s">
        <v>590</v>
      </c>
      <c r="C247" s="2356" t="s">
        <v>591</v>
      </c>
      <c r="D247" s="2163" t="s">
        <v>123</v>
      </c>
      <c r="E247" s="2164">
        <v>12</v>
      </c>
      <c r="F247" s="2344">
        <v>0</v>
      </c>
      <c r="G247" s="2388">
        <f>E247*F247</f>
        <v>0</v>
      </c>
      <c r="H247" s="748"/>
    </row>
    <row r="248" spans="2:8" x14ac:dyDescent="0.2">
      <c r="B248" s="2387"/>
      <c r="C248" s="2356"/>
      <c r="D248" s="2163"/>
      <c r="E248" s="2164"/>
      <c r="F248" s="2172"/>
      <c r="G248" s="2346"/>
      <c r="H248" s="748"/>
    </row>
    <row r="249" spans="2:8" ht="48" x14ac:dyDescent="0.2">
      <c r="B249" s="2387" t="s">
        <v>592</v>
      </c>
      <c r="C249" s="2356" t="s">
        <v>593</v>
      </c>
      <c r="D249" s="2163" t="s">
        <v>123</v>
      </c>
      <c r="E249" s="2164">
        <v>4</v>
      </c>
      <c r="F249" s="2344">
        <v>0</v>
      </c>
      <c r="G249" s="2388">
        <f>E249*F249</f>
        <v>0</v>
      </c>
      <c r="H249" s="748"/>
    </row>
    <row r="250" spans="2:8" x14ac:dyDescent="0.2">
      <c r="B250" s="2387"/>
      <c r="C250" s="2356"/>
      <c r="D250" s="2163"/>
      <c r="E250" s="2164"/>
      <c r="F250" s="2172"/>
      <c r="G250" s="2346"/>
      <c r="H250" s="748"/>
    </row>
    <row r="251" spans="2:8" ht="48" x14ac:dyDescent="0.2">
      <c r="B251" s="2387" t="s">
        <v>594</v>
      </c>
      <c r="C251" s="2356" t="s">
        <v>595</v>
      </c>
      <c r="D251" s="2163" t="s">
        <v>123</v>
      </c>
      <c r="E251" s="2164">
        <v>2</v>
      </c>
      <c r="F251" s="2344">
        <v>0</v>
      </c>
      <c r="G251" s="2388">
        <f>E251*F251</f>
        <v>0</v>
      </c>
      <c r="H251" s="748"/>
    </row>
    <row r="252" spans="2:8" x14ac:dyDescent="0.2">
      <c r="B252" s="2387"/>
      <c r="C252" s="2356"/>
      <c r="D252" s="2163"/>
      <c r="E252" s="2164"/>
      <c r="F252" s="2172"/>
      <c r="G252" s="2346"/>
      <c r="H252" s="748"/>
    </row>
    <row r="253" spans="2:8" ht="36" x14ac:dyDescent="0.2">
      <c r="B253" s="2387" t="s">
        <v>596</v>
      </c>
      <c r="C253" s="2356" t="s">
        <v>597</v>
      </c>
      <c r="D253" s="2163" t="s">
        <v>123</v>
      </c>
      <c r="E253" s="2164">
        <v>3</v>
      </c>
      <c r="F253" s="2344">
        <v>0</v>
      </c>
      <c r="G253" s="2388">
        <f>E253*F253</f>
        <v>0</v>
      </c>
      <c r="H253" s="748"/>
    </row>
    <row r="254" spans="2:8" x14ac:dyDescent="0.2">
      <c r="B254" s="2387"/>
      <c r="C254" s="2356"/>
      <c r="D254" s="2163"/>
      <c r="E254" s="2164"/>
      <c r="F254" s="2172"/>
      <c r="G254" s="2346"/>
      <c r="H254" s="748"/>
    </row>
    <row r="255" spans="2:8" ht="36" x14ac:dyDescent="0.2">
      <c r="B255" s="2387" t="s">
        <v>598</v>
      </c>
      <c r="C255" s="2356" t="s">
        <v>599</v>
      </c>
      <c r="D255" s="2163" t="s">
        <v>123</v>
      </c>
      <c r="E255" s="2164">
        <v>1</v>
      </c>
      <c r="F255" s="2344">
        <v>0</v>
      </c>
      <c r="G255" s="2388">
        <f>E255*F255</f>
        <v>0</v>
      </c>
      <c r="H255" s="748"/>
    </row>
    <row r="256" spans="2:8" x14ac:dyDescent="0.2">
      <c r="B256" s="2387"/>
      <c r="C256" s="2356"/>
      <c r="D256" s="2163"/>
      <c r="E256" s="2164"/>
      <c r="F256" s="2172"/>
      <c r="G256" s="2346"/>
      <c r="H256" s="748"/>
    </row>
    <row r="257" spans="2:8" ht="24" x14ac:dyDescent="0.2">
      <c r="B257" s="2387" t="s">
        <v>600</v>
      </c>
      <c r="C257" s="2356" t="s">
        <v>601</v>
      </c>
      <c r="D257" s="2163" t="s">
        <v>123</v>
      </c>
      <c r="E257" s="2164">
        <v>2</v>
      </c>
      <c r="F257" s="2344">
        <v>0</v>
      </c>
      <c r="G257" s="2388">
        <f>E257*F257</f>
        <v>0</v>
      </c>
      <c r="H257" s="748"/>
    </row>
    <row r="258" spans="2:8" x14ac:dyDescent="0.2">
      <c r="B258" s="2387"/>
      <c r="C258" s="2356"/>
      <c r="D258" s="2163"/>
      <c r="E258" s="2164"/>
      <c r="F258" s="2172"/>
      <c r="G258" s="2346"/>
      <c r="H258" s="748"/>
    </row>
    <row r="259" spans="2:8" x14ac:dyDescent="0.2">
      <c r="B259" s="2387" t="s">
        <v>602</v>
      </c>
      <c r="C259" s="2356"/>
      <c r="D259" s="2163"/>
      <c r="E259" s="2164"/>
      <c r="F259" s="2172"/>
      <c r="G259" s="2391"/>
      <c r="H259" s="748"/>
    </row>
    <row r="260" spans="2:8" ht="48" x14ac:dyDescent="0.2">
      <c r="B260" s="2387"/>
      <c r="C260" s="2395" t="s">
        <v>603</v>
      </c>
      <c r="D260" s="2163" t="s">
        <v>553</v>
      </c>
      <c r="E260" s="2164">
        <v>1</v>
      </c>
      <c r="F260" s="2344">
        <v>0</v>
      </c>
      <c r="G260" s="2388">
        <f>E260*F260</f>
        <v>0</v>
      </c>
      <c r="H260" s="748"/>
    </row>
    <row r="261" spans="2:8" x14ac:dyDescent="0.2">
      <c r="B261" s="2387" t="s">
        <v>604</v>
      </c>
      <c r="C261" s="2395"/>
      <c r="D261" s="2163"/>
      <c r="E261" s="2164"/>
      <c r="F261" s="2172"/>
      <c r="G261" s="2346"/>
      <c r="H261" s="748"/>
    </row>
    <row r="262" spans="2:8" ht="36" x14ac:dyDescent="0.2">
      <c r="B262" s="2387"/>
      <c r="C262" s="2395" t="s">
        <v>605</v>
      </c>
      <c r="D262" s="2163" t="s">
        <v>553</v>
      </c>
      <c r="E262" s="2164">
        <v>1</v>
      </c>
      <c r="F262" s="2344">
        <v>0</v>
      </c>
      <c r="G262" s="2388">
        <f>E262*F262</f>
        <v>0</v>
      </c>
      <c r="H262" s="748"/>
    </row>
    <row r="263" spans="2:8" x14ac:dyDescent="0.2">
      <c r="B263" s="2387"/>
      <c r="C263" s="2395"/>
      <c r="D263" s="2163"/>
      <c r="E263" s="2164"/>
      <c r="F263" s="2172"/>
      <c r="G263" s="2346"/>
      <c r="H263" s="748"/>
    </row>
    <row r="264" spans="2:8" ht="72" x14ac:dyDescent="0.2">
      <c r="B264" s="2387" t="s">
        <v>606</v>
      </c>
      <c r="C264" s="2369" t="s">
        <v>1454</v>
      </c>
      <c r="D264" s="2163" t="s">
        <v>123</v>
      </c>
      <c r="E264" s="2164">
        <v>1</v>
      </c>
      <c r="F264" s="2344">
        <v>0</v>
      </c>
      <c r="G264" s="2388">
        <f>E264*F264</f>
        <v>0</v>
      </c>
      <c r="H264" s="748"/>
    </row>
    <row r="265" spans="2:8" x14ac:dyDescent="0.2">
      <c r="B265" s="2387"/>
      <c r="C265" s="2356"/>
      <c r="D265" s="2163"/>
      <c r="E265" s="2164"/>
      <c r="F265" s="2172"/>
      <c r="G265" s="2346"/>
      <c r="H265" s="748"/>
    </row>
    <row r="266" spans="2:8" ht="72" x14ac:dyDescent="0.2">
      <c r="B266" s="2387" t="s">
        <v>608</v>
      </c>
      <c r="C266" s="2369" t="s">
        <v>1554</v>
      </c>
      <c r="D266" s="2163" t="s">
        <v>123</v>
      </c>
      <c r="E266" s="2164">
        <v>3</v>
      </c>
      <c r="F266" s="2344">
        <v>0</v>
      </c>
      <c r="G266" s="2388">
        <f>E266*F266</f>
        <v>0</v>
      </c>
      <c r="H266" s="748"/>
    </row>
    <row r="267" spans="2:8" x14ac:dyDescent="0.2">
      <c r="B267" s="2387"/>
      <c r="C267" s="2356"/>
      <c r="D267" s="2163"/>
      <c r="E267" s="2164"/>
      <c r="F267" s="2172"/>
      <c r="G267" s="2346"/>
      <c r="H267" s="748"/>
    </row>
    <row r="268" spans="2:8" ht="48" x14ac:dyDescent="0.2">
      <c r="B268" s="2387" t="s">
        <v>610</v>
      </c>
      <c r="C268" s="2356" t="s">
        <v>1343</v>
      </c>
      <c r="D268" s="2163" t="s">
        <v>123</v>
      </c>
      <c r="E268" s="2164">
        <v>3</v>
      </c>
      <c r="F268" s="2344">
        <v>0</v>
      </c>
      <c r="G268" s="2388">
        <f>E268*F268</f>
        <v>0</v>
      </c>
      <c r="H268" s="748"/>
    </row>
    <row r="269" spans="2:8" x14ac:dyDescent="0.2">
      <c r="B269" s="2387"/>
      <c r="C269" s="2356"/>
      <c r="D269" s="2163"/>
      <c r="E269" s="2164"/>
      <c r="F269" s="2172"/>
      <c r="G269" s="2346"/>
      <c r="H269" s="748"/>
    </row>
    <row r="270" spans="2:8" ht="48" x14ac:dyDescent="0.2">
      <c r="B270" s="2387" t="s">
        <v>612</v>
      </c>
      <c r="C270" s="2356" t="s">
        <v>613</v>
      </c>
      <c r="D270" s="2163" t="s">
        <v>123</v>
      </c>
      <c r="E270" s="2164">
        <v>2</v>
      </c>
      <c r="F270" s="2344">
        <v>0</v>
      </c>
      <c r="G270" s="2388">
        <f>E270*F270</f>
        <v>0</v>
      </c>
      <c r="H270" s="748"/>
    </row>
    <row r="271" spans="2:8" x14ac:dyDescent="0.2">
      <c r="B271" s="2387"/>
      <c r="C271" s="2356"/>
      <c r="D271" s="2163"/>
      <c r="E271" s="2164"/>
      <c r="F271" s="2172"/>
      <c r="G271" s="2346"/>
      <c r="H271" s="748"/>
    </row>
    <row r="272" spans="2:8" ht="36" x14ac:dyDescent="0.2">
      <c r="B272" s="2387" t="s">
        <v>614</v>
      </c>
      <c r="C272" s="2356" t="s">
        <v>615</v>
      </c>
      <c r="D272" s="2163" t="s">
        <v>123</v>
      </c>
      <c r="E272" s="2164">
        <v>100</v>
      </c>
      <c r="F272" s="2344">
        <v>0</v>
      </c>
      <c r="G272" s="2388">
        <f>E272*F272</f>
        <v>0</v>
      </c>
      <c r="H272" s="748"/>
    </row>
    <row r="273" spans="2:8" x14ac:dyDescent="0.2">
      <c r="B273" s="2387"/>
      <c r="C273" s="2356"/>
      <c r="D273" s="2163"/>
      <c r="E273" s="2164"/>
      <c r="F273" s="2172"/>
      <c r="G273" s="2346"/>
      <c r="H273" s="748"/>
    </row>
    <row r="274" spans="2:8" ht="48" x14ac:dyDescent="0.2">
      <c r="B274" s="2387" t="s">
        <v>616</v>
      </c>
      <c r="C274" s="2356" t="s">
        <v>617</v>
      </c>
      <c r="D274" s="2163" t="s">
        <v>560</v>
      </c>
      <c r="E274" s="2164">
        <v>1</v>
      </c>
      <c r="F274" s="2344">
        <v>0</v>
      </c>
      <c r="G274" s="2388">
        <f>E274*F274</f>
        <v>0</v>
      </c>
      <c r="H274" s="748"/>
    </row>
    <row r="275" spans="2:8" x14ac:dyDescent="0.2">
      <c r="B275" s="2387"/>
      <c r="C275" s="2396"/>
      <c r="D275" s="2397"/>
      <c r="E275" s="2398"/>
      <c r="F275" s="2386"/>
      <c r="G275" s="2335"/>
      <c r="H275" s="748"/>
    </row>
    <row r="276" spans="2:8" ht="120" x14ac:dyDescent="0.2">
      <c r="B276" s="2387" t="s">
        <v>618</v>
      </c>
      <c r="C276" s="2372" t="s">
        <v>619</v>
      </c>
      <c r="D276" s="2397" t="s">
        <v>123</v>
      </c>
      <c r="E276" s="2398">
        <v>1</v>
      </c>
      <c r="F276" s="2344">
        <v>0</v>
      </c>
      <c r="G276" s="2388">
        <f>E276*F276</f>
        <v>0</v>
      </c>
      <c r="H276" s="748"/>
    </row>
    <row r="277" spans="2:8" x14ac:dyDescent="0.2">
      <c r="B277" s="2387"/>
      <c r="C277" s="2372"/>
      <c r="D277" s="2397"/>
      <c r="E277" s="2398"/>
      <c r="F277" s="2386"/>
      <c r="G277" s="2391"/>
      <c r="H277" s="748"/>
    </row>
    <row r="278" spans="2:8" ht="84" x14ac:dyDescent="0.2">
      <c r="B278" s="2387" t="s">
        <v>1458</v>
      </c>
      <c r="C278" s="2372" t="s">
        <v>620</v>
      </c>
      <c r="D278" s="2397" t="s">
        <v>123</v>
      </c>
      <c r="E278" s="2398">
        <v>1</v>
      </c>
      <c r="F278" s="2344">
        <v>0</v>
      </c>
      <c r="G278" s="2388">
        <f>E278*F278</f>
        <v>0</v>
      </c>
      <c r="H278" s="748"/>
    </row>
    <row r="279" spans="2:8" x14ac:dyDescent="0.2">
      <c r="B279" s="2387"/>
      <c r="C279" s="2372"/>
      <c r="D279" s="2397"/>
      <c r="E279" s="2398"/>
      <c r="F279" s="2172"/>
      <c r="G279" s="2391"/>
      <c r="H279" s="748"/>
    </row>
    <row r="280" spans="2:8" x14ac:dyDescent="0.2">
      <c r="B280" s="2387" t="s">
        <v>1459</v>
      </c>
      <c r="C280" s="2372" t="s">
        <v>621</v>
      </c>
      <c r="D280" s="2397" t="s">
        <v>123</v>
      </c>
      <c r="E280" s="2398">
        <v>2</v>
      </c>
      <c r="F280" s="2344">
        <v>0</v>
      </c>
      <c r="G280" s="2388">
        <f>E280*F280</f>
        <v>0</v>
      </c>
      <c r="H280" s="748"/>
    </row>
    <row r="281" spans="2:8" x14ac:dyDescent="0.2">
      <c r="B281" s="2152"/>
      <c r="C281" s="2153"/>
      <c r="D281" s="2271"/>
      <c r="E281" s="2272"/>
      <c r="F281" s="2273"/>
      <c r="G281" s="2384"/>
      <c r="H281" s="748"/>
    </row>
    <row r="282" spans="2:8" x14ac:dyDescent="0.2">
      <c r="B282" s="2399" t="s">
        <v>1460</v>
      </c>
      <c r="C282" s="2159" t="s">
        <v>623</v>
      </c>
      <c r="D282" s="2397"/>
      <c r="E282" s="2398"/>
      <c r="F282" s="2386"/>
      <c r="G282" s="2335"/>
      <c r="H282" s="748"/>
    </row>
    <row r="283" spans="2:8" x14ac:dyDescent="0.2">
      <c r="B283" s="2387"/>
      <c r="C283" s="2396"/>
      <c r="D283" s="2397"/>
      <c r="E283" s="2398"/>
      <c r="F283" s="2386"/>
      <c r="G283" s="2335"/>
      <c r="H283" s="748"/>
    </row>
    <row r="284" spans="2:8" s="121" customFormat="1" ht="387.75" customHeight="1" x14ac:dyDescent="0.2">
      <c r="B284" s="2743"/>
      <c r="C284" s="2744"/>
      <c r="D284" s="2745"/>
      <c r="E284" s="2746"/>
      <c r="F284" s="2747"/>
      <c r="G284" s="2736"/>
      <c r="H284" s="122"/>
    </row>
    <row r="285" spans="2:8" s="121" customFormat="1" ht="24.75" customHeight="1" x14ac:dyDescent="0.2">
      <c r="B285" s="2743"/>
      <c r="C285" s="2744" t="s">
        <v>2465</v>
      </c>
      <c r="D285" s="2748" t="s">
        <v>98</v>
      </c>
      <c r="E285" s="2746">
        <v>1</v>
      </c>
      <c r="F285" s="2747">
        <v>0</v>
      </c>
      <c r="G285" s="2736">
        <f t="shared" ref="G285" si="7">E285*F285</f>
        <v>0</v>
      </c>
      <c r="H285" s="122"/>
    </row>
    <row r="286" spans="2:8" x14ac:dyDescent="0.2">
      <c r="B286" s="2387"/>
      <c r="C286" s="2165"/>
      <c r="D286" s="2397"/>
      <c r="E286" s="2398"/>
      <c r="F286" s="2386"/>
      <c r="G286" s="2351"/>
      <c r="H286" s="748"/>
    </row>
    <row r="287" spans="2:8" ht="48" x14ac:dyDescent="0.2">
      <c r="B287" s="2393" t="s">
        <v>15</v>
      </c>
      <c r="C287" s="2166" t="s">
        <v>1344</v>
      </c>
      <c r="D287" s="2163" t="s">
        <v>123</v>
      </c>
      <c r="E287" s="2164">
        <v>2</v>
      </c>
      <c r="F287" s="2344">
        <v>0</v>
      </c>
      <c r="G287" s="2388">
        <f>E287*F287</f>
        <v>0</v>
      </c>
      <c r="H287" s="748"/>
    </row>
    <row r="288" spans="2:8" x14ac:dyDescent="0.2">
      <c r="B288" s="2393"/>
      <c r="C288" s="2166"/>
      <c r="D288" s="2163"/>
      <c r="E288" s="2164"/>
      <c r="F288" s="2172"/>
      <c r="G288" s="2391"/>
      <c r="H288" s="748"/>
    </row>
    <row r="289" spans="2:8" ht="48" x14ac:dyDescent="0.2">
      <c r="B289" s="2393"/>
      <c r="C289" s="2165" t="s">
        <v>625</v>
      </c>
      <c r="D289" s="2397" t="s">
        <v>123</v>
      </c>
      <c r="E289" s="2398">
        <v>2</v>
      </c>
      <c r="F289" s="2344">
        <v>0</v>
      </c>
      <c r="G289" s="2388">
        <f>E289*F289</f>
        <v>0</v>
      </c>
      <c r="H289" s="748"/>
    </row>
    <row r="290" spans="2:8" x14ac:dyDescent="0.2">
      <c r="B290" s="2393"/>
      <c r="C290" s="2166"/>
      <c r="D290" s="2163"/>
      <c r="E290" s="2164"/>
      <c r="F290" s="2172"/>
      <c r="G290" s="2391"/>
      <c r="H290" s="748"/>
    </row>
    <row r="291" spans="2:8" ht="48" x14ac:dyDescent="0.2">
      <c r="B291" s="2393" t="s">
        <v>20</v>
      </c>
      <c r="C291" s="2166" t="s">
        <v>1555</v>
      </c>
      <c r="D291" s="2163" t="s">
        <v>123</v>
      </c>
      <c r="E291" s="2164">
        <v>1</v>
      </c>
      <c r="F291" s="2344">
        <v>0</v>
      </c>
      <c r="G291" s="2388">
        <f>E291*F291</f>
        <v>0</v>
      </c>
      <c r="H291" s="748"/>
    </row>
    <row r="292" spans="2:8" x14ac:dyDescent="0.2">
      <c r="B292" s="2387"/>
      <c r="C292" s="2165"/>
      <c r="D292" s="2397"/>
      <c r="E292" s="2398"/>
      <c r="F292" s="2386"/>
      <c r="G292" s="2351"/>
      <c r="H292" s="748"/>
    </row>
    <row r="293" spans="2:8" ht="60" x14ac:dyDescent="0.2">
      <c r="B293" s="2393" t="s">
        <v>24</v>
      </c>
      <c r="C293" s="2166" t="s">
        <v>1346</v>
      </c>
      <c r="D293" s="2163" t="s">
        <v>123</v>
      </c>
      <c r="E293" s="2164">
        <v>1</v>
      </c>
      <c r="F293" s="2344">
        <v>0</v>
      </c>
      <c r="G293" s="2388">
        <f>E293*F293</f>
        <v>0</v>
      </c>
      <c r="H293" s="748"/>
    </row>
    <row r="294" spans="2:8" x14ac:dyDescent="0.2">
      <c r="B294" s="2387"/>
      <c r="C294" s="2400"/>
      <c r="D294" s="2163"/>
      <c r="E294" s="2164"/>
      <c r="F294" s="2172"/>
      <c r="G294" s="2351"/>
      <c r="H294" s="748"/>
    </row>
    <row r="295" spans="2:8" ht="84" x14ac:dyDescent="0.2">
      <c r="B295" s="2387" t="s">
        <v>29</v>
      </c>
      <c r="C295" s="2179" t="s">
        <v>1556</v>
      </c>
      <c r="D295" s="2163" t="s">
        <v>123</v>
      </c>
      <c r="E295" s="2164">
        <v>1</v>
      </c>
      <c r="F295" s="2344">
        <v>0</v>
      </c>
      <c r="G295" s="2388">
        <f>E295*F295</f>
        <v>0</v>
      </c>
      <c r="H295" s="748"/>
    </row>
    <row r="296" spans="2:8" x14ac:dyDescent="0.2">
      <c r="B296" s="2387"/>
      <c r="C296" s="2169"/>
      <c r="D296" s="2397"/>
      <c r="E296" s="2398"/>
      <c r="F296" s="2386"/>
      <c r="G296" s="2351"/>
      <c r="H296" s="748"/>
    </row>
    <row r="297" spans="2:8" ht="300" x14ac:dyDescent="0.2">
      <c r="B297" s="2387" t="s">
        <v>33</v>
      </c>
      <c r="C297" s="2358" t="s">
        <v>1347</v>
      </c>
      <c r="D297" s="2163" t="s">
        <v>553</v>
      </c>
      <c r="E297" s="2164">
        <v>1</v>
      </c>
      <c r="F297" s="2344">
        <v>0</v>
      </c>
      <c r="G297" s="2388">
        <f>E297*F297</f>
        <v>0</v>
      </c>
      <c r="H297" s="748"/>
    </row>
    <row r="298" spans="2:8" x14ac:dyDescent="0.2">
      <c r="B298" s="2387"/>
      <c r="C298" s="2395"/>
      <c r="D298" s="2163"/>
      <c r="E298" s="2164"/>
      <c r="F298" s="2172"/>
      <c r="G298" s="2346"/>
      <c r="H298" s="748"/>
    </row>
    <row r="299" spans="2:8" x14ac:dyDescent="0.2">
      <c r="B299" s="2387"/>
      <c r="C299" s="2401" t="s">
        <v>628</v>
      </c>
      <c r="D299" s="2397"/>
      <c r="E299" s="2398"/>
      <c r="F299" s="2386"/>
      <c r="G299" s="2335"/>
      <c r="H299" s="748"/>
    </row>
    <row r="300" spans="2:8" x14ac:dyDescent="0.2">
      <c r="B300" s="2387"/>
      <c r="C300" s="2390"/>
      <c r="D300" s="2397"/>
      <c r="E300" s="2398"/>
      <c r="F300" s="2386"/>
      <c r="G300" s="2335"/>
      <c r="H300" s="748"/>
    </row>
    <row r="301" spans="2:8" ht="228" x14ac:dyDescent="0.2">
      <c r="B301" s="2393" t="s">
        <v>33</v>
      </c>
      <c r="C301" s="2179" t="s">
        <v>1348</v>
      </c>
      <c r="D301" s="2338" t="s">
        <v>123</v>
      </c>
      <c r="E301" s="2339">
        <v>1</v>
      </c>
      <c r="F301" s="2344">
        <v>0</v>
      </c>
      <c r="G301" s="2388">
        <f>E301*F301</f>
        <v>0</v>
      </c>
      <c r="H301" s="748"/>
    </row>
    <row r="302" spans="2:8" x14ac:dyDescent="0.2">
      <c r="B302" s="2387"/>
      <c r="C302" s="2390"/>
      <c r="D302" s="2163"/>
      <c r="E302" s="2164"/>
      <c r="F302" s="2172"/>
      <c r="G302" s="2351"/>
      <c r="H302" s="748"/>
    </row>
    <row r="303" spans="2:8" ht="72" x14ac:dyDescent="0.2">
      <c r="B303" s="2393" t="s">
        <v>38</v>
      </c>
      <c r="C303" s="2179" t="s">
        <v>1349</v>
      </c>
      <c r="D303" s="2163" t="s">
        <v>123</v>
      </c>
      <c r="E303" s="2164">
        <v>1</v>
      </c>
      <c r="F303" s="2344">
        <v>0</v>
      </c>
      <c r="G303" s="2388">
        <f>E303*F303</f>
        <v>0</v>
      </c>
      <c r="H303" s="748"/>
    </row>
    <row r="304" spans="2:8" x14ac:dyDescent="0.2">
      <c r="B304" s="2393"/>
      <c r="C304" s="2179"/>
      <c r="D304" s="2163"/>
      <c r="E304" s="2164"/>
      <c r="F304" s="2172"/>
      <c r="G304" s="2391"/>
      <c r="H304" s="748"/>
    </row>
    <row r="305" spans="2:8" ht="312" x14ac:dyDescent="0.2">
      <c r="B305" s="2387"/>
      <c r="C305" s="2165" t="s">
        <v>630</v>
      </c>
      <c r="D305" s="2397" t="s">
        <v>98</v>
      </c>
      <c r="E305" s="2398">
        <v>2</v>
      </c>
      <c r="F305" s="2344">
        <v>0</v>
      </c>
      <c r="G305" s="2388">
        <f>E305*F305</f>
        <v>0</v>
      </c>
      <c r="H305" s="748"/>
    </row>
    <row r="306" spans="2:8" x14ac:dyDescent="0.2">
      <c r="B306" s="2387"/>
      <c r="C306" s="2165"/>
      <c r="D306" s="2397"/>
      <c r="E306" s="2398"/>
      <c r="F306" s="2386"/>
      <c r="G306" s="2335"/>
      <c r="H306" s="748"/>
    </row>
    <row r="307" spans="2:8" x14ac:dyDescent="0.2">
      <c r="B307" s="2387" t="s">
        <v>43</v>
      </c>
      <c r="C307" s="2180" t="s">
        <v>632</v>
      </c>
      <c r="D307" s="2163" t="s">
        <v>553</v>
      </c>
      <c r="E307" s="2164">
        <v>1</v>
      </c>
      <c r="F307" s="2344">
        <v>0</v>
      </c>
      <c r="G307" s="2388">
        <f>E307*F307</f>
        <v>0</v>
      </c>
      <c r="H307" s="748"/>
    </row>
    <row r="308" spans="2:8" x14ac:dyDescent="0.2">
      <c r="B308" s="2152"/>
      <c r="C308" s="2153"/>
      <c r="D308" s="2271"/>
      <c r="E308" s="2272"/>
      <c r="F308" s="2273"/>
      <c r="G308" s="2384"/>
      <c r="H308" s="748"/>
    </row>
    <row r="309" spans="2:8" x14ac:dyDescent="0.2">
      <c r="B309" s="2399" t="s">
        <v>1462</v>
      </c>
      <c r="C309" s="2159" t="s">
        <v>779</v>
      </c>
      <c r="D309" s="2397"/>
      <c r="E309" s="2398"/>
      <c r="F309" s="2386"/>
      <c r="G309" s="2335"/>
      <c r="H309" s="748"/>
    </row>
    <row r="310" spans="2:8" x14ac:dyDescent="0.2">
      <c r="B310" s="2387"/>
      <c r="C310" s="2396"/>
      <c r="D310" s="2397"/>
      <c r="E310" s="2398"/>
      <c r="F310" s="2386"/>
      <c r="G310" s="2335"/>
      <c r="H310" s="748"/>
    </row>
    <row r="311" spans="2:8" ht="60" x14ac:dyDescent="0.2">
      <c r="B311" s="2393" t="s">
        <v>8</v>
      </c>
      <c r="C311" s="2358" t="s">
        <v>1350</v>
      </c>
      <c r="D311" s="2163" t="s">
        <v>123</v>
      </c>
      <c r="E311" s="2164">
        <v>2</v>
      </c>
      <c r="F311" s="2344">
        <v>0</v>
      </c>
      <c r="G311" s="2388">
        <f>E311*F311</f>
        <v>0</v>
      </c>
      <c r="H311" s="748"/>
    </row>
    <row r="312" spans="2:8" x14ac:dyDescent="0.2">
      <c r="B312" s="2387"/>
      <c r="C312" s="2165"/>
      <c r="D312" s="2163"/>
      <c r="E312" s="2164"/>
      <c r="F312" s="2172"/>
      <c r="G312" s="2351"/>
      <c r="H312" s="748"/>
    </row>
    <row r="313" spans="2:8" x14ac:dyDescent="0.2">
      <c r="B313" s="2387"/>
      <c r="C313" s="2165"/>
      <c r="D313" s="2397"/>
      <c r="E313" s="2398"/>
      <c r="F313" s="2386"/>
      <c r="G313" s="2351"/>
      <c r="H313" s="748"/>
    </row>
    <row r="314" spans="2:8" ht="72" x14ac:dyDescent="0.2">
      <c r="B314" s="2393" t="s">
        <v>15</v>
      </c>
      <c r="C314" s="2359" t="s">
        <v>1351</v>
      </c>
      <c r="D314" s="2163" t="s">
        <v>123</v>
      </c>
      <c r="E314" s="2164">
        <v>2</v>
      </c>
      <c r="F314" s="2344">
        <v>0</v>
      </c>
      <c r="G314" s="2388">
        <f>E314*F314</f>
        <v>0</v>
      </c>
      <c r="H314" s="748"/>
    </row>
    <row r="315" spans="2:8" x14ac:dyDescent="0.2">
      <c r="B315" s="2387"/>
      <c r="C315" s="2165"/>
      <c r="D315" s="2397"/>
      <c r="E315" s="2398"/>
      <c r="F315" s="2386"/>
      <c r="G315" s="2351"/>
      <c r="H315" s="748"/>
    </row>
    <row r="316" spans="2:8" ht="24" x14ac:dyDescent="0.2">
      <c r="B316" s="2387" t="s">
        <v>20</v>
      </c>
      <c r="C316" s="2165" t="s">
        <v>637</v>
      </c>
      <c r="D316" s="2163" t="s">
        <v>123</v>
      </c>
      <c r="E316" s="2164">
        <v>1</v>
      </c>
      <c r="F316" s="2344">
        <v>0</v>
      </c>
      <c r="G316" s="2388">
        <f>E316*F316</f>
        <v>0</v>
      </c>
      <c r="H316" s="748"/>
    </row>
    <row r="317" spans="2:8" x14ac:dyDescent="0.2">
      <c r="B317" s="2387"/>
      <c r="C317" s="2165"/>
      <c r="D317" s="2163"/>
      <c r="E317" s="2164"/>
      <c r="F317" s="2172"/>
      <c r="G317" s="2351"/>
      <c r="H317" s="748"/>
    </row>
    <row r="318" spans="2:8" ht="24" x14ac:dyDescent="0.2">
      <c r="B318" s="2387" t="s">
        <v>24</v>
      </c>
      <c r="C318" s="2165" t="s">
        <v>638</v>
      </c>
      <c r="D318" s="2163" t="s">
        <v>123</v>
      </c>
      <c r="E318" s="2164">
        <v>1</v>
      </c>
      <c r="F318" s="2344">
        <v>0</v>
      </c>
      <c r="G318" s="2388">
        <f>E318*F318</f>
        <v>0</v>
      </c>
      <c r="H318" s="748"/>
    </row>
    <row r="319" spans="2:8" x14ac:dyDescent="0.2">
      <c r="B319" s="2387"/>
      <c r="C319" s="2165"/>
      <c r="D319" s="2397"/>
      <c r="E319" s="2398"/>
      <c r="F319" s="2386"/>
      <c r="G319" s="2351"/>
      <c r="H319" s="748"/>
    </row>
    <row r="320" spans="2:8" ht="36" x14ac:dyDescent="0.2">
      <c r="B320" s="2387" t="s">
        <v>29</v>
      </c>
      <c r="C320" s="2165" t="s">
        <v>639</v>
      </c>
      <c r="D320" s="2163" t="s">
        <v>123</v>
      </c>
      <c r="E320" s="2164">
        <v>3</v>
      </c>
      <c r="F320" s="2344">
        <v>0</v>
      </c>
      <c r="G320" s="2388">
        <f>E320*F320</f>
        <v>0</v>
      </c>
      <c r="H320" s="748"/>
    </row>
    <row r="321" spans="2:8" x14ac:dyDescent="0.2">
      <c r="B321" s="2387"/>
      <c r="C321" s="2165"/>
      <c r="D321" s="2163"/>
      <c r="E321" s="2164"/>
      <c r="F321" s="2172"/>
      <c r="G321" s="2346"/>
      <c r="H321" s="748"/>
    </row>
    <row r="322" spans="2:8" ht="60" x14ac:dyDescent="0.2">
      <c r="B322" s="2387" t="s">
        <v>33</v>
      </c>
      <c r="C322" s="2402" t="s">
        <v>1557</v>
      </c>
      <c r="D322" s="2163" t="s">
        <v>553</v>
      </c>
      <c r="E322" s="2164">
        <v>2</v>
      </c>
      <c r="F322" s="2344">
        <v>0</v>
      </c>
      <c r="G322" s="2388">
        <f>E322*F322</f>
        <v>0</v>
      </c>
      <c r="H322" s="748"/>
    </row>
    <row r="323" spans="2:8" x14ac:dyDescent="0.2">
      <c r="B323" s="2387"/>
      <c r="C323" s="2402"/>
      <c r="D323" s="2163"/>
      <c r="E323" s="2164"/>
      <c r="F323" s="2172"/>
      <c r="G323" s="2391"/>
      <c r="H323" s="748"/>
    </row>
    <row r="324" spans="2:8" ht="36" x14ac:dyDescent="0.2">
      <c r="B324" s="2387" t="s">
        <v>38</v>
      </c>
      <c r="C324" s="2403" t="s">
        <v>640</v>
      </c>
      <c r="D324" s="2163" t="s">
        <v>123</v>
      </c>
      <c r="E324" s="2164">
        <v>1</v>
      </c>
      <c r="F324" s="2344">
        <v>0</v>
      </c>
      <c r="G324" s="2388">
        <f>E324*F324</f>
        <v>0</v>
      </c>
      <c r="H324" s="748"/>
    </row>
    <row r="325" spans="2:8" x14ac:dyDescent="0.2">
      <c r="B325" s="2387"/>
      <c r="C325" s="2165"/>
      <c r="D325" s="2163"/>
      <c r="E325" s="2164"/>
      <c r="F325" s="2172"/>
      <c r="G325" s="2346"/>
      <c r="H325" s="748"/>
    </row>
    <row r="326" spans="2:8" x14ac:dyDescent="0.2">
      <c r="B326" s="2387" t="s">
        <v>43</v>
      </c>
      <c r="C326" s="2180" t="s">
        <v>632</v>
      </c>
      <c r="D326" s="2163" t="s">
        <v>553</v>
      </c>
      <c r="E326" s="2164">
        <v>1</v>
      </c>
      <c r="F326" s="2344">
        <v>0</v>
      </c>
      <c r="G326" s="2388">
        <f>E326*F326</f>
        <v>0</v>
      </c>
      <c r="H326" s="748"/>
    </row>
    <row r="327" spans="2:8" x14ac:dyDescent="0.2">
      <c r="B327" s="2380"/>
      <c r="C327" s="2381"/>
      <c r="D327" s="2382"/>
      <c r="E327" s="2383"/>
      <c r="F327" s="2378"/>
      <c r="G327" s="2331"/>
      <c r="H327" s="748"/>
    </row>
    <row r="328" spans="2:8" x14ac:dyDescent="0.2">
      <c r="B328" s="2399" t="s">
        <v>1465</v>
      </c>
      <c r="C328" s="2159" t="s">
        <v>642</v>
      </c>
      <c r="D328" s="2397"/>
      <c r="E328" s="2398"/>
      <c r="F328" s="2386"/>
      <c r="G328" s="2346"/>
      <c r="H328" s="748"/>
    </row>
    <row r="329" spans="2:8" x14ac:dyDescent="0.2">
      <c r="B329" s="2387"/>
      <c r="C329" s="2396"/>
      <c r="D329" s="2397"/>
      <c r="E329" s="2398"/>
      <c r="F329" s="2386"/>
      <c r="G329" s="2346"/>
      <c r="H329" s="748"/>
    </row>
    <row r="330" spans="2:8" x14ac:dyDescent="0.2">
      <c r="B330" s="2387" t="s">
        <v>8</v>
      </c>
      <c r="C330" s="2180" t="s">
        <v>643</v>
      </c>
      <c r="D330" s="2163" t="s">
        <v>644</v>
      </c>
      <c r="E330" s="2164">
        <v>30</v>
      </c>
      <c r="F330" s="2344">
        <v>0</v>
      </c>
      <c r="G330" s="2388">
        <f>E330*F330</f>
        <v>0</v>
      </c>
      <c r="H330" s="748"/>
    </row>
    <row r="331" spans="2:8" x14ac:dyDescent="0.2">
      <c r="B331" s="2387"/>
      <c r="C331" s="2180"/>
      <c r="D331" s="2163"/>
      <c r="E331" s="2164"/>
      <c r="F331" s="2172"/>
      <c r="G331" s="2346"/>
      <c r="H331" s="748"/>
    </row>
    <row r="332" spans="2:8" x14ac:dyDescent="0.2">
      <c r="B332" s="2387" t="s">
        <v>15</v>
      </c>
      <c r="C332" s="2180" t="s">
        <v>645</v>
      </c>
      <c r="D332" s="2163" t="s">
        <v>644</v>
      </c>
      <c r="E332" s="2164">
        <v>50</v>
      </c>
      <c r="F332" s="2344">
        <v>0</v>
      </c>
      <c r="G332" s="2388">
        <f>E332*F332</f>
        <v>0</v>
      </c>
      <c r="H332" s="748"/>
    </row>
    <row r="333" spans="2:8" x14ac:dyDescent="0.2">
      <c r="B333" s="2387"/>
      <c r="C333" s="2180"/>
      <c r="D333" s="2163"/>
      <c r="E333" s="2164"/>
      <c r="F333" s="2172"/>
      <c r="G333" s="2346"/>
      <c r="H333" s="748"/>
    </row>
    <row r="334" spans="2:8" x14ac:dyDescent="0.2">
      <c r="B334" s="2387" t="s">
        <v>20</v>
      </c>
      <c r="C334" s="2180" t="s">
        <v>646</v>
      </c>
      <c r="D334" s="2163" t="s">
        <v>644</v>
      </c>
      <c r="E334" s="2164">
        <v>200</v>
      </c>
      <c r="F334" s="2344">
        <v>0</v>
      </c>
      <c r="G334" s="2388">
        <f>E334*F334</f>
        <v>0</v>
      </c>
      <c r="H334" s="748"/>
    </row>
    <row r="335" spans="2:8" x14ac:dyDescent="0.2">
      <c r="B335" s="2387"/>
      <c r="C335" s="2180"/>
      <c r="D335" s="2163"/>
      <c r="E335" s="2164"/>
      <c r="F335" s="2172"/>
      <c r="G335" s="2346"/>
      <c r="H335" s="748"/>
    </row>
    <row r="336" spans="2:8" x14ac:dyDescent="0.2">
      <c r="B336" s="2387" t="s">
        <v>24</v>
      </c>
      <c r="C336" s="2180" t="s">
        <v>647</v>
      </c>
      <c r="D336" s="2163" t="s">
        <v>644</v>
      </c>
      <c r="E336" s="2164">
        <v>100</v>
      </c>
      <c r="F336" s="2344">
        <v>0</v>
      </c>
      <c r="G336" s="2388">
        <f>E336*F336</f>
        <v>0</v>
      </c>
      <c r="H336" s="748"/>
    </row>
    <row r="337" spans="2:8" x14ac:dyDescent="0.2">
      <c r="B337" s="2387"/>
      <c r="C337" s="2180"/>
      <c r="D337" s="2163"/>
      <c r="E337" s="2164"/>
      <c r="F337" s="2172"/>
      <c r="G337" s="2346"/>
      <c r="H337" s="748"/>
    </row>
    <row r="338" spans="2:8" x14ac:dyDescent="0.2">
      <c r="B338" s="2387" t="s">
        <v>29</v>
      </c>
      <c r="C338" s="2180" t="s">
        <v>648</v>
      </c>
      <c r="D338" s="2163" t="s">
        <v>644</v>
      </c>
      <c r="E338" s="2164">
        <v>50</v>
      </c>
      <c r="F338" s="2344">
        <v>0</v>
      </c>
      <c r="G338" s="2388">
        <f>E338*F338</f>
        <v>0</v>
      </c>
      <c r="H338" s="748"/>
    </row>
    <row r="339" spans="2:8" x14ac:dyDescent="0.2">
      <c r="B339" s="2387"/>
      <c r="C339" s="2180"/>
      <c r="D339" s="2163"/>
      <c r="E339" s="2164"/>
      <c r="F339" s="2172"/>
      <c r="G339" s="2346"/>
      <c r="H339" s="748"/>
    </row>
    <row r="340" spans="2:8" x14ac:dyDescent="0.2">
      <c r="B340" s="2387" t="s">
        <v>33</v>
      </c>
      <c r="C340" s="2180" t="s">
        <v>649</v>
      </c>
      <c r="D340" s="2163" t="s">
        <v>644</v>
      </c>
      <c r="E340" s="2164">
        <v>4</v>
      </c>
      <c r="F340" s="2344">
        <v>0</v>
      </c>
      <c r="G340" s="2388">
        <f>E340*F340</f>
        <v>0</v>
      </c>
      <c r="H340" s="748"/>
    </row>
    <row r="341" spans="2:8" x14ac:dyDescent="0.2">
      <c r="B341" s="2387"/>
      <c r="C341" s="2180"/>
      <c r="D341" s="2163"/>
      <c r="E341" s="2164"/>
      <c r="F341" s="2172"/>
      <c r="G341" s="2346"/>
      <c r="H341" s="748"/>
    </row>
    <row r="342" spans="2:8" x14ac:dyDescent="0.2">
      <c r="B342" s="2387" t="s">
        <v>38</v>
      </c>
      <c r="C342" s="2180" t="s">
        <v>650</v>
      </c>
      <c r="D342" s="2163" t="s">
        <v>149</v>
      </c>
      <c r="E342" s="2164">
        <v>2</v>
      </c>
      <c r="F342" s="2344">
        <v>0</v>
      </c>
      <c r="G342" s="2388">
        <f>E342*F342</f>
        <v>0</v>
      </c>
      <c r="H342" s="748"/>
    </row>
    <row r="343" spans="2:8" x14ac:dyDescent="0.2">
      <c r="B343" s="2387"/>
      <c r="C343" s="2180"/>
      <c r="D343" s="2163"/>
      <c r="E343" s="2164"/>
      <c r="F343" s="2172"/>
      <c r="G343" s="2346"/>
      <c r="H343" s="748"/>
    </row>
    <row r="344" spans="2:8" x14ac:dyDescent="0.2">
      <c r="B344" s="2387" t="s">
        <v>43</v>
      </c>
      <c r="C344" s="2180" t="s">
        <v>651</v>
      </c>
      <c r="D344" s="2163" t="s">
        <v>644</v>
      </c>
      <c r="E344" s="2164">
        <v>70</v>
      </c>
      <c r="F344" s="2344">
        <v>0</v>
      </c>
      <c r="G344" s="2388">
        <f>E344*F344</f>
        <v>0</v>
      </c>
      <c r="H344" s="748"/>
    </row>
    <row r="345" spans="2:8" x14ac:dyDescent="0.2">
      <c r="B345" s="2387"/>
      <c r="C345" s="2180"/>
      <c r="D345" s="2163"/>
      <c r="E345" s="2164"/>
      <c r="F345" s="2172"/>
      <c r="G345" s="2346"/>
      <c r="H345" s="748"/>
    </row>
    <row r="346" spans="2:8" x14ac:dyDescent="0.2">
      <c r="B346" s="2387" t="s">
        <v>562</v>
      </c>
      <c r="C346" s="2180" t="s">
        <v>652</v>
      </c>
      <c r="D346" s="2163" t="s">
        <v>644</v>
      </c>
      <c r="E346" s="2164">
        <v>50</v>
      </c>
      <c r="F346" s="2344">
        <v>0</v>
      </c>
      <c r="G346" s="2388">
        <f>E346*F346</f>
        <v>0</v>
      </c>
      <c r="H346" s="748"/>
    </row>
    <row r="347" spans="2:8" x14ac:dyDescent="0.2">
      <c r="B347" s="2387"/>
      <c r="C347" s="2180"/>
      <c r="D347" s="2163"/>
      <c r="E347" s="2164"/>
      <c r="F347" s="2172"/>
      <c r="G347" s="2346"/>
      <c r="H347" s="748"/>
    </row>
    <row r="348" spans="2:8" x14ac:dyDescent="0.2">
      <c r="B348" s="2387" t="s">
        <v>564</v>
      </c>
      <c r="C348" s="2180" t="s">
        <v>632</v>
      </c>
      <c r="D348" s="2163" t="s">
        <v>553</v>
      </c>
      <c r="E348" s="2164">
        <v>1</v>
      </c>
      <c r="F348" s="2344">
        <v>0</v>
      </c>
      <c r="G348" s="2388">
        <f>E348*F348</f>
        <v>0</v>
      </c>
      <c r="H348" s="748"/>
    </row>
    <row r="349" spans="2:8" x14ac:dyDescent="0.2">
      <c r="B349" s="2380"/>
      <c r="C349" s="2381"/>
      <c r="D349" s="2382"/>
      <c r="E349" s="2383"/>
      <c r="F349" s="2378"/>
      <c r="G349" s="2321"/>
      <c r="H349" s="748"/>
    </row>
    <row r="350" spans="2:8" x14ac:dyDescent="0.2">
      <c r="B350" s="2399" t="s">
        <v>1466</v>
      </c>
      <c r="C350" s="2159" t="s">
        <v>654</v>
      </c>
      <c r="D350" s="2397"/>
      <c r="E350" s="2398"/>
      <c r="F350" s="2386"/>
      <c r="G350" s="2346"/>
      <c r="H350" s="748"/>
    </row>
    <row r="351" spans="2:8" x14ac:dyDescent="0.2">
      <c r="B351" s="2387"/>
      <c r="C351" s="2180"/>
      <c r="D351" s="2163"/>
      <c r="E351" s="2164"/>
      <c r="F351" s="2172"/>
      <c r="G351" s="2346"/>
      <c r="H351" s="748"/>
    </row>
    <row r="352" spans="2:8" x14ac:dyDescent="0.2">
      <c r="B352" s="2387" t="s">
        <v>8</v>
      </c>
      <c r="C352" s="2180" t="s">
        <v>655</v>
      </c>
      <c r="D352" s="2163" t="s">
        <v>644</v>
      </c>
      <c r="E352" s="2164">
        <v>60</v>
      </c>
      <c r="F352" s="2344">
        <v>0</v>
      </c>
      <c r="G352" s="2388">
        <f>E352*F352</f>
        <v>0</v>
      </c>
      <c r="H352" s="748"/>
    </row>
    <row r="353" spans="2:8" x14ac:dyDescent="0.2">
      <c r="B353" s="2387"/>
      <c r="C353" s="2180"/>
      <c r="D353" s="2163"/>
      <c r="E353" s="2164"/>
      <c r="F353" s="2172"/>
      <c r="G353" s="2346"/>
      <c r="H353" s="748"/>
    </row>
    <row r="354" spans="2:8" ht="36" x14ac:dyDescent="0.2">
      <c r="B354" s="2387" t="s">
        <v>15</v>
      </c>
      <c r="C354" s="2180" t="s">
        <v>656</v>
      </c>
      <c r="D354" s="2163" t="s">
        <v>553</v>
      </c>
      <c r="E354" s="2164">
        <v>2</v>
      </c>
      <c r="F354" s="2344">
        <v>0</v>
      </c>
      <c r="G354" s="2388">
        <f>E354*F354</f>
        <v>0</v>
      </c>
      <c r="H354" s="748"/>
    </row>
    <row r="355" spans="2:8" x14ac:dyDescent="0.2">
      <c r="B355" s="2387"/>
      <c r="C355" s="2180"/>
      <c r="D355" s="2163"/>
      <c r="E355" s="2164"/>
      <c r="F355" s="2172"/>
      <c r="G355" s="2346"/>
      <c r="H355" s="748"/>
    </row>
    <row r="356" spans="2:8" ht="36" x14ac:dyDescent="0.2">
      <c r="B356" s="2387" t="s">
        <v>20</v>
      </c>
      <c r="C356" s="2180" t="s">
        <v>657</v>
      </c>
      <c r="D356" s="2163" t="s">
        <v>553</v>
      </c>
      <c r="E356" s="2164">
        <v>1</v>
      </c>
      <c r="F356" s="2344">
        <v>0</v>
      </c>
      <c r="G356" s="2388">
        <f>E356*F356</f>
        <v>0</v>
      </c>
      <c r="H356" s="748"/>
    </row>
    <row r="357" spans="2:8" x14ac:dyDescent="0.2">
      <c r="B357" s="2387"/>
      <c r="C357" s="2180"/>
      <c r="D357" s="2163"/>
      <c r="E357" s="2164"/>
      <c r="F357" s="2172"/>
      <c r="G357" s="2346"/>
      <c r="H357" s="748"/>
    </row>
    <row r="358" spans="2:8" ht="24" x14ac:dyDescent="0.2">
      <c r="B358" s="2387" t="s">
        <v>24</v>
      </c>
      <c r="C358" s="2180" t="s">
        <v>658</v>
      </c>
      <c r="D358" s="2163" t="s">
        <v>644</v>
      </c>
      <c r="E358" s="2164">
        <v>200</v>
      </c>
      <c r="F358" s="2344">
        <v>0</v>
      </c>
      <c r="G358" s="2388">
        <f>E358*F358</f>
        <v>0</v>
      </c>
      <c r="H358" s="748"/>
    </row>
    <row r="359" spans="2:8" x14ac:dyDescent="0.2">
      <c r="B359" s="2387"/>
      <c r="C359" s="2180"/>
      <c r="D359" s="2163"/>
      <c r="E359" s="2164"/>
      <c r="F359" s="2172"/>
      <c r="G359" s="2346"/>
      <c r="H359" s="748"/>
    </row>
    <row r="360" spans="2:8" x14ac:dyDescent="0.2">
      <c r="B360" s="2387"/>
      <c r="C360" s="2180"/>
      <c r="D360" s="2163"/>
      <c r="E360" s="2164"/>
      <c r="F360" s="2172"/>
      <c r="G360" s="2346"/>
      <c r="H360" s="748"/>
    </row>
    <row r="361" spans="2:8" x14ac:dyDescent="0.2">
      <c r="B361" s="2387" t="s">
        <v>29</v>
      </c>
      <c r="C361" s="2180" t="s">
        <v>660</v>
      </c>
      <c r="D361" s="2163" t="s">
        <v>123</v>
      </c>
      <c r="E361" s="2164">
        <v>15</v>
      </c>
      <c r="F361" s="2344">
        <v>0</v>
      </c>
      <c r="G361" s="2388">
        <f>E361*F361</f>
        <v>0</v>
      </c>
      <c r="H361" s="748"/>
    </row>
    <row r="362" spans="2:8" x14ac:dyDescent="0.2">
      <c r="B362" s="2387"/>
      <c r="C362" s="2180"/>
      <c r="D362" s="2163"/>
      <c r="E362" s="2164"/>
      <c r="F362" s="2172"/>
      <c r="G362" s="2346"/>
      <c r="H362" s="748"/>
    </row>
    <row r="363" spans="2:8" ht="24" x14ac:dyDescent="0.2">
      <c r="B363" s="2387" t="s">
        <v>33</v>
      </c>
      <c r="C363" s="2180" t="s">
        <v>661</v>
      </c>
      <c r="D363" s="2163" t="s">
        <v>553</v>
      </c>
      <c r="E363" s="2164">
        <v>15</v>
      </c>
      <c r="F363" s="2344">
        <v>0</v>
      </c>
      <c r="G363" s="2388">
        <f>E363*F363</f>
        <v>0</v>
      </c>
      <c r="H363" s="748"/>
    </row>
    <row r="364" spans="2:8" x14ac:dyDescent="0.2">
      <c r="B364" s="2387"/>
      <c r="C364" s="2180"/>
      <c r="D364" s="2163"/>
      <c r="E364" s="2164"/>
      <c r="F364" s="2172"/>
      <c r="G364" s="2346"/>
      <c r="H364" s="748"/>
    </row>
    <row r="365" spans="2:8" ht="36" x14ac:dyDescent="0.2">
      <c r="B365" s="2387" t="s">
        <v>38</v>
      </c>
      <c r="C365" s="2180" t="s">
        <v>1558</v>
      </c>
      <c r="D365" s="2163" t="s">
        <v>553</v>
      </c>
      <c r="E365" s="2164">
        <v>2</v>
      </c>
      <c r="F365" s="2344">
        <v>0</v>
      </c>
      <c r="G365" s="2388">
        <f>E365*F365</f>
        <v>0</v>
      </c>
      <c r="H365" s="748"/>
    </row>
    <row r="366" spans="2:8" x14ac:dyDescent="0.2">
      <c r="B366" s="2387"/>
      <c r="C366" s="2180"/>
      <c r="D366" s="2163"/>
      <c r="E366" s="2164"/>
      <c r="F366" s="2172"/>
      <c r="G366" s="2346"/>
      <c r="H366" s="748"/>
    </row>
    <row r="367" spans="2:8" ht="36" x14ac:dyDescent="0.2">
      <c r="B367" s="2387" t="s">
        <v>43</v>
      </c>
      <c r="C367" s="2180" t="s">
        <v>1559</v>
      </c>
      <c r="D367" s="2163" t="s">
        <v>553</v>
      </c>
      <c r="E367" s="2164">
        <v>2</v>
      </c>
      <c r="F367" s="2344">
        <v>0</v>
      </c>
      <c r="G367" s="2388">
        <f>E367*F367</f>
        <v>0</v>
      </c>
      <c r="H367" s="748"/>
    </row>
    <row r="368" spans="2:8" x14ac:dyDescent="0.2">
      <c r="B368" s="2387"/>
      <c r="C368" s="2180"/>
      <c r="D368" s="2163"/>
      <c r="E368" s="2164"/>
      <c r="F368" s="2172"/>
      <c r="G368" s="2346"/>
      <c r="H368" s="748"/>
    </row>
    <row r="369" spans="2:8" x14ac:dyDescent="0.2">
      <c r="B369" s="2387"/>
      <c r="C369" s="2180"/>
      <c r="D369" s="2163"/>
      <c r="E369" s="2164"/>
      <c r="F369" s="2172"/>
      <c r="G369" s="2346"/>
      <c r="H369" s="748"/>
    </row>
    <row r="370" spans="2:8" x14ac:dyDescent="0.2">
      <c r="B370" s="2387" t="s">
        <v>562</v>
      </c>
      <c r="C370" s="2180" t="s">
        <v>663</v>
      </c>
      <c r="D370" s="2163" t="s">
        <v>553</v>
      </c>
      <c r="E370" s="2164">
        <v>1</v>
      </c>
      <c r="F370" s="2344">
        <v>0</v>
      </c>
      <c r="G370" s="2388">
        <f>E370*F370</f>
        <v>0</v>
      </c>
      <c r="H370" s="748"/>
    </row>
    <row r="371" spans="2:8" x14ac:dyDescent="0.2">
      <c r="B371" s="2380"/>
      <c r="C371" s="2381"/>
      <c r="D371" s="2382"/>
      <c r="E371" s="2383"/>
      <c r="F371" s="2378"/>
      <c r="G371" s="2321"/>
      <c r="H371" s="748"/>
    </row>
    <row r="372" spans="2:8" x14ac:dyDescent="0.2">
      <c r="B372" s="2399" t="s">
        <v>1467</v>
      </c>
      <c r="C372" s="2159" t="s">
        <v>665</v>
      </c>
      <c r="D372" s="2397"/>
      <c r="E372" s="2398"/>
      <c r="F372" s="2386"/>
      <c r="G372" s="2335"/>
      <c r="H372" s="748"/>
    </row>
    <row r="373" spans="2:8" x14ac:dyDescent="0.2">
      <c r="B373" s="2387"/>
      <c r="C373" s="2396"/>
      <c r="D373" s="2397"/>
      <c r="E373" s="2398"/>
      <c r="F373" s="2386"/>
      <c r="G373" s="2335"/>
      <c r="H373" s="748"/>
    </row>
    <row r="374" spans="2:8" ht="36" x14ac:dyDescent="0.2">
      <c r="B374" s="2387" t="s">
        <v>8</v>
      </c>
      <c r="C374" s="2180" t="s">
        <v>666</v>
      </c>
      <c r="D374" s="2163" t="s">
        <v>644</v>
      </c>
      <c r="E374" s="2164">
        <v>40</v>
      </c>
      <c r="F374" s="2344">
        <v>0</v>
      </c>
      <c r="G374" s="2388">
        <f>E374*F374</f>
        <v>0</v>
      </c>
      <c r="H374" s="748"/>
    </row>
    <row r="375" spans="2:8" x14ac:dyDescent="0.2">
      <c r="B375" s="2387"/>
      <c r="C375" s="2180"/>
      <c r="D375" s="2163"/>
      <c r="E375" s="2164"/>
      <c r="F375" s="2172"/>
      <c r="G375" s="2346"/>
      <c r="H375" s="748"/>
    </row>
    <row r="376" spans="2:8" x14ac:dyDescent="0.2">
      <c r="B376" s="2387" t="s">
        <v>15</v>
      </c>
      <c r="C376" s="2180" t="s">
        <v>667</v>
      </c>
      <c r="D376" s="2163" t="s">
        <v>644</v>
      </c>
      <c r="E376" s="2164">
        <v>100</v>
      </c>
      <c r="F376" s="2344">
        <v>0</v>
      </c>
      <c r="G376" s="2388">
        <f>E376*F376</f>
        <v>0</v>
      </c>
      <c r="H376" s="748"/>
    </row>
    <row r="377" spans="2:8" x14ac:dyDescent="0.2">
      <c r="B377" s="2387"/>
      <c r="C377" s="2180"/>
      <c r="D377" s="2163"/>
      <c r="E377" s="2164"/>
      <c r="F377" s="2172"/>
      <c r="G377" s="2346"/>
      <c r="H377" s="748"/>
    </row>
    <row r="378" spans="2:8" x14ac:dyDescent="0.2">
      <c r="B378" s="2387" t="s">
        <v>20</v>
      </c>
      <c r="C378" s="2180" t="s">
        <v>668</v>
      </c>
      <c r="D378" s="2163" t="s">
        <v>644</v>
      </c>
      <c r="E378" s="2164">
        <v>40</v>
      </c>
      <c r="F378" s="2344">
        <v>0</v>
      </c>
      <c r="G378" s="2388">
        <f>E378*F378</f>
        <v>0</v>
      </c>
      <c r="H378" s="748"/>
    </row>
    <row r="379" spans="2:8" x14ac:dyDescent="0.2">
      <c r="B379" s="2387"/>
      <c r="C379" s="2180"/>
      <c r="D379" s="2163"/>
      <c r="E379" s="2164"/>
      <c r="F379" s="2172"/>
      <c r="G379" s="2346"/>
      <c r="H379" s="748"/>
    </row>
    <row r="380" spans="2:8" x14ac:dyDescent="0.2">
      <c r="B380" s="2387" t="s">
        <v>24</v>
      </c>
      <c r="C380" s="2180" t="s">
        <v>669</v>
      </c>
      <c r="D380" s="2163" t="s">
        <v>123</v>
      </c>
      <c r="E380" s="2164">
        <v>1</v>
      </c>
      <c r="F380" s="2344">
        <v>0</v>
      </c>
      <c r="G380" s="2388">
        <f>E380*F380</f>
        <v>0</v>
      </c>
      <c r="H380" s="748"/>
    </row>
    <row r="381" spans="2:8" x14ac:dyDescent="0.2">
      <c r="B381" s="2387"/>
      <c r="C381" s="2180"/>
      <c r="D381" s="2163"/>
      <c r="E381" s="2164"/>
      <c r="F381" s="2172"/>
      <c r="G381" s="2346"/>
      <c r="H381" s="748"/>
    </row>
    <row r="382" spans="2:8" ht="41.25" customHeight="1" x14ac:dyDescent="0.2">
      <c r="B382" s="2387" t="s">
        <v>29</v>
      </c>
      <c r="C382" s="2356" t="s">
        <v>670</v>
      </c>
      <c r="D382" s="2163" t="s">
        <v>123</v>
      </c>
      <c r="E382" s="2164">
        <v>1</v>
      </c>
      <c r="F382" s="2344">
        <v>0</v>
      </c>
      <c r="G382" s="2388">
        <f>E382*F382</f>
        <v>0</v>
      </c>
      <c r="H382" s="748"/>
    </row>
    <row r="383" spans="2:8" x14ac:dyDescent="0.2">
      <c r="B383" s="2387"/>
      <c r="C383" s="2356"/>
      <c r="D383" s="2163"/>
      <c r="E383" s="2164"/>
      <c r="F383" s="2172"/>
      <c r="G383" s="2346"/>
      <c r="H383" s="748"/>
    </row>
    <row r="384" spans="2:8" x14ac:dyDescent="0.2">
      <c r="B384" s="2387" t="s">
        <v>33</v>
      </c>
      <c r="C384" s="2356" t="s">
        <v>671</v>
      </c>
      <c r="D384" s="2163" t="s">
        <v>123</v>
      </c>
      <c r="E384" s="2164">
        <v>1</v>
      </c>
      <c r="F384" s="2344">
        <v>0</v>
      </c>
      <c r="G384" s="2388">
        <f>E384*F384</f>
        <v>0</v>
      </c>
      <c r="H384" s="748"/>
    </row>
    <row r="385" spans="2:8" x14ac:dyDescent="0.2">
      <c r="B385" s="2387"/>
      <c r="C385" s="2356"/>
      <c r="D385" s="2163"/>
      <c r="E385" s="2164"/>
      <c r="F385" s="2172"/>
      <c r="G385" s="2346"/>
      <c r="H385" s="748"/>
    </row>
    <row r="386" spans="2:8" x14ac:dyDescent="0.2">
      <c r="B386" s="2387" t="s">
        <v>38</v>
      </c>
      <c r="C386" s="2356" t="s">
        <v>672</v>
      </c>
      <c r="D386" s="2163" t="s">
        <v>123</v>
      </c>
      <c r="E386" s="2164">
        <v>1</v>
      </c>
      <c r="F386" s="2344">
        <v>0</v>
      </c>
      <c r="G386" s="2388">
        <f>E386*F386</f>
        <v>0</v>
      </c>
      <c r="H386" s="748"/>
    </row>
    <row r="387" spans="2:8" x14ac:dyDescent="0.2">
      <c r="B387" s="2387"/>
      <c r="C387" s="2180"/>
      <c r="D387" s="2163"/>
      <c r="E387" s="2164"/>
      <c r="F387" s="2172"/>
      <c r="G387" s="2346"/>
      <c r="H387" s="748"/>
    </row>
    <row r="388" spans="2:8" ht="24" x14ac:dyDescent="0.2">
      <c r="B388" s="2387" t="s">
        <v>43</v>
      </c>
      <c r="C388" s="2180" t="s">
        <v>673</v>
      </c>
      <c r="D388" s="2163" t="s">
        <v>123</v>
      </c>
      <c r="E388" s="2164">
        <v>4</v>
      </c>
      <c r="F388" s="2344">
        <v>0</v>
      </c>
      <c r="G388" s="2388">
        <f>E388*F388</f>
        <v>0</v>
      </c>
      <c r="H388" s="748"/>
    </row>
    <row r="389" spans="2:8" x14ac:dyDescent="0.2">
      <c r="B389" s="2387"/>
      <c r="C389" s="2180"/>
      <c r="D389" s="2163"/>
      <c r="E389" s="2164"/>
      <c r="F389" s="2172"/>
      <c r="G389" s="2346"/>
      <c r="H389" s="748"/>
    </row>
    <row r="390" spans="2:8" x14ac:dyDescent="0.2">
      <c r="B390" s="2387" t="s">
        <v>562</v>
      </c>
      <c r="C390" s="2180" t="s">
        <v>787</v>
      </c>
      <c r="D390" s="2163" t="s">
        <v>123</v>
      </c>
      <c r="E390" s="2164">
        <v>2</v>
      </c>
      <c r="F390" s="2344">
        <v>0</v>
      </c>
      <c r="G390" s="2388">
        <f>E390*F390</f>
        <v>0</v>
      </c>
      <c r="H390" s="748"/>
    </row>
    <row r="391" spans="2:8" x14ac:dyDescent="0.2">
      <c r="B391" s="2387"/>
      <c r="C391" s="2180"/>
      <c r="D391" s="2163"/>
      <c r="E391" s="2164"/>
      <c r="F391" s="2172"/>
      <c r="G391" s="2346"/>
      <c r="H391" s="748"/>
    </row>
    <row r="392" spans="2:8" x14ac:dyDescent="0.2">
      <c r="B392" s="2387" t="s">
        <v>564</v>
      </c>
      <c r="C392" s="2180" t="s">
        <v>675</v>
      </c>
      <c r="D392" s="2163" t="s">
        <v>123</v>
      </c>
      <c r="E392" s="2164">
        <v>3</v>
      </c>
      <c r="F392" s="2344">
        <v>0</v>
      </c>
      <c r="G392" s="2388">
        <f>E392*F392</f>
        <v>0</v>
      </c>
      <c r="H392" s="748"/>
    </row>
    <row r="393" spans="2:8" x14ac:dyDescent="0.2">
      <c r="B393" s="2387"/>
      <c r="C393" s="2180"/>
      <c r="D393" s="2163"/>
      <c r="E393" s="2164"/>
      <c r="F393" s="2172"/>
      <c r="G393" s="2346"/>
      <c r="H393" s="748"/>
    </row>
    <row r="394" spans="2:8" x14ac:dyDescent="0.2">
      <c r="B394" s="2387" t="s">
        <v>566</v>
      </c>
      <c r="C394" s="2180" t="s">
        <v>676</v>
      </c>
      <c r="D394" s="2163" t="s">
        <v>123</v>
      </c>
      <c r="E394" s="2164">
        <v>2</v>
      </c>
      <c r="F394" s="2344">
        <v>0</v>
      </c>
      <c r="G394" s="2388">
        <f>E394*F394</f>
        <v>0</v>
      </c>
      <c r="H394" s="748"/>
    </row>
    <row r="395" spans="2:8" x14ac:dyDescent="0.2">
      <c r="B395" s="2387"/>
      <c r="C395" s="2180"/>
      <c r="D395" s="2163"/>
      <c r="E395" s="2164"/>
      <c r="F395" s="2172"/>
      <c r="G395" s="2346"/>
      <c r="H395" s="748"/>
    </row>
    <row r="396" spans="2:8" ht="24" x14ac:dyDescent="0.2">
      <c r="B396" s="2387" t="s">
        <v>568</v>
      </c>
      <c r="C396" s="2180" t="s">
        <v>677</v>
      </c>
      <c r="D396" s="2163" t="s">
        <v>123</v>
      </c>
      <c r="E396" s="2164">
        <v>1</v>
      </c>
      <c r="F396" s="2344">
        <v>0</v>
      </c>
      <c r="G396" s="2388">
        <f>E396*F396</f>
        <v>0</v>
      </c>
      <c r="H396" s="748"/>
    </row>
    <row r="397" spans="2:8" x14ac:dyDescent="0.2">
      <c r="B397" s="2380"/>
      <c r="C397" s="2381"/>
      <c r="D397" s="2382"/>
      <c r="E397" s="2383"/>
      <c r="F397" s="2378"/>
      <c r="G397" s="2321"/>
      <c r="H397" s="748"/>
    </row>
    <row r="398" spans="2:8" x14ac:dyDescent="0.2">
      <c r="B398" s="2399" t="s">
        <v>1468</v>
      </c>
      <c r="C398" s="2159" t="s">
        <v>679</v>
      </c>
      <c r="D398" s="2397"/>
      <c r="E398" s="2398"/>
      <c r="F398" s="2386"/>
      <c r="G398" s="2335"/>
      <c r="H398" s="748"/>
    </row>
    <row r="399" spans="2:8" x14ac:dyDescent="0.2">
      <c r="B399" s="2387"/>
      <c r="C399" s="2396"/>
      <c r="D399" s="2397"/>
      <c r="E399" s="2398"/>
      <c r="F399" s="2386"/>
      <c r="G399" s="2335"/>
      <c r="H399" s="748"/>
    </row>
    <row r="400" spans="2:8" x14ac:dyDescent="0.2">
      <c r="B400" s="2393" t="s">
        <v>8</v>
      </c>
      <c r="C400" s="2353" t="s">
        <v>680</v>
      </c>
      <c r="D400" s="2163" t="s">
        <v>553</v>
      </c>
      <c r="E400" s="2164">
        <v>16</v>
      </c>
      <c r="F400" s="2344">
        <v>0</v>
      </c>
      <c r="G400" s="2388">
        <f>E400*F400</f>
        <v>0</v>
      </c>
      <c r="H400" s="748"/>
    </row>
    <row r="401" spans="2:8" x14ac:dyDescent="0.2">
      <c r="B401" s="2387"/>
      <c r="C401" s="2165"/>
      <c r="D401" s="2163"/>
      <c r="E401" s="2164"/>
      <c r="F401" s="2172"/>
      <c r="G401" s="2346"/>
      <c r="H401" s="748"/>
    </row>
    <row r="402" spans="2:8" x14ac:dyDescent="0.2">
      <c r="B402" s="2393" t="s">
        <v>15</v>
      </c>
      <c r="C402" s="2353" t="s">
        <v>681</v>
      </c>
      <c r="D402" s="2163" t="s">
        <v>553</v>
      </c>
      <c r="E402" s="2164">
        <v>1</v>
      </c>
      <c r="F402" s="2344">
        <v>0</v>
      </c>
      <c r="G402" s="2388">
        <f>E402*F402</f>
        <v>0</v>
      </c>
      <c r="H402" s="748"/>
    </row>
    <row r="403" spans="2:8" x14ac:dyDescent="0.2">
      <c r="B403" s="2387"/>
      <c r="C403" s="2165"/>
      <c r="D403" s="2163"/>
      <c r="E403" s="2164"/>
      <c r="F403" s="2172"/>
      <c r="G403" s="2346"/>
      <c r="H403" s="748"/>
    </row>
    <row r="404" spans="2:8" ht="72" x14ac:dyDescent="0.2">
      <c r="B404" s="2393" t="s">
        <v>20</v>
      </c>
      <c r="C404" s="2354" t="s">
        <v>1356</v>
      </c>
      <c r="D404" s="2163" t="s">
        <v>553</v>
      </c>
      <c r="E404" s="2164">
        <v>1</v>
      </c>
      <c r="F404" s="2344">
        <v>0</v>
      </c>
      <c r="G404" s="2388">
        <f t="shared" ref="G404:G409" si="8">E404*F404</f>
        <v>0</v>
      </c>
      <c r="H404" s="748"/>
    </row>
    <row r="405" spans="2:8" ht="108" x14ac:dyDescent="0.2">
      <c r="B405" s="2393" t="s">
        <v>24</v>
      </c>
      <c r="C405" s="2168" t="s">
        <v>1357</v>
      </c>
      <c r="D405" s="2163" t="s">
        <v>553</v>
      </c>
      <c r="E405" s="2164">
        <v>1</v>
      </c>
      <c r="F405" s="2344">
        <v>0</v>
      </c>
      <c r="G405" s="2388">
        <f t="shared" si="8"/>
        <v>0</v>
      </c>
      <c r="H405" s="748"/>
    </row>
    <row r="406" spans="2:8" ht="60" x14ac:dyDescent="0.2">
      <c r="B406" s="2387" t="s">
        <v>29</v>
      </c>
      <c r="C406" s="2355" t="s">
        <v>1358</v>
      </c>
      <c r="D406" s="2163" t="s">
        <v>553</v>
      </c>
      <c r="E406" s="2164">
        <v>1</v>
      </c>
      <c r="F406" s="2344">
        <v>0</v>
      </c>
      <c r="G406" s="2388">
        <f t="shared" si="8"/>
        <v>0</v>
      </c>
      <c r="H406" s="748"/>
    </row>
    <row r="407" spans="2:8" ht="36" x14ac:dyDescent="0.2">
      <c r="B407" s="2387" t="s">
        <v>33</v>
      </c>
      <c r="C407" s="2168" t="s">
        <v>1359</v>
      </c>
      <c r="D407" s="2163" t="s">
        <v>553</v>
      </c>
      <c r="E407" s="2164">
        <v>1</v>
      </c>
      <c r="F407" s="2344">
        <v>0</v>
      </c>
      <c r="G407" s="2388">
        <f t="shared" si="8"/>
        <v>0</v>
      </c>
      <c r="H407" s="748"/>
    </row>
    <row r="408" spans="2:8" ht="48" x14ac:dyDescent="0.2">
      <c r="B408" s="2387" t="s">
        <v>38</v>
      </c>
      <c r="C408" s="2168" t="s">
        <v>1360</v>
      </c>
      <c r="D408" s="2163" t="s">
        <v>553</v>
      </c>
      <c r="E408" s="2164">
        <v>1</v>
      </c>
      <c r="F408" s="2344">
        <v>0</v>
      </c>
      <c r="G408" s="2388">
        <f t="shared" si="8"/>
        <v>0</v>
      </c>
      <c r="H408" s="748"/>
    </row>
    <row r="409" spans="2:8" ht="48" x14ac:dyDescent="0.2">
      <c r="B409" s="2387" t="s">
        <v>43</v>
      </c>
      <c r="C409" s="2168" t="s">
        <v>1361</v>
      </c>
      <c r="D409" s="2163" t="s">
        <v>553</v>
      </c>
      <c r="E409" s="2164">
        <v>1</v>
      </c>
      <c r="F409" s="2344">
        <v>0</v>
      </c>
      <c r="G409" s="2388">
        <f t="shared" si="8"/>
        <v>0</v>
      </c>
      <c r="H409" s="748"/>
    </row>
    <row r="410" spans="2:8" x14ac:dyDescent="0.2">
      <c r="B410" s="2380"/>
      <c r="C410" s="548"/>
      <c r="D410" s="2325"/>
      <c r="E410" s="2326"/>
      <c r="F410" s="2327"/>
      <c r="G410" s="2379"/>
      <c r="H410" s="748"/>
    </row>
    <row r="411" spans="2:8" x14ac:dyDescent="0.2">
      <c r="B411" s="2399" t="s">
        <v>1470</v>
      </c>
      <c r="C411" s="2159" t="s">
        <v>689</v>
      </c>
      <c r="D411" s="2397"/>
      <c r="E411" s="2398"/>
      <c r="F411" s="2386"/>
      <c r="G411" s="2386"/>
      <c r="H411" s="748"/>
    </row>
    <row r="412" spans="2:8" x14ac:dyDescent="0.2">
      <c r="B412" s="2337"/>
      <c r="C412" s="2169"/>
      <c r="D412" s="2338"/>
      <c r="E412" s="2339"/>
      <c r="F412" s="2340"/>
      <c r="G412" s="2340"/>
      <c r="H412" s="748"/>
    </row>
    <row r="413" spans="2:8" ht="72" x14ac:dyDescent="0.2">
      <c r="B413" s="2387" t="s">
        <v>8</v>
      </c>
      <c r="C413" s="2343" t="s">
        <v>1471</v>
      </c>
      <c r="D413" s="2163" t="s">
        <v>553</v>
      </c>
      <c r="E413" s="2164">
        <v>1</v>
      </c>
      <c r="F413" s="2344">
        <v>0</v>
      </c>
      <c r="G413" s="2388">
        <f>E413*F413</f>
        <v>0</v>
      </c>
      <c r="H413" s="748"/>
    </row>
    <row r="414" spans="2:8" x14ac:dyDescent="0.2">
      <c r="B414" s="2387"/>
      <c r="C414" s="2165"/>
      <c r="D414" s="2163"/>
      <c r="E414" s="2164"/>
      <c r="F414" s="2172"/>
      <c r="G414" s="2392"/>
      <c r="H414" s="748"/>
    </row>
    <row r="415" spans="2:8" ht="24" x14ac:dyDescent="0.2">
      <c r="B415" s="2387" t="s">
        <v>15</v>
      </c>
      <c r="C415" s="2347" t="s">
        <v>1472</v>
      </c>
      <c r="D415" s="2163" t="s">
        <v>553</v>
      </c>
      <c r="E415" s="2164">
        <v>1</v>
      </c>
      <c r="F415" s="2344">
        <v>0</v>
      </c>
      <c r="G415" s="2388">
        <f>E415*F415</f>
        <v>0</v>
      </c>
      <c r="H415" s="748"/>
    </row>
    <row r="416" spans="2:8" x14ac:dyDescent="0.2">
      <c r="B416" s="2387"/>
      <c r="C416" s="2348"/>
      <c r="D416" s="2163"/>
      <c r="E416" s="2164"/>
      <c r="F416" s="2172"/>
      <c r="G416" s="2392"/>
      <c r="H416" s="748"/>
    </row>
    <row r="417" spans="2:8" x14ac:dyDescent="0.2">
      <c r="B417" s="2387" t="s">
        <v>20</v>
      </c>
      <c r="C417" s="2349" t="s">
        <v>1473</v>
      </c>
      <c r="D417" s="2163" t="s">
        <v>553</v>
      </c>
      <c r="E417" s="2164">
        <v>1</v>
      </c>
      <c r="F417" s="2344">
        <v>0</v>
      </c>
      <c r="G417" s="2388">
        <f>E417*F417</f>
        <v>0</v>
      </c>
      <c r="H417" s="748"/>
    </row>
    <row r="418" spans="2:8" x14ac:dyDescent="0.2">
      <c r="B418" s="2387"/>
      <c r="C418" s="2348"/>
      <c r="D418" s="2163"/>
      <c r="E418" s="2164"/>
      <c r="F418" s="2172"/>
      <c r="G418" s="2392"/>
      <c r="H418" s="748"/>
    </row>
    <row r="419" spans="2:8" ht="72" x14ac:dyDescent="0.2">
      <c r="B419" s="2387" t="s">
        <v>24</v>
      </c>
      <c r="C419" s="2396" t="s">
        <v>1474</v>
      </c>
      <c r="D419" s="2397" t="s">
        <v>644</v>
      </c>
      <c r="E419" s="2398">
        <v>28</v>
      </c>
      <c r="F419" s="2344">
        <v>0</v>
      </c>
      <c r="G419" s="2388">
        <f>E419*F419</f>
        <v>0</v>
      </c>
      <c r="H419" s="748"/>
    </row>
    <row r="420" spans="2:8" x14ac:dyDescent="0.2">
      <c r="B420" s="2387"/>
      <c r="C420" s="2396"/>
      <c r="D420" s="2397"/>
      <c r="E420" s="2398"/>
      <c r="F420" s="2386"/>
      <c r="G420" s="2392"/>
      <c r="H420" s="748"/>
    </row>
    <row r="421" spans="2:8" ht="24" x14ac:dyDescent="0.2">
      <c r="B421" s="2387" t="s">
        <v>29</v>
      </c>
      <c r="C421" s="2349" t="s">
        <v>691</v>
      </c>
      <c r="D421" s="2163" t="s">
        <v>644</v>
      </c>
      <c r="E421" s="2164">
        <v>35</v>
      </c>
      <c r="F421" s="2344">
        <v>0</v>
      </c>
      <c r="G421" s="2388">
        <f>E421*F421</f>
        <v>0</v>
      </c>
      <c r="H421" s="748"/>
    </row>
    <row r="422" spans="2:8" x14ac:dyDescent="0.2">
      <c r="B422" s="2387"/>
      <c r="C422" s="2348"/>
      <c r="D422" s="2163"/>
      <c r="E422" s="2164"/>
      <c r="F422" s="2172"/>
      <c r="G422" s="2392"/>
      <c r="H422" s="748"/>
    </row>
    <row r="423" spans="2:8" ht="24" x14ac:dyDescent="0.2">
      <c r="B423" s="2387" t="s">
        <v>33</v>
      </c>
      <c r="C423" s="2169" t="s">
        <v>1560</v>
      </c>
      <c r="D423" s="2163" t="s">
        <v>553</v>
      </c>
      <c r="E423" s="2164">
        <v>1</v>
      </c>
      <c r="F423" s="2344">
        <v>0</v>
      </c>
      <c r="G423" s="2388">
        <f>E423*F423</f>
        <v>0</v>
      </c>
      <c r="H423" s="748"/>
    </row>
    <row r="424" spans="2:8" x14ac:dyDescent="0.2">
      <c r="B424" s="2387"/>
      <c r="C424" s="2165"/>
      <c r="D424" s="2163"/>
      <c r="E424" s="2164"/>
      <c r="F424" s="2172"/>
      <c r="G424" s="2392"/>
      <c r="H424" s="748"/>
    </row>
    <row r="425" spans="2:8" ht="24" x14ac:dyDescent="0.2">
      <c r="B425" s="2387" t="s">
        <v>38</v>
      </c>
      <c r="C425" s="2165" t="s">
        <v>695</v>
      </c>
      <c r="D425" s="2163" t="s">
        <v>553</v>
      </c>
      <c r="E425" s="2164">
        <v>1</v>
      </c>
      <c r="F425" s="2344">
        <v>0</v>
      </c>
      <c r="G425" s="2388">
        <f>E425*F425</f>
        <v>0</v>
      </c>
      <c r="H425" s="748"/>
    </row>
    <row r="426" spans="2:8" x14ac:dyDescent="0.2">
      <c r="B426" s="2387"/>
      <c r="C426" s="2165"/>
      <c r="D426" s="2163"/>
      <c r="E426" s="2164"/>
      <c r="F426" s="2172"/>
      <c r="G426" s="2392"/>
      <c r="H426" s="748"/>
    </row>
    <row r="427" spans="2:8" x14ac:dyDescent="0.2">
      <c r="B427" s="2387" t="s">
        <v>43</v>
      </c>
      <c r="C427" s="2165" t="s">
        <v>696</v>
      </c>
      <c r="D427" s="2163" t="s">
        <v>644</v>
      </c>
      <c r="E427" s="2164">
        <v>60</v>
      </c>
      <c r="F427" s="2344">
        <v>0</v>
      </c>
      <c r="G427" s="2388">
        <f>E427*F427</f>
        <v>0</v>
      </c>
      <c r="H427" s="748"/>
    </row>
    <row r="428" spans="2:8" x14ac:dyDescent="0.2">
      <c r="B428" s="2387"/>
      <c r="C428" s="2165"/>
      <c r="D428" s="2163"/>
      <c r="E428" s="2164"/>
      <c r="F428" s="2172"/>
      <c r="G428" s="2392"/>
      <c r="H428" s="748"/>
    </row>
    <row r="429" spans="2:8" x14ac:dyDescent="0.2">
      <c r="B429" s="2387" t="s">
        <v>562</v>
      </c>
      <c r="C429" s="2165" t="s">
        <v>697</v>
      </c>
      <c r="D429" s="2163" t="s">
        <v>553</v>
      </c>
      <c r="E429" s="2164">
        <v>1</v>
      </c>
      <c r="F429" s="2344">
        <v>0</v>
      </c>
      <c r="G429" s="2388">
        <f>E429*F429</f>
        <v>0</v>
      </c>
      <c r="H429" s="748"/>
    </row>
    <row r="430" spans="2:8" x14ac:dyDescent="0.2">
      <c r="B430" s="2387"/>
      <c r="C430" s="2165"/>
      <c r="D430" s="2163"/>
      <c r="E430" s="2164"/>
      <c r="F430" s="2172"/>
      <c r="G430" s="2392"/>
      <c r="H430" s="748"/>
    </row>
    <row r="431" spans="2:8" x14ac:dyDescent="0.2">
      <c r="B431" s="2387" t="s">
        <v>564</v>
      </c>
      <c r="C431" s="2165" t="s">
        <v>698</v>
      </c>
      <c r="D431" s="2163" t="s">
        <v>553</v>
      </c>
      <c r="E431" s="2164">
        <v>1</v>
      </c>
      <c r="F431" s="2344">
        <v>0</v>
      </c>
      <c r="G431" s="2388">
        <f>E431*F431</f>
        <v>0</v>
      </c>
      <c r="H431" s="748"/>
    </row>
    <row r="432" spans="2:8" x14ac:dyDescent="0.2">
      <c r="B432" s="2387"/>
      <c r="C432" s="2165"/>
      <c r="D432" s="2163"/>
      <c r="E432" s="2164"/>
      <c r="F432" s="2172"/>
      <c r="G432" s="2392"/>
      <c r="H432" s="748"/>
    </row>
    <row r="433" spans="2:8" ht="24" x14ac:dyDescent="0.2">
      <c r="B433" s="2387" t="s">
        <v>566</v>
      </c>
      <c r="C433" s="2165" t="s">
        <v>699</v>
      </c>
      <c r="D433" s="2163" t="s">
        <v>553</v>
      </c>
      <c r="E433" s="2164">
        <v>1</v>
      </c>
      <c r="F433" s="2344">
        <v>0</v>
      </c>
      <c r="G433" s="2388">
        <f>E433*F433</f>
        <v>0</v>
      </c>
      <c r="H433" s="748"/>
    </row>
    <row r="434" spans="2:8" x14ac:dyDescent="0.2">
      <c r="H434" s="748"/>
    </row>
    <row r="435" spans="2:8" x14ac:dyDescent="0.2">
      <c r="B435" s="2373" t="s">
        <v>18</v>
      </c>
      <c r="C435" s="2374" t="s">
        <v>794</v>
      </c>
      <c r="D435" s="3160"/>
      <c r="E435" s="2376"/>
      <c r="F435" s="2377"/>
      <c r="G435" s="2345">
        <f>SUM(G199:G434)</f>
        <v>0</v>
      </c>
    </row>
    <row r="436" spans="2:8" x14ac:dyDescent="0.2">
      <c r="H436" s="748"/>
    </row>
    <row r="437" spans="2:8" x14ac:dyDescent="0.2">
      <c r="H437" s="748"/>
    </row>
    <row r="438" spans="2:8" x14ac:dyDescent="0.2">
      <c r="H438" s="748"/>
    </row>
    <row r="439" spans="2:8" x14ac:dyDescent="0.2">
      <c r="H439" s="748"/>
    </row>
    <row r="440" spans="2:8" x14ac:dyDescent="0.2">
      <c r="H440" s="748"/>
    </row>
    <row r="441" spans="2:8" x14ac:dyDescent="0.2">
      <c r="H441" s="748"/>
    </row>
    <row r="442" spans="2:8" x14ac:dyDescent="0.2">
      <c r="H442" s="748"/>
    </row>
    <row r="443" spans="2:8" x14ac:dyDescent="0.2">
      <c r="H443" s="748"/>
    </row>
    <row r="444" spans="2:8" x14ac:dyDescent="0.2">
      <c r="H444" s="748"/>
    </row>
  </sheetData>
  <mergeCells count="17">
    <mergeCell ref="B195:G195"/>
    <mergeCell ref="B190:G190"/>
    <mergeCell ref="B191:G191"/>
    <mergeCell ref="B192:G192"/>
    <mergeCell ref="B193:G193"/>
    <mergeCell ref="B194:G194"/>
    <mergeCell ref="B126:G126"/>
    <mergeCell ref="B127:G127"/>
    <mergeCell ref="B128:G128"/>
    <mergeCell ref="B188:G188"/>
    <mergeCell ref="B189:G189"/>
    <mergeCell ref="B99:G99"/>
    <mergeCell ref="C6:F6"/>
    <mergeCell ref="B37:G37"/>
    <mergeCell ref="B59:G59"/>
    <mergeCell ref="B72:G72"/>
    <mergeCell ref="B82:G82"/>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20" max="16383" man="1"/>
    <brk id="3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2D9D-02DF-4CA9-9418-6E8392AD81F9}">
  <sheetPr codeName="Sheet52">
    <tabColor rgb="FFFFC000"/>
  </sheetPr>
  <dimension ref="A1:J447"/>
  <sheetViews>
    <sheetView showZeros="0" topLeftCell="A194" zoomScale="110" zoomScaleNormal="110" workbookViewId="0">
      <selection activeCell="B216" sqref="B216:G216"/>
    </sheetView>
  </sheetViews>
  <sheetFormatPr defaultColWidth="10.42578125" defaultRowHeight="12.75" x14ac:dyDescent="0.2"/>
  <cols>
    <col min="1" max="1" width="4.42578125" style="121" customWidth="1"/>
    <col min="2" max="2" width="7.42578125" style="120" customWidth="1"/>
    <col min="3" max="3" width="52.140625" style="188" customWidth="1"/>
    <col min="4" max="4" width="10.42578125" style="189" customWidth="1"/>
    <col min="5" max="5" width="9.28515625" style="464" customWidth="1"/>
    <col min="6" max="6" width="12.140625" style="465" customWidth="1"/>
    <col min="7" max="7" width="15.285156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1" spans="1:10" ht="16.5" customHeight="1" x14ac:dyDescent="0.2">
      <c r="B1" s="137"/>
      <c r="C1" s="108" t="s">
        <v>59</v>
      </c>
      <c r="D1" s="155"/>
      <c r="E1" s="156"/>
      <c r="F1" s="157"/>
      <c r="G1" s="363" t="s">
        <v>60</v>
      </c>
      <c r="H1" s="122"/>
    </row>
    <row r="3" spans="1:10" s="139" customFormat="1" x14ac:dyDescent="0.2">
      <c r="B3" s="364" t="s">
        <v>7</v>
      </c>
      <c r="C3" s="500" t="s">
        <v>63</v>
      </c>
      <c r="D3" s="366"/>
      <c r="E3" s="367"/>
      <c r="F3" s="368"/>
      <c r="G3" s="369"/>
    </row>
    <row r="4" spans="1:10" s="139" customFormat="1" ht="12" customHeight="1" x14ac:dyDescent="0.2">
      <c r="B4" s="370"/>
      <c r="C4" s="371"/>
      <c r="D4" s="372"/>
      <c r="E4" s="373"/>
      <c r="F4" s="374"/>
      <c r="G4" s="375"/>
    </row>
    <row r="5" spans="1:10" s="376" customFormat="1" ht="14.25" x14ac:dyDescent="0.2">
      <c r="B5" s="364" t="s">
        <v>80</v>
      </c>
      <c r="C5" s="329" t="s">
        <v>2511</v>
      </c>
      <c r="D5" s="366"/>
      <c r="E5" s="367"/>
      <c r="F5" s="368"/>
      <c r="G5" s="369"/>
      <c r="H5" s="378"/>
      <c r="I5" s="378"/>
      <c r="J5" s="378"/>
    </row>
    <row r="6" spans="1:10" s="376" customFormat="1" ht="14.25" x14ac:dyDescent="0.2">
      <c r="B6" s="370"/>
      <c r="C6" s="371"/>
      <c r="D6" s="372"/>
      <c r="E6" s="373"/>
      <c r="F6" s="374"/>
      <c r="G6" s="379"/>
      <c r="H6" s="378"/>
      <c r="I6" s="378"/>
      <c r="J6" s="378"/>
    </row>
    <row r="7" spans="1:10" s="139" customFormat="1" ht="18" customHeight="1" x14ac:dyDescent="0.2">
      <c r="A7" s="140"/>
      <c r="B7" s="143" t="s">
        <v>355</v>
      </c>
      <c r="C7" s="168"/>
      <c r="D7" s="169"/>
      <c r="E7" s="170"/>
      <c r="F7" s="170"/>
      <c r="G7" s="169"/>
    </row>
    <row r="8" spans="1:10" s="139" customFormat="1" ht="18" customHeight="1" x14ac:dyDescent="0.25">
      <c r="A8" s="141"/>
      <c r="B8" s="144" t="s">
        <v>356</v>
      </c>
      <c r="C8" s="171"/>
      <c r="D8" s="172"/>
      <c r="E8" s="173"/>
      <c r="F8" s="173"/>
      <c r="G8" s="172"/>
    </row>
    <row r="9" spans="1:10" s="139" customFormat="1" ht="18" customHeight="1" x14ac:dyDescent="0.2">
      <c r="A9" s="140"/>
      <c r="B9" s="143" t="s">
        <v>3</v>
      </c>
      <c r="C9" s="168"/>
      <c r="D9" s="170"/>
      <c r="E9" s="170"/>
      <c r="F9" s="170"/>
      <c r="G9" s="169"/>
    </row>
    <row r="10" spans="1:10" s="139" customFormat="1" ht="18" customHeight="1" x14ac:dyDescent="0.25">
      <c r="A10" s="141"/>
      <c r="B10" s="144" t="s">
        <v>4</v>
      </c>
      <c r="C10" s="171"/>
      <c r="D10" s="173"/>
      <c r="E10" s="173"/>
      <c r="F10" s="173"/>
      <c r="G10" s="172"/>
    </row>
    <row r="11" spans="1:10" s="376" customFormat="1" ht="14.25" x14ac:dyDescent="0.2">
      <c r="B11" s="380"/>
      <c r="C11" s="381"/>
      <c r="D11" s="382"/>
      <c r="E11" s="383"/>
      <c r="F11" s="384"/>
      <c r="G11" s="385"/>
      <c r="H11" s="378"/>
      <c r="I11" s="378"/>
      <c r="J11" s="378"/>
    </row>
    <row r="12" spans="1:10" s="376" customFormat="1" ht="14.25" x14ac:dyDescent="0.2">
      <c r="B12" s="386"/>
      <c r="C12" s="501" t="s">
        <v>82</v>
      </c>
      <c r="D12" s="388"/>
      <c r="E12" s="389"/>
      <c r="F12" s="390"/>
      <c r="G12" s="391"/>
      <c r="H12" s="378"/>
      <c r="I12" s="378"/>
      <c r="J12" s="378"/>
    </row>
    <row r="13" spans="1:10" s="139" customFormat="1" x14ac:dyDescent="0.2">
      <c r="B13" s="386" t="s">
        <v>83</v>
      </c>
      <c r="C13" s="502" t="s">
        <v>84</v>
      </c>
      <c r="D13" s="503"/>
      <c r="E13" s="504"/>
      <c r="F13" s="505"/>
      <c r="G13" s="506" t="s">
        <v>64</v>
      </c>
    </row>
    <row r="14" spans="1:10" s="139" customFormat="1" x14ac:dyDescent="0.2">
      <c r="B14" s="507" t="s">
        <v>10</v>
      </c>
      <c r="C14" s="508" t="s">
        <v>85</v>
      </c>
      <c r="D14" s="509"/>
      <c r="E14" s="510"/>
      <c r="F14" s="511"/>
      <c r="G14" s="512">
        <f>G30</f>
        <v>0</v>
      </c>
    </row>
    <row r="15" spans="1:10" s="139" customFormat="1" x14ac:dyDescent="0.2">
      <c r="B15" s="507" t="s">
        <v>12</v>
      </c>
      <c r="C15" s="508" t="s">
        <v>109</v>
      </c>
      <c r="D15" s="509"/>
      <c r="E15" s="510"/>
      <c r="F15" s="511"/>
      <c r="G15" s="512">
        <f>G138</f>
        <v>0</v>
      </c>
    </row>
    <row r="16" spans="1:10" s="139" customFormat="1" x14ac:dyDescent="0.2">
      <c r="B16" s="507" t="s">
        <v>17</v>
      </c>
      <c r="C16" s="508" t="s">
        <v>87</v>
      </c>
      <c r="D16" s="509"/>
      <c r="E16" s="510"/>
      <c r="F16" s="511"/>
      <c r="G16" s="512">
        <f>G207</f>
        <v>0</v>
      </c>
    </row>
    <row r="17" spans="2:7" s="139" customFormat="1" x14ac:dyDescent="0.2">
      <c r="B17" s="507" t="s">
        <v>18</v>
      </c>
      <c r="C17" s="508" t="s">
        <v>367</v>
      </c>
      <c r="D17" s="509"/>
      <c r="E17" s="510"/>
      <c r="F17" s="511"/>
      <c r="G17" s="512">
        <f>G447</f>
        <v>0</v>
      </c>
    </row>
    <row r="18" spans="2:7" s="139" customFormat="1" x14ac:dyDescent="0.2">
      <c r="B18" s="513"/>
      <c r="C18" s="514" t="s">
        <v>88</v>
      </c>
      <c r="D18" s="515"/>
      <c r="E18" s="516"/>
      <c r="F18" s="517"/>
      <c r="G18" s="518">
        <f>SUM(G14:G17)</f>
        <v>0</v>
      </c>
    </row>
    <row r="19" spans="2:7" x14ac:dyDescent="0.2">
      <c r="B19" s="127"/>
      <c r="C19" s="183"/>
      <c r="D19" s="184"/>
      <c r="E19" s="461"/>
      <c r="F19" s="462"/>
    </row>
    <row r="20" spans="2:7" x14ac:dyDescent="0.2">
      <c r="G20" s="466"/>
    </row>
    <row r="21" spans="2:7" ht="24" x14ac:dyDescent="0.2">
      <c r="B21" s="128" t="s">
        <v>368</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x14ac:dyDescent="0.2">
      <c r="B24" s="129" t="s">
        <v>369</v>
      </c>
      <c r="C24" s="206" t="s">
        <v>370</v>
      </c>
      <c r="D24" s="207" t="s">
        <v>123</v>
      </c>
      <c r="E24" s="353">
        <v>6</v>
      </c>
      <c r="F24" s="467">
        <v>0</v>
      </c>
      <c r="G24" s="352">
        <f>E24*F24</f>
        <v>0</v>
      </c>
    </row>
    <row r="25" spans="2:7" ht="106.5" customHeight="1" x14ac:dyDescent="0.2">
      <c r="B25" s="129" t="s">
        <v>371</v>
      </c>
      <c r="C25" s="208" t="s">
        <v>99</v>
      </c>
      <c r="D25" s="209" t="s">
        <v>98</v>
      </c>
      <c r="E25" s="353">
        <v>1</v>
      </c>
      <c r="F25" s="467">
        <v>0</v>
      </c>
      <c r="G25" s="352">
        <f t="shared" ref="G25:G29" si="0">E25*F25</f>
        <v>0</v>
      </c>
    </row>
    <row r="26" spans="2:7" ht="30.75" customHeight="1" x14ac:dyDescent="0.2">
      <c r="B26" s="129" t="s">
        <v>372</v>
      </c>
      <c r="C26" s="206" t="s">
        <v>100</v>
      </c>
      <c r="D26" s="210" t="s">
        <v>98</v>
      </c>
      <c r="E26" s="353">
        <v>1</v>
      </c>
      <c r="F26" s="467">
        <v>0</v>
      </c>
      <c r="G26" s="352">
        <f t="shared" si="0"/>
        <v>0</v>
      </c>
    </row>
    <row r="27" spans="2:7" ht="40.5" customHeight="1" x14ac:dyDescent="0.2">
      <c r="B27" s="129" t="s">
        <v>373</v>
      </c>
      <c r="C27" s="407" t="s">
        <v>102</v>
      </c>
      <c r="D27" s="210" t="s">
        <v>98</v>
      </c>
      <c r="E27" s="353">
        <v>3</v>
      </c>
      <c r="F27" s="467">
        <v>0</v>
      </c>
      <c r="G27" s="352">
        <f t="shared" si="0"/>
        <v>0</v>
      </c>
    </row>
    <row r="28" spans="2:7" ht="14.25" customHeight="1" x14ac:dyDescent="0.2">
      <c r="B28" s="129" t="s">
        <v>374</v>
      </c>
      <c r="C28" s="407" t="s">
        <v>105</v>
      </c>
      <c r="D28" s="210" t="s">
        <v>98</v>
      </c>
      <c r="E28" s="353">
        <v>1</v>
      </c>
      <c r="F28" s="467">
        <v>0</v>
      </c>
      <c r="G28" s="352">
        <f t="shared" si="0"/>
        <v>0</v>
      </c>
    </row>
    <row r="29" spans="2:7" ht="38.25" customHeight="1" x14ac:dyDescent="0.2">
      <c r="B29" s="129" t="s">
        <v>375</v>
      </c>
      <c r="C29" s="212" t="s">
        <v>106</v>
      </c>
      <c r="D29" s="210" t="s">
        <v>98</v>
      </c>
      <c r="E29" s="468">
        <v>1</v>
      </c>
      <c r="F29" s="467">
        <v>0</v>
      </c>
      <c r="G29" s="352">
        <f t="shared" si="0"/>
        <v>0</v>
      </c>
    </row>
    <row r="30" spans="2:7" x14ac:dyDescent="0.2">
      <c r="B30" s="469" t="s">
        <v>10</v>
      </c>
      <c r="C30" s="470" t="s">
        <v>108</v>
      </c>
      <c r="D30" s="214"/>
      <c r="E30" s="215"/>
      <c r="F30" s="216"/>
      <c r="G30" s="290">
        <f>SUM(G24:G29)</f>
        <v>0</v>
      </c>
    </row>
    <row r="31" spans="2:7" x14ac:dyDescent="0.2">
      <c r="B31" s="129"/>
      <c r="C31" s="197"/>
      <c r="D31" s="198"/>
      <c r="E31" s="353"/>
      <c r="F31" s="358"/>
      <c r="G31" s="350"/>
    </row>
    <row r="32" spans="2:7" ht="24" x14ac:dyDescent="0.2">
      <c r="B32" s="51" t="s">
        <v>368</v>
      </c>
      <c r="C32" s="50" t="s">
        <v>89</v>
      </c>
      <c r="D32" s="357" t="s">
        <v>90</v>
      </c>
      <c r="E32" s="359" t="s">
        <v>91</v>
      </c>
      <c r="F32" s="360" t="s">
        <v>92</v>
      </c>
      <c r="G32" s="361" t="s">
        <v>93</v>
      </c>
    </row>
    <row r="33" spans="2:10" x14ac:dyDescent="0.2">
      <c r="B33" s="129"/>
      <c r="C33" s="217"/>
      <c r="D33" s="207"/>
      <c r="E33" s="353"/>
      <c r="F33" s="358"/>
      <c r="G33" s="350"/>
    </row>
    <row r="34" spans="2:10" s="295" customFormat="1" ht="20.25" x14ac:dyDescent="0.3">
      <c r="B34" s="303" t="s">
        <v>12</v>
      </c>
      <c r="C34" s="304" t="s">
        <v>109</v>
      </c>
      <c r="D34" s="298"/>
      <c r="E34" s="299"/>
      <c r="F34" s="300"/>
      <c r="G34" s="301"/>
    </row>
    <row r="35" spans="2:10" s="295" customFormat="1" ht="20.25" x14ac:dyDescent="0.3">
      <c r="B35" s="303" t="s">
        <v>357</v>
      </c>
      <c r="C35" s="304" t="s">
        <v>358</v>
      </c>
      <c r="D35" s="298"/>
      <c r="E35" s="299"/>
      <c r="F35" s="300"/>
      <c r="G35" s="301"/>
    </row>
    <row r="36" spans="2:10" s="130" customFormat="1" ht="71.25" customHeight="1" x14ac:dyDescent="0.2">
      <c r="B36" s="3184" t="s">
        <v>110</v>
      </c>
      <c r="C36" s="3185"/>
      <c r="D36" s="3185"/>
      <c r="E36" s="3185"/>
      <c r="F36" s="3185"/>
      <c r="G36" s="3186"/>
    </row>
    <row r="37" spans="2:10" x14ac:dyDescent="0.2">
      <c r="B37" s="131" t="s">
        <v>377</v>
      </c>
      <c r="C37" s="206" t="s">
        <v>111</v>
      </c>
      <c r="D37" s="207" t="s">
        <v>112</v>
      </c>
      <c r="E37" s="353">
        <v>21.6</v>
      </c>
      <c r="F37" s="467">
        <v>0</v>
      </c>
      <c r="G37" s="352">
        <f t="shared" ref="G37:G48" si="1">E37*F37</f>
        <v>0</v>
      </c>
    </row>
    <row r="38" spans="2:10" ht="24" x14ac:dyDescent="0.2">
      <c r="B38" s="131" t="s">
        <v>378</v>
      </c>
      <c r="C38" s="206" t="s">
        <v>379</v>
      </c>
      <c r="D38" s="207" t="s">
        <v>117</v>
      </c>
      <c r="E38" s="353">
        <v>108</v>
      </c>
      <c r="F38" s="467">
        <v>0</v>
      </c>
      <c r="G38" s="352">
        <f t="shared" si="1"/>
        <v>0</v>
      </c>
    </row>
    <row r="39" spans="2:10" ht="24" x14ac:dyDescent="0.2">
      <c r="B39" s="131" t="s">
        <v>380</v>
      </c>
      <c r="C39" s="206" t="s">
        <v>381</v>
      </c>
      <c r="D39" s="209" t="s">
        <v>112</v>
      </c>
      <c r="E39" s="353">
        <v>25.65</v>
      </c>
      <c r="F39" s="467">
        <v>0</v>
      </c>
      <c r="G39" s="352">
        <f t="shared" si="1"/>
        <v>0</v>
      </c>
      <c r="I39" s="134"/>
      <c r="J39" s="134"/>
    </row>
    <row r="40" spans="2:10" ht="24" customHeight="1" x14ac:dyDescent="0.2">
      <c r="B40" s="131" t="s">
        <v>382</v>
      </c>
      <c r="C40" s="206" t="s">
        <v>383</v>
      </c>
      <c r="D40" s="209" t="s">
        <v>112</v>
      </c>
      <c r="E40" s="353">
        <v>145.35</v>
      </c>
      <c r="F40" s="467">
        <v>0</v>
      </c>
      <c r="G40" s="352">
        <f t="shared" si="1"/>
        <v>0</v>
      </c>
    </row>
    <row r="41" spans="2:10" ht="42" customHeight="1" x14ac:dyDescent="0.2">
      <c r="B41" s="131" t="s">
        <v>384</v>
      </c>
      <c r="C41" s="206" t="s">
        <v>385</v>
      </c>
      <c r="D41" s="209" t="s">
        <v>117</v>
      </c>
      <c r="E41" s="353">
        <v>66</v>
      </c>
      <c r="F41" s="467">
        <v>0</v>
      </c>
      <c r="G41" s="352">
        <f t="shared" si="1"/>
        <v>0</v>
      </c>
    </row>
    <row r="42" spans="2:10" ht="24" x14ac:dyDescent="0.2">
      <c r="B42" s="131" t="s">
        <v>386</v>
      </c>
      <c r="C42" s="206" t="s">
        <v>387</v>
      </c>
      <c r="D42" s="209" t="s">
        <v>112</v>
      </c>
      <c r="E42" s="353">
        <v>20</v>
      </c>
      <c r="F42" s="467">
        <v>0</v>
      </c>
      <c r="G42" s="352">
        <f t="shared" si="1"/>
        <v>0</v>
      </c>
    </row>
    <row r="43" spans="2:10" s="130" customFormat="1" ht="25.5" customHeight="1" x14ac:dyDescent="0.2">
      <c r="B43" s="131" t="s">
        <v>388</v>
      </c>
      <c r="C43" s="409" t="s">
        <v>389</v>
      </c>
      <c r="D43" s="210" t="s">
        <v>112</v>
      </c>
      <c r="E43" s="353">
        <v>33</v>
      </c>
      <c r="F43" s="467">
        <v>0</v>
      </c>
      <c r="G43" s="352">
        <f t="shared" si="1"/>
        <v>0</v>
      </c>
    </row>
    <row r="44" spans="2:10" ht="15.75" customHeight="1" x14ac:dyDescent="0.2">
      <c r="B44" s="131" t="s">
        <v>390</v>
      </c>
      <c r="C44" s="206" t="s">
        <v>133</v>
      </c>
      <c r="D44" s="209" t="s">
        <v>112</v>
      </c>
      <c r="E44" s="353">
        <v>21.6</v>
      </c>
      <c r="F44" s="467">
        <v>0</v>
      </c>
      <c r="G44" s="352">
        <f t="shared" si="1"/>
        <v>0</v>
      </c>
    </row>
    <row r="45" spans="2:10" x14ac:dyDescent="0.2">
      <c r="B45" s="131" t="s">
        <v>391</v>
      </c>
      <c r="C45" s="206" t="s">
        <v>134</v>
      </c>
      <c r="D45" s="209" t="s">
        <v>112</v>
      </c>
      <c r="E45" s="353">
        <v>27.25</v>
      </c>
      <c r="F45" s="467">
        <v>0</v>
      </c>
      <c r="G45" s="352">
        <f t="shared" si="1"/>
        <v>0</v>
      </c>
    </row>
    <row r="46" spans="2:10" x14ac:dyDescent="0.2">
      <c r="B46" s="131" t="s">
        <v>392</v>
      </c>
      <c r="C46" s="206" t="s">
        <v>135</v>
      </c>
      <c r="D46" s="209" t="s">
        <v>112</v>
      </c>
      <c r="E46" s="353">
        <v>27.25</v>
      </c>
      <c r="F46" s="467">
        <v>0</v>
      </c>
      <c r="G46" s="352">
        <f t="shared" si="1"/>
        <v>0</v>
      </c>
    </row>
    <row r="47" spans="2:10" ht="24" x14ac:dyDescent="0.2">
      <c r="B47" s="131" t="s">
        <v>393</v>
      </c>
      <c r="C47" s="206" t="s">
        <v>394</v>
      </c>
      <c r="D47" s="209" t="s">
        <v>117</v>
      </c>
      <c r="E47" s="353">
        <v>150</v>
      </c>
      <c r="F47" s="467">
        <v>0</v>
      </c>
      <c r="G47" s="352">
        <f t="shared" si="1"/>
        <v>0</v>
      </c>
    </row>
    <row r="48" spans="2:10" ht="36" x14ac:dyDescent="0.2">
      <c r="B48" s="131" t="s">
        <v>395</v>
      </c>
      <c r="C48" s="206" t="s">
        <v>396</v>
      </c>
      <c r="D48" s="209" t="s">
        <v>117</v>
      </c>
      <c r="E48" s="353">
        <v>30</v>
      </c>
      <c r="F48" s="467">
        <v>0</v>
      </c>
      <c r="G48" s="352">
        <f t="shared" si="1"/>
        <v>0</v>
      </c>
    </row>
    <row r="49" spans="2:7" x14ac:dyDescent="0.2">
      <c r="B49" s="469" t="s">
        <v>357</v>
      </c>
      <c r="C49" s="470" t="s">
        <v>157</v>
      </c>
      <c r="D49" s="224"/>
      <c r="E49" s="215"/>
      <c r="F49" s="216"/>
      <c r="G49" s="290">
        <f>SUM(G37:G48)</f>
        <v>0</v>
      </c>
    </row>
    <row r="50" spans="2:7" x14ac:dyDescent="0.2">
      <c r="B50" s="129"/>
      <c r="C50" s="197"/>
      <c r="D50" s="198"/>
      <c r="E50" s="353"/>
      <c r="F50" s="358"/>
      <c r="G50" s="350"/>
    </row>
    <row r="51" spans="2:7" ht="24" x14ac:dyDescent="0.2">
      <c r="B51" s="51" t="s">
        <v>368</v>
      </c>
      <c r="C51" s="50" t="s">
        <v>89</v>
      </c>
      <c r="D51" s="357" t="s">
        <v>90</v>
      </c>
      <c r="E51" s="359" t="s">
        <v>91</v>
      </c>
      <c r="F51" s="360" t="s">
        <v>92</v>
      </c>
      <c r="G51" s="361" t="s">
        <v>93</v>
      </c>
    </row>
    <row r="52" spans="2:7" x14ac:dyDescent="0.2">
      <c r="B52" s="129"/>
      <c r="C52" s="217"/>
      <c r="D52" s="207"/>
      <c r="E52" s="353"/>
      <c r="F52" s="358"/>
      <c r="G52" s="350"/>
    </row>
    <row r="53" spans="2:7" s="295" customFormat="1" ht="20.25" x14ac:dyDescent="0.3">
      <c r="B53" s="303" t="s">
        <v>359</v>
      </c>
      <c r="C53" s="304" t="s">
        <v>360</v>
      </c>
      <c r="D53" s="298"/>
      <c r="E53" s="299"/>
      <c r="F53" s="300"/>
      <c r="G53" s="301"/>
    </row>
    <row r="54" spans="2:7" s="130" customFormat="1" ht="71.25" customHeight="1" x14ac:dyDescent="0.2">
      <c r="B54" s="3184" t="s">
        <v>397</v>
      </c>
      <c r="C54" s="3185"/>
      <c r="D54" s="3185"/>
      <c r="E54" s="3185"/>
      <c r="F54" s="3185"/>
      <c r="G54" s="3186"/>
    </row>
    <row r="55" spans="2:7" ht="24" x14ac:dyDescent="0.2">
      <c r="B55" s="131" t="s">
        <v>398</v>
      </c>
      <c r="C55" s="206" t="s">
        <v>399</v>
      </c>
      <c r="D55" s="207" t="s">
        <v>112</v>
      </c>
      <c r="E55" s="353">
        <v>4.78</v>
      </c>
      <c r="F55" s="467">
        <v>0</v>
      </c>
      <c r="G55" s="352">
        <f t="shared" ref="G55:G63" si="2">E55*F55</f>
        <v>0</v>
      </c>
    </row>
    <row r="56" spans="2:7" ht="24" x14ac:dyDescent="0.2">
      <c r="B56" s="131" t="s">
        <v>400</v>
      </c>
      <c r="C56" s="206" t="s">
        <v>401</v>
      </c>
      <c r="D56" s="207" t="s">
        <v>112</v>
      </c>
      <c r="E56" s="353">
        <v>12.55</v>
      </c>
      <c r="F56" s="467">
        <v>0</v>
      </c>
      <c r="G56" s="352">
        <f t="shared" si="2"/>
        <v>0</v>
      </c>
    </row>
    <row r="57" spans="2:7" ht="24" x14ac:dyDescent="0.2">
      <c r="B57" s="131" t="s">
        <v>402</v>
      </c>
      <c r="C57" s="206" t="s">
        <v>403</v>
      </c>
      <c r="D57" s="207" t="s">
        <v>112</v>
      </c>
      <c r="E57" s="353">
        <v>19.850000000000001</v>
      </c>
      <c r="F57" s="467">
        <v>0</v>
      </c>
      <c r="G57" s="352">
        <f t="shared" si="2"/>
        <v>0</v>
      </c>
    </row>
    <row r="58" spans="2:7" ht="24" x14ac:dyDescent="0.2">
      <c r="B58" s="131" t="s">
        <v>404</v>
      </c>
      <c r="C58" s="206" t="s">
        <v>405</v>
      </c>
      <c r="D58" s="207" t="s">
        <v>112</v>
      </c>
      <c r="E58" s="353">
        <v>5.31</v>
      </c>
      <c r="F58" s="467">
        <v>0</v>
      </c>
      <c r="G58" s="352">
        <f t="shared" si="2"/>
        <v>0</v>
      </c>
    </row>
    <row r="59" spans="2:7" ht="24" customHeight="1" x14ac:dyDescent="0.2">
      <c r="B59" s="131" t="s">
        <v>406</v>
      </c>
      <c r="C59" s="206" t="s">
        <v>407</v>
      </c>
      <c r="D59" s="209" t="s">
        <v>112</v>
      </c>
      <c r="E59" s="353">
        <v>0.48</v>
      </c>
      <c r="F59" s="467">
        <v>0</v>
      </c>
      <c r="G59" s="352">
        <f t="shared" si="2"/>
        <v>0</v>
      </c>
    </row>
    <row r="60" spans="2:7" ht="26.25" customHeight="1" x14ac:dyDescent="0.2">
      <c r="B60" s="131" t="s">
        <v>408</v>
      </c>
      <c r="C60" s="519" t="s">
        <v>409</v>
      </c>
      <c r="D60" s="219" t="s">
        <v>112</v>
      </c>
      <c r="E60" s="471">
        <v>0.44</v>
      </c>
      <c r="F60" s="467">
        <v>0</v>
      </c>
      <c r="G60" s="352">
        <f t="shared" si="2"/>
        <v>0</v>
      </c>
    </row>
    <row r="61" spans="2:7" ht="27.75" customHeight="1" x14ac:dyDescent="0.2">
      <c r="B61" s="131" t="s">
        <v>410</v>
      </c>
      <c r="C61" s="206" t="s">
        <v>411</v>
      </c>
      <c r="D61" s="209"/>
      <c r="E61" s="353"/>
      <c r="F61" s="467"/>
      <c r="G61" s="352"/>
    </row>
    <row r="62" spans="2:7" x14ac:dyDescent="0.2">
      <c r="B62" s="131"/>
      <c r="C62" s="206" t="s">
        <v>412</v>
      </c>
      <c r="D62" s="209" t="s">
        <v>413</v>
      </c>
      <c r="E62" s="353">
        <v>830</v>
      </c>
      <c r="F62" s="467">
        <v>0</v>
      </c>
      <c r="G62" s="352">
        <f t="shared" si="2"/>
        <v>0</v>
      </c>
    </row>
    <row r="63" spans="2:7" x14ac:dyDescent="0.2">
      <c r="B63" s="131"/>
      <c r="C63" s="206" t="s">
        <v>414</v>
      </c>
      <c r="D63" s="209" t="s">
        <v>413</v>
      </c>
      <c r="E63" s="353">
        <v>830</v>
      </c>
      <c r="F63" s="467">
        <v>0</v>
      </c>
      <c r="G63" s="352">
        <f t="shared" si="2"/>
        <v>0</v>
      </c>
    </row>
    <row r="64" spans="2:7" x14ac:dyDescent="0.2">
      <c r="B64" s="469" t="s">
        <v>359</v>
      </c>
      <c r="C64" s="470" t="s">
        <v>415</v>
      </c>
      <c r="D64" s="224"/>
      <c r="E64" s="215"/>
      <c r="F64" s="216"/>
      <c r="G64" s="290">
        <f>SUM(G55:G63)</f>
        <v>0</v>
      </c>
    </row>
    <row r="65" spans="2:7" x14ac:dyDescent="0.2">
      <c r="B65" s="129"/>
      <c r="C65" s="197"/>
      <c r="D65" s="198"/>
      <c r="E65" s="353"/>
      <c r="F65" s="358"/>
      <c r="G65" s="350"/>
    </row>
    <row r="66" spans="2:7" ht="24" x14ac:dyDescent="0.2">
      <c r="B66" s="51" t="s">
        <v>368</v>
      </c>
      <c r="C66" s="50" t="s">
        <v>89</v>
      </c>
      <c r="D66" s="357" t="s">
        <v>90</v>
      </c>
      <c r="E66" s="359" t="s">
        <v>91</v>
      </c>
      <c r="F66" s="360" t="s">
        <v>92</v>
      </c>
      <c r="G66" s="361" t="s">
        <v>93</v>
      </c>
    </row>
    <row r="67" spans="2:7" x14ac:dyDescent="0.2">
      <c r="B67" s="129"/>
      <c r="C67" s="217"/>
      <c r="D67" s="207"/>
      <c r="E67" s="353"/>
      <c r="F67" s="358"/>
      <c r="G67" s="350"/>
    </row>
    <row r="68" spans="2:7" s="295" customFormat="1" ht="20.25" x14ac:dyDescent="0.3">
      <c r="B68" s="303" t="s">
        <v>361</v>
      </c>
      <c r="C68" s="304" t="s">
        <v>362</v>
      </c>
      <c r="D68" s="298"/>
      <c r="E68" s="299"/>
      <c r="F68" s="300"/>
      <c r="G68" s="301"/>
    </row>
    <row r="69" spans="2:7" s="130" customFormat="1" ht="71.25" customHeight="1" x14ac:dyDescent="0.2">
      <c r="B69" s="3184" t="s">
        <v>416</v>
      </c>
      <c r="C69" s="3185"/>
      <c r="D69" s="3185"/>
      <c r="E69" s="3185"/>
      <c r="F69" s="3185"/>
      <c r="G69" s="3186"/>
    </row>
    <row r="70" spans="2:7" ht="36" x14ac:dyDescent="0.2">
      <c r="B70" s="131" t="s">
        <v>417</v>
      </c>
      <c r="C70" s="206" t="s">
        <v>418</v>
      </c>
      <c r="D70" s="207" t="s">
        <v>95</v>
      </c>
      <c r="E70" s="353">
        <v>36</v>
      </c>
      <c r="F70" s="467">
        <v>0</v>
      </c>
      <c r="G70" s="352">
        <f t="shared" ref="G70:G83" si="3">E70*F70</f>
        <v>0</v>
      </c>
    </row>
    <row r="71" spans="2:7" ht="36" x14ac:dyDescent="0.2">
      <c r="B71" s="131" t="s">
        <v>419</v>
      </c>
      <c r="C71" s="206" t="s">
        <v>420</v>
      </c>
      <c r="D71" s="207" t="s">
        <v>95</v>
      </c>
      <c r="E71" s="353">
        <v>51.6</v>
      </c>
      <c r="F71" s="467">
        <v>0</v>
      </c>
      <c r="G71" s="352">
        <f t="shared" si="3"/>
        <v>0</v>
      </c>
    </row>
    <row r="72" spans="2:7" ht="24" x14ac:dyDescent="0.2">
      <c r="B72" s="131" t="s">
        <v>421</v>
      </c>
      <c r="C72" s="206" t="s">
        <v>422</v>
      </c>
      <c r="D72" s="207" t="s">
        <v>117</v>
      </c>
      <c r="E72" s="353">
        <v>48.96</v>
      </c>
      <c r="F72" s="467">
        <v>0</v>
      </c>
      <c r="G72" s="352">
        <f t="shared" si="3"/>
        <v>0</v>
      </c>
    </row>
    <row r="73" spans="2:7" ht="24" x14ac:dyDescent="0.2">
      <c r="B73" s="131" t="s">
        <v>423</v>
      </c>
      <c r="C73" s="206" t="s">
        <v>424</v>
      </c>
      <c r="D73" s="207" t="s">
        <v>117</v>
      </c>
      <c r="E73" s="353">
        <v>94.5</v>
      </c>
      <c r="F73" s="467">
        <v>0</v>
      </c>
      <c r="G73" s="352">
        <f t="shared" si="3"/>
        <v>0</v>
      </c>
    </row>
    <row r="74" spans="2:7" ht="24" x14ac:dyDescent="0.2">
      <c r="B74" s="131" t="s">
        <v>425</v>
      </c>
      <c r="C74" s="206" t="s">
        <v>426</v>
      </c>
      <c r="D74" s="207" t="s">
        <v>117</v>
      </c>
      <c r="E74" s="353">
        <v>6</v>
      </c>
      <c r="F74" s="467">
        <v>0</v>
      </c>
      <c r="G74" s="352">
        <f t="shared" si="3"/>
        <v>0</v>
      </c>
    </row>
    <row r="75" spans="2:7" ht="24" x14ac:dyDescent="0.2">
      <c r="B75" s="131"/>
      <c r="C75" s="206" t="s">
        <v>427</v>
      </c>
      <c r="D75" s="207" t="s">
        <v>117</v>
      </c>
      <c r="E75" s="353">
        <v>17</v>
      </c>
      <c r="F75" s="467">
        <v>0</v>
      </c>
      <c r="G75" s="352">
        <f t="shared" si="3"/>
        <v>0</v>
      </c>
    </row>
    <row r="76" spans="2:7" ht="36" x14ac:dyDescent="0.2">
      <c r="B76" s="131" t="s">
        <v>428</v>
      </c>
      <c r="C76" s="206" t="s">
        <v>429</v>
      </c>
      <c r="D76" s="207" t="s">
        <v>95</v>
      </c>
      <c r="E76" s="353">
        <v>3</v>
      </c>
      <c r="F76" s="467">
        <v>0</v>
      </c>
      <c r="G76" s="352">
        <f t="shared" si="3"/>
        <v>0</v>
      </c>
    </row>
    <row r="77" spans="2:7" ht="36" x14ac:dyDescent="0.2">
      <c r="B77" s="131" t="s">
        <v>430</v>
      </c>
      <c r="C77" s="206" t="s">
        <v>431</v>
      </c>
      <c r="D77" s="207" t="s">
        <v>123</v>
      </c>
      <c r="E77" s="353">
        <v>4</v>
      </c>
      <c r="F77" s="467">
        <v>0</v>
      </c>
      <c r="G77" s="352">
        <f t="shared" si="3"/>
        <v>0</v>
      </c>
    </row>
    <row r="78" spans="2:7" ht="36" x14ac:dyDescent="0.2">
      <c r="B78" s="131" t="s">
        <v>432</v>
      </c>
      <c r="C78" s="206" t="s">
        <v>433</v>
      </c>
      <c r="D78" s="207" t="s">
        <v>117</v>
      </c>
      <c r="E78" s="353">
        <v>34.32</v>
      </c>
      <c r="F78" s="467">
        <v>0</v>
      </c>
      <c r="G78" s="352">
        <f t="shared" si="3"/>
        <v>0</v>
      </c>
    </row>
    <row r="79" spans="2:7" ht="36" x14ac:dyDescent="0.2">
      <c r="B79" s="131" t="s">
        <v>434</v>
      </c>
      <c r="C79" s="206" t="s">
        <v>435</v>
      </c>
      <c r="D79" s="207" t="s">
        <v>117</v>
      </c>
      <c r="E79" s="353">
        <v>34.32</v>
      </c>
      <c r="F79" s="467">
        <v>0</v>
      </c>
      <c r="G79" s="352">
        <f t="shared" si="3"/>
        <v>0</v>
      </c>
    </row>
    <row r="80" spans="2:7" ht="24" x14ac:dyDescent="0.2">
      <c r="B80" s="131" t="s">
        <v>436</v>
      </c>
      <c r="C80" s="206" t="s">
        <v>437</v>
      </c>
      <c r="D80" s="207" t="s">
        <v>117</v>
      </c>
      <c r="E80" s="353">
        <v>34.32</v>
      </c>
      <c r="F80" s="467">
        <v>0</v>
      </c>
      <c r="G80" s="352">
        <f t="shared" si="3"/>
        <v>0</v>
      </c>
    </row>
    <row r="81" spans="2:10" x14ac:dyDescent="0.2">
      <c r="B81" s="131" t="s">
        <v>438</v>
      </c>
      <c r="C81" s="206" t="s">
        <v>439</v>
      </c>
      <c r="D81" s="209"/>
      <c r="E81" s="353"/>
      <c r="F81" s="467"/>
      <c r="G81" s="352"/>
      <c r="I81" s="134"/>
      <c r="J81" s="134"/>
    </row>
    <row r="82" spans="2:10" ht="12.75" customHeight="1" x14ac:dyDescent="0.2">
      <c r="B82" s="131"/>
      <c r="C82" s="206" t="s">
        <v>440</v>
      </c>
      <c r="D82" s="209" t="s">
        <v>156</v>
      </c>
      <c r="E82" s="353">
        <v>20</v>
      </c>
      <c r="F82" s="467">
        <v>0</v>
      </c>
      <c r="G82" s="352">
        <f t="shared" si="3"/>
        <v>0</v>
      </c>
    </row>
    <row r="83" spans="2:10" ht="12.75" customHeight="1" x14ac:dyDescent="0.2">
      <c r="B83" s="131"/>
      <c r="C83" s="519" t="s">
        <v>441</v>
      </c>
      <c r="D83" s="219" t="s">
        <v>156</v>
      </c>
      <c r="E83" s="471">
        <v>20</v>
      </c>
      <c r="F83" s="467">
        <v>0</v>
      </c>
      <c r="G83" s="352">
        <f t="shared" si="3"/>
        <v>0</v>
      </c>
    </row>
    <row r="84" spans="2:10" x14ac:dyDescent="0.2">
      <c r="B84" s="469" t="s">
        <v>361</v>
      </c>
      <c r="C84" s="470" t="s">
        <v>442</v>
      </c>
      <c r="D84" s="224"/>
      <c r="E84" s="215"/>
      <c r="F84" s="216"/>
      <c r="G84" s="290">
        <f>SUM(G70:G83)</f>
        <v>0</v>
      </c>
    </row>
    <row r="85" spans="2:10" x14ac:dyDescent="0.2">
      <c r="B85" s="129"/>
      <c r="C85" s="197"/>
      <c r="D85" s="198"/>
      <c r="E85" s="353"/>
      <c r="F85" s="358"/>
      <c r="G85" s="350"/>
    </row>
    <row r="86" spans="2:10" ht="24" x14ac:dyDescent="0.2">
      <c r="B86" s="51" t="s">
        <v>368</v>
      </c>
      <c r="C86" s="50" t="s">
        <v>89</v>
      </c>
      <c r="D86" s="357" t="s">
        <v>90</v>
      </c>
      <c r="E86" s="359" t="s">
        <v>91</v>
      </c>
      <c r="F86" s="360" t="s">
        <v>92</v>
      </c>
      <c r="G86" s="361" t="s">
        <v>93</v>
      </c>
    </row>
    <row r="87" spans="2:10" x14ac:dyDescent="0.2">
      <c r="B87" s="129"/>
      <c r="C87" s="217"/>
      <c r="D87" s="207"/>
      <c r="E87" s="353"/>
      <c r="F87" s="358"/>
      <c r="G87" s="350"/>
    </row>
    <row r="88" spans="2:10" s="295" customFormat="1" ht="20.25" x14ac:dyDescent="0.3">
      <c r="B88" s="303" t="s">
        <v>363</v>
      </c>
      <c r="C88" s="304" t="s">
        <v>364</v>
      </c>
      <c r="D88" s="298"/>
      <c r="E88" s="299"/>
      <c r="F88" s="300"/>
      <c r="G88" s="301"/>
    </row>
    <row r="89" spans="2:10" s="130" customFormat="1" ht="71.25" customHeight="1" x14ac:dyDescent="0.2">
      <c r="B89" s="3184" t="s">
        <v>443</v>
      </c>
      <c r="C89" s="3185"/>
      <c r="D89" s="3185"/>
      <c r="E89" s="3185"/>
      <c r="F89" s="3185"/>
      <c r="G89" s="3186"/>
    </row>
    <row r="90" spans="2:10" ht="60" x14ac:dyDescent="0.2">
      <c r="B90" s="131" t="s">
        <v>444</v>
      </c>
      <c r="C90" s="206" t="s">
        <v>445</v>
      </c>
      <c r="D90" s="207" t="s">
        <v>117</v>
      </c>
      <c r="E90" s="353">
        <v>12.36</v>
      </c>
      <c r="F90" s="467">
        <v>0</v>
      </c>
      <c r="G90" s="352">
        <f t="shared" ref="G90:G105" si="4">E90*F90</f>
        <v>0</v>
      </c>
    </row>
    <row r="91" spans="2:10" ht="48" x14ac:dyDescent="0.2">
      <c r="B91" s="131" t="s">
        <v>446</v>
      </c>
      <c r="C91" s="206" t="s">
        <v>447</v>
      </c>
      <c r="D91" s="207" t="s">
        <v>117</v>
      </c>
      <c r="E91" s="353">
        <v>105.5</v>
      </c>
      <c r="F91" s="467">
        <v>0</v>
      </c>
      <c r="G91" s="352">
        <f t="shared" si="4"/>
        <v>0</v>
      </c>
    </row>
    <row r="92" spans="2:10" x14ac:dyDescent="0.2">
      <c r="B92" s="131" t="s">
        <v>448</v>
      </c>
      <c r="C92" s="206" t="s">
        <v>449</v>
      </c>
      <c r="D92" s="207" t="s">
        <v>450</v>
      </c>
      <c r="E92" s="353">
        <v>1</v>
      </c>
      <c r="F92" s="467">
        <v>0</v>
      </c>
      <c r="G92" s="352">
        <f t="shared" si="4"/>
        <v>0</v>
      </c>
    </row>
    <row r="93" spans="2:10" ht="36" x14ac:dyDescent="0.2">
      <c r="B93" s="131" t="s">
        <v>451</v>
      </c>
      <c r="C93" s="206" t="s">
        <v>452</v>
      </c>
      <c r="D93" s="207" t="s">
        <v>117</v>
      </c>
      <c r="E93" s="353">
        <v>20.5</v>
      </c>
      <c r="F93" s="467">
        <v>0</v>
      </c>
      <c r="G93" s="352">
        <f t="shared" si="4"/>
        <v>0</v>
      </c>
    </row>
    <row r="94" spans="2:10" ht="48" x14ac:dyDescent="0.2">
      <c r="B94" s="131" t="s">
        <v>453</v>
      </c>
      <c r="C94" s="206" t="s">
        <v>454</v>
      </c>
      <c r="D94" s="207" t="s">
        <v>95</v>
      </c>
      <c r="E94" s="353">
        <v>38</v>
      </c>
      <c r="F94" s="467">
        <v>0</v>
      </c>
      <c r="G94" s="352">
        <f t="shared" si="4"/>
        <v>0</v>
      </c>
    </row>
    <row r="95" spans="2:10" ht="24" x14ac:dyDescent="0.2">
      <c r="B95" s="131" t="s">
        <v>455</v>
      </c>
      <c r="C95" s="206" t="s">
        <v>456</v>
      </c>
      <c r="D95" s="207" t="s">
        <v>112</v>
      </c>
      <c r="E95" s="353">
        <v>15.84</v>
      </c>
      <c r="F95" s="467">
        <v>0</v>
      </c>
      <c r="G95" s="352">
        <f t="shared" si="4"/>
        <v>0</v>
      </c>
    </row>
    <row r="96" spans="2:10" ht="36" x14ac:dyDescent="0.2">
      <c r="B96" s="131" t="s">
        <v>457</v>
      </c>
      <c r="C96" s="206" t="s">
        <v>458</v>
      </c>
      <c r="D96" s="207" t="s">
        <v>117</v>
      </c>
      <c r="E96" s="353">
        <v>56.8</v>
      </c>
      <c r="F96" s="467">
        <v>0</v>
      </c>
      <c r="G96" s="352">
        <f t="shared" si="4"/>
        <v>0</v>
      </c>
    </row>
    <row r="97" spans="2:9" ht="72" x14ac:dyDescent="0.2">
      <c r="B97" s="131" t="s">
        <v>459</v>
      </c>
      <c r="C97" s="206" t="s">
        <v>460</v>
      </c>
      <c r="D97" s="207" t="s">
        <v>117</v>
      </c>
      <c r="E97" s="353">
        <v>56.8</v>
      </c>
      <c r="F97" s="467">
        <v>0</v>
      </c>
      <c r="G97" s="352">
        <f t="shared" si="4"/>
        <v>0</v>
      </c>
    </row>
    <row r="98" spans="2:9" ht="36" x14ac:dyDescent="0.2">
      <c r="B98" s="131" t="s">
        <v>461</v>
      </c>
      <c r="C98" s="206" t="s">
        <v>462</v>
      </c>
      <c r="D98" s="207" t="s">
        <v>117</v>
      </c>
      <c r="E98" s="353">
        <v>10</v>
      </c>
      <c r="F98" s="467">
        <v>0</v>
      </c>
      <c r="G98" s="352">
        <f t="shared" si="4"/>
        <v>0</v>
      </c>
    </row>
    <row r="99" spans="2:9" ht="24" x14ac:dyDescent="0.2">
      <c r="B99" s="1166" t="s">
        <v>463</v>
      </c>
      <c r="C99" s="206" t="s">
        <v>1830</v>
      </c>
      <c r="D99" s="207" t="s">
        <v>95</v>
      </c>
      <c r="E99" s="1444">
        <v>20</v>
      </c>
      <c r="F99" s="1445">
        <v>0</v>
      </c>
      <c r="G99" s="1446">
        <f t="shared" si="4"/>
        <v>0</v>
      </c>
      <c r="H99" s="1423"/>
      <c r="I99" s="132"/>
    </row>
    <row r="100" spans="2:9" ht="36" x14ac:dyDescent="0.2">
      <c r="B100" s="131" t="s">
        <v>465</v>
      </c>
      <c r="C100" s="206" t="s">
        <v>2566</v>
      </c>
      <c r="D100" s="207" t="s">
        <v>117</v>
      </c>
      <c r="E100" s="1444">
        <v>60</v>
      </c>
      <c r="F100" s="1445">
        <v>0</v>
      </c>
      <c r="G100" s="1446">
        <f t="shared" si="4"/>
        <v>0</v>
      </c>
      <c r="H100" s="1423"/>
      <c r="I100" s="132"/>
    </row>
    <row r="101" spans="2:9" ht="24" x14ac:dyDescent="0.2">
      <c r="B101" s="131" t="s">
        <v>2567</v>
      </c>
      <c r="C101" s="206" t="s">
        <v>1832</v>
      </c>
      <c r="D101" s="207" t="s">
        <v>117</v>
      </c>
      <c r="E101" s="1444">
        <v>20</v>
      </c>
      <c r="F101" s="1445">
        <v>0</v>
      </c>
      <c r="G101" s="1446">
        <f t="shared" si="4"/>
        <v>0</v>
      </c>
      <c r="H101" s="1423"/>
      <c r="I101" s="132"/>
    </row>
    <row r="102" spans="2:9" x14ac:dyDescent="0.2">
      <c r="B102" s="1166" t="s">
        <v>2568</v>
      </c>
      <c r="C102" s="206" t="s">
        <v>464</v>
      </c>
      <c r="D102" s="207" t="s">
        <v>117</v>
      </c>
      <c r="E102" s="353">
        <v>40.590000000000003</v>
      </c>
      <c r="F102" s="467">
        <v>0</v>
      </c>
      <c r="G102" s="352">
        <f t="shared" si="4"/>
        <v>0</v>
      </c>
    </row>
    <row r="103" spans="2:9" x14ac:dyDescent="0.2">
      <c r="B103" s="131" t="s">
        <v>2569</v>
      </c>
      <c r="C103" s="206" t="s">
        <v>466</v>
      </c>
      <c r="D103" s="207"/>
      <c r="E103" s="353"/>
      <c r="F103" s="467"/>
      <c r="G103" s="352"/>
    </row>
    <row r="104" spans="2:9" x14ac:dyDescent="0.2">
      <c r="B104" s="131"/>
      <c r="C104" s="206" t="s">
        <v>467</v>
      </c>
      <c r="D104" s="207" t="s">
        <v>156</v>
      </c>
      <c r="E104" s="353">
        <v>20</v>
      </c>
      <c r="F104" s="467">
        <v>0</v>
      </c>
      <c r="G104" s="352">
        <f t="shared" si="4"/>
        <v>0</v>
      </c>
    </row>
    <row r="105" spans="2:9" x14ac:dyDescent="0.2">
      <c r="B105" s="131"/>
      <c r="C105" s="206" t="s">
        <v>468</v>
      </c>
      <c r="D105" s="207" t="s">
        <v>156</v>
      </c>
      <c r="E105" s="353">
        <v>40</v>
      </c>
      <c r="F105" s="467">
        <v>0</v>
      </c>
      <c r="G105" s="352">
        <f t="shared" si="4"/>
        <v>0</v>
      </c>
    </row>
    <row r="106" spans="2:9" x14ac:dyDescent="0.2">
      <c r="B106" s="469" t="s">
        <v>363</v>
      </c>
      <c r="C106" s="470" t="s">
        <v>469</v>
      </c>
      <c r="D106" s="224"/>
      <c r="E106" s="215"/>
      <c r="F106" s="216"/>
      <c r="G106" s="290">
        <f>SUM(G90:G105)</f>
        <v>0</v>
      </c>
    </row>
    <row r="107" spans="2:9" x14ac:dyDescent="0.2">
      <c r="B107" s="129"/>
      <c r="C107" s="197"/>
      <c r="D107" s="198"/>
      <c r="E107" s="353"/>
      <c r="F107" s="358"/>
      <c r="G107" s="350"/>
    </row>
    <row r="108" spans="2:9" ht="24" x14ac:dyDescent="0.2">
      <c r="B108" s="51" t="s">
        <v>368</v>
      </c>
      <c r="C108" s="50" t="s">
        <v>89</v>
      </c>
      <c r="D108" s="357" t="s">
        <v>90</v>
      </c>
      <c r="E108" s="359" t="s">
        <v>91</v>
      </c>
      <c r="F108" s="360" t="s">
        <v>92</v>
      </c>
      <c r="G108" s="361" t="s">
        <v>93</v>
      </c>
    </row>
    <row r="109" spans="2:9" x14ac:dyDescent="0.2">
      <c r="B109" s="129"/>
      <c r="C109" s="217"/>
      <c r="D109" s="207"/>
      <c r="E109" s="353"/>
      <c r="F109" s="358"/>
      <c r="G109" s="350"/>
    </row>
    <row r="110" spans="2:9" s="295" customFormat="1" ht="20.25" x14ac:dyDescent="0.3">
      <c r="B110" s="303" t="s">
        <v>365</v>
      </c>
      <c r="C110" s="304" t="s">
        <v>366</v>
      </c>
      <c r="D110" s="298"/>
      <c r="E110" s="299"/>
      <c r="F110" s="300"/>
      <c r="G110" s="301"/>
    </row>
    <row r="111" spans="2:9" s="130" customFormat="1" ht="71.25" customHeight="1" x14ac:dyDescent="0.2">
      <c r="B111" s="3184" t="s">
        <v>470</v>
      </c>
      <c r="C111" s="3185"/>
      <c r="D111" s="3185"/>
      <c r="E111" s="3185"/>
      <c r="F111" s="3185"/>
      <c r="G111" s="3186"/>
    </row>
    <row r="112" spans="2:9" ht="24" x14ac:dyDescent="0.2">
      <c r="B112" s="131" t="s">
        <v>471</v>
      </c>
      <c r="C112" s="206" t="s">
        <v>472</v>
      </c>
      <c r="D112" s="207" t="s">
        <v>117</v>
      </c>
      <c r="E112" s="353">
        <v>92.5</v>
      </c>
      <c r="F112" s="467">
        <v>0</v>
      </c>
      <c r="G112" s="352">
        <f t="shared" ref="G112:G134" si="5">E112*F112</f>
        <v>0</v>
      </c>
    </row>
    <row r="113" spans="2:7" ht="24" x14ac:dyDescent="0.2">
      <c r="B113" s="131"/>
      <c r="C113" s="206" t="s">
        <v>473</v>
      </c>
      <c r="D113" s="207" t="s">
        <v>117</v>
      </c>
      <c r="E113" s="353">
        <v>68.5</v>
      </c>
      <c r="F113" s="467">
        <v>0</v>
      </c>
      <c r="G113" s="352">
        <f t="shared" si="5"/>
        <v>0</v>
      </c>
    </row>
    <row r="114" spans="2:7" ht="24" x14ac:dyDescent="0.2">
      <c r="B114" s="131" t="s">
        <v>474</v>
      </c>
      <c r="C114" s="206" t="s">
        <v>475</v>
      </c>
      <c r="D114" s="207" t="s">
        <v>117</v>
      </c>
      <c r="E114" s="353">
        <v>45</v>
      </c>
      <c r="F114" s="467">
        <v>0</v>
      </c>
      <c r="G114" s="352">
        <f t="shared" si="5"/>
        <v>0</v>
      </c>
    </row>
    <row r="115" spans="2:7" ht="48" x14ac:dyDescent="0.2">
      <c r="B115" s="131" t="s">
        <v>476</v>
      </c>
      <c r="C115" s="2932" t="s">
        <v>2542</v>
      </c>
      <c r="D115" s="207" t="s">
        <v>117</v>
      </c>
      <c r="E115" s="353">
        <v>45</v>
      </c>
      <c r="F115" s="467">
        <v>0</v>
      </c>
      <c r="G115" s="352">
        <f t="shared" si="5"/>
        <v>0</v>
      </c>
    </row>
    <row r="116" spans="2:7" ht="54" customHeight="1" x14ac:dyDescent="0.2">
      <c r="B116" s="131" t="s">
        <v>477</v>
      </c>
      <c r="C116" s="206" t="s">
        <v>2562</v>
      </c>
      <c r="D116" s="207" t="s">
        <v>149</v>
      </c>
      <c r="E116" s="353">
        <v>1</v>
      </c>
      <c r="F116" s="467">
        <v>0</v>
      </c>
      <c r="G116" s="352">
        <f t="shared" si="5"/>
        <v>0</v>
      </c>
    </row>
    <row r="117" spans="2:7" ht="53.25" customHeight="1" x14ac:dyDescent="0.2">
      <c r="B117" s="131"/>
      <c r="C117" s="206" t="s">
        <v>2573</v>
      </c>
      <c r="D117" s="207" t="s">
        <v>149</v>
      </c>
      <c r="E117" s="353">
        <v>1</v>
      </c>
      <c r="F117" s="467">
        <v>0</v>
      </c>
      <c r="G117" s="352">
        <f t="shared" si="5"/>
        <v>0</v>
      </c>
    </row>
    <row r="118" spans="2:7" ht="55.5" customHeight="1" x14ac:dyDescent="0.2">
      <c r="B118" s="131"/>
      <c r="C118" s="206" t="s">
        <v>2549</v>
      </c>
      <c r="D118" s="207" t="s">
        <v>149</v>
      </c>
      <c r="E118" s="353">
        <v>1</v>
      </c>
      <c r="F118" s="467">
        <v>0</v>
      </c>
      <c r="G118" s="352">
        <f t="shared" si="5"/>
        <v>0</v>
      </c>
    </row>
    <row r="119" spans="2:7" ht="48" x14ac:dyDescent="0.2">
      <c r="B119" s="131" t="s">
        <v>478</v>
      </c>
      <c r="C119" s="206" t="s">
        <v>479</v>
      </c>
      <c r="D119" s="207" t="s">
        <v>117</v>
      </c>
      <c r="E119" s="353">
        <v>25.5</v>
      </c>
      <c r="F119" s="467">
        <v>0</v>
      </c>
      <c r="G119" s="352">
        <f t="shared" si="5"/>
        <v>0</v>
      </c>
    </row>
    <row r="120" spans="2:7" ht="36" x14ac:dyDescent="0.2">
      <c r="B120" s="131" t="s">
        <v>480</v>
      </c>
      <c r="C120" s="206" t="s">
        <v>481</v>
      </c>
      <c r="D120" s="207" t="s">
        <v>117</v>
      </c>
      <c r="E120" s="353">
        <v>17.5</v>
      </c>
      <c r="F120" s="467">
        <v>0</v>
      </c>
      <c r="G120" s="352">
        <f t="shared" si="5"/>
        <v>0</v>
      </c>
    </row>
    <row r="121" spans="2:7" ht="40.5" customHeight="1" x14ac:dyDescent="0.2">
      <c r="B121" s="131" t="s">
        <v>482</v>
      </c>
      <c r="C121" s="206" t="s">
        <v>483</v>
      </c>
      <c r="D121" s="207" t="s">
        <v>123</v>
      </c>
      <c r="E121" s="353">
        <v>1</v>
      </c>
      <c r="F121" s="467">
        <v>0</v>
      </c>
      <c r="G121" s="352">
        <f t="shared" si="5"/>
        <v>0</v>
      </c>
    </row>
    <row r="122" spans="2:7" ht="36" x14ac:dyDescent="0.2">
      <c r="B122" s="131" t="s">
        <v>484</v>
      </c>
      <c r="C122" s="206" t="s">
        <v>485</v>
      </c>
      <c r="D122" s="207" t="s">
        <v>95</v>
      </c>
      <c r="E122" s="353">
        <v>12</v>
      </c>
      <c r="F122" s="467">
        <v>0</v>
      </c>
      <c r="G122" s="352">
        <f t="shared" si="5"/>
        <v>0</v>
      </c>
    </row>
    <row r="123" spans="2:7" ht="36" x14ac:dyDescent="0.2">
      <c r="B123" s="131" t="s">
        <v>486</v>
      </c>
      <c r="C123" s="206" t="s">
        <v>487</v>
      </c>
      <c r="D123" s="207" t="s">
        <v>95</v>
      </c>
      <c r="E123" s="353">
        <v>6</v>
      </c>
      <c r="F123" s="467">
        <v>0</v>
      </c>
      <c r="G123" s="352">
        <f t="shared" si="5"/>
        <v>0</v>
      </c>
    </row>
    <row r="124" spans="2:7" ht="24" x14ac:dyDescent="0.2">
      <c r="B124" s="131" t="s">
        <v>488</v>
      </c>
      <c r="C124" s="206" t="s">
        <v>489</v>
      </c>
      <c r="D124" s="207" t="s">
        <v>149</v>
      </c>
      <c r="E124" s="353">
        <v>2</v>
      </c>
      <c r="F124" s="467">
        <v>0</v>
      </c>
      <c r="G124" s="352">
        <f t="shared" si="5"/>
        <v>0</v>
      </c>
    </row>
    <row r="125" spans="2:7" ht="36" x14ac:dyDescent="0.2">
      <c r="B125" s="131" t="s">
        <v>490</v>
      </c>
      <c r="C125" s="206" t="s">
        <v>491</v>
      </c>
      <c r="D125" s="207" t="s">
        <v>95</v>
      </c>
      <c r="E125" s="353">
        <v>22</v>
      </c>
      <c r="F125" s="467">
        <v>0</v>
      </c>
      <c r="G125" s="352">
        <f t="shared" si="5"/>
        <v>0</v>
      </c>
    </row>
    <row r="126" spans="2:7" ht="36" x14ac:dyDescent="0.2">
      <c r="B126" s="131" t="s">
        <v>492</v>
      </c>
      <c r="C126" s="206" t="s">
        <v>493</v>
      </c>
      <c r="D126" s="207" t="s">
        <v>149</v>
      </c>
      <c r="E126" s="353">
        <v>4</v>
      </c>
      <c r="F126" s="467">
        <v>0</v>
      </c>
      <c r="G126" s="352">
        <f t="shared" si="5"/>
        <v>0</v>
      </c>
    </row>
    <row r="127" spans="2:7" ht="36" x14ac:dyDescent="0.2">
      <c r="B127" s="131" t="s">
        <v>494</v>
      </c>
      <c r="C127" s="206" t="s">
        <v>495</v>
      </c>
      <c r="D127" s="207" t="s">
        <v>95</v>
      </c>
      <c r="E127" s="353">
        <v>5</v>
      </c>
      <c r="F127" s="467">
        <v>0</v>
      </c>
      <c r="G127" s="352">
        <f t="shared" si="5"/>
        <v>0</v>
      </c>
    </row>
    <row r="128" spans="2:7" ht="36" x14ac:dyDescent="0.2">
      <c r="B128" s="131" t="s">
        <v>496</v>
      </c>
      <c r="C128" s="206" t="s">
        <v>2544</v>
      </c>
      <c r="D128" s="207" t="s">
        <v>149</v>
      </c>
      <c r="E128" s="353">
        <v>1</v>
      </c>
      <c r="F128" s="467">
        <v>0</v>
      </c>
      <c r="G128" s="352">
        <f t="shared" si="5"/>
        <v>0</v>
      </c>
    </row>
    <row r="129" spans="1:8" x14ac:dyDescent="0.2">
      <c r="B129" s="131" t="s">
        <v>498</v>
      </c>
      <c r="C129" s="206" t="s">
        <v>2543</v>
      </c>
      <c r="D129" s="207" t="s">
        <v>149</v>
      </c>
      <c r="E129" s="353">
        <v>1</v>
      </c>
      <c r="F129" s="467">
        <v>0</v>
      </c>
      <c r="G129" s="352">
        <f t="shared" si="5"/>
        <v>0</v>
      </c>
    </row>
    <row r="130" spans="1:8" ht="24" x14ac:dyDescent="0.2">
      <c r="B130" s="131" t="s">
        <v>500</v>
      </c>
      <c r="C130" s="206" t="s">
        <v>2574</v>
      </c>
      <c r="D130" s="207" t="s">
        <v>149</v>
      </c>
      <c r="E130" s="353">
        <v>3</v>
      </c>
      <c r="F130" s="467">
        <v>0</v>
      </c>
      <c r="G130" s="352">
        <f t="shared" si="5"/>
        <v>0</v>
      </c>
    </row>
    <row r="131" spans="1:8" ht="24" x14ac:dyDescent="0.2">
      <c r="B131" s="131" t="s">
        <v>502</v>
      </c>
      <c r="C131" s="3161" t="s">
        <v>2580</v>
      </c>
      <c r="D131" s="207" t="s">
        <v>149</v>
      </c>
      <c r="E131" s="353">
        <v>2</v>
      </c>
      <c r="F131" s="467">
        <v>0</v>
      </c>
      <c r="G131" s="352">
        <f t="shared" si="5"/>
        <v>0</v>
      </c>
    </row>
    <row r="132" spans="1:8" ht="27" customHeight="1" x14ac:dyDescent="0.2">
      <c r="B132" s="131" t="s">
        <v>504</v>
      </c>
      <c r="C132" s="206" t="s">
        <v>2575</v>
      </c>
      <c r="D132" s="207" t="s">
        <v>95</v>
      </c>
      <c r="E132" s="353">
        <v>60</v>
      </c>
      <c r="F132" s="467">
        <v>0</v>
      </c>
      <c r="G132" s="352">
        <f t="shared" si="5"/>
        <v>0</v>
      </c>
    </row>
    <row r="133" spans="1:8" x14ac:dyDescent="0.2">
      <c r="B133" s="131" t="s">
        <v>2527</v>
      </c>
      <c r="C133" s="206" t="s">
        <v>503</v>
      </c>
      <c r="D133" s="207" t="s">
        <v>95</v>
      </c>
      <c r="E133" s="353">
        <v>35</v>
      </c>
      <c r="F133" s="467">
        <v>0</v>
      </c>
      <c r="G133" s="352">
        <f t="shared" si="5"/>
        <v>0</v>
      </c>
    </row>
    <row r="134" spans="1:8" ht="53.25" customHeight="1" x14ac:dyDescent="0.2">
      <c r="B134" s="131" t="s">
        <v>2528</v>
      </c>
      <c r="C134" s="206" t="s">
        <v>2572</v>
      </c>
      <c r="D134" s="207" t="s">
        <v>98</v>
      </c>
      <c r="E134" s="353">
        <v>1</v>
      </c>
      <c r="F134" s="467">
        <v>0</v>
      </c>
      <c r="G134" s="352">
        <f t="shared" si="5"/>
        <v>0</v>
      </c>
    </row>
    <row r="135" spans="1:8" x14ac:dyDescent="0.2">
      <c r="B135" s="131" t="s">
        <v>2579</v>
      </c>
      <c r="C135" s="2934" t="s">
        <v>2545</v>
      </c>
      <c r="D135" s="2935" t="s">
        <v>156</v>
      </c>
      <c r="E135" s="2936">
        <v>5</v>
      </c>
      <c r="F135" s="2933">
        <v>0</v>
      </c>
      <c r="G135" s="2933">
        <f>E135*F135</f>
        <v>0</v>
      </c>
      <c r="H135" s="565"/>
    </row>
    <row r="136" spans="1:8" x14ac:dyDescent="0.2">
      <c r="B136" s="469" t="s">
        <v>365</v>
      </c>
      <c r="C136" s="470" t="s">
        <v>506</v>
      </c>
      <c r="D136" s="224"/>
      <c r="E136" s="215"/>
      <c r="F136" s="216"/>
      <c r="G136" s="290">
        <f>SUM(G112:G135)</f>
        <v>0</v>
      </c>
    </row>
    <row r="137" spans="1:8" x14ac:dyDescent="0.2">
      <c r="B137" s="129"/>
      <c r="C137" s="197"/>
      <c r="D137" s="198"/>
      <c r="E137" s="353"/>
      <c r="F137" s="358"/>
      <c r="G137" s="350"/>
    </row>
    <row r="138" spans="1:8" s="295" customFormat="1" ht="20.25" x14ac:dyDescent="0.3">
      <c r="B138" s="2829" t="s">
        <v>12</v>
      </c>
      <c r="C138" s="2825" t="s">
        <v>2525</v>
      </c>
      <c r="D138" s="2826"/>
      <c r="E138" s="2827"/>
      <c r="F138" s="2828"/>
      <c r="G138" s="290">
        <f>G136+G106+G84+G64+G49</f>
        <v>0</v>
      </c>
    </row>
    <row r="139" spans="1:8" s="295" customFormat="1" ht="20.25" x14ac:dyDescent="0.3">
      <c r="B139" s="2822"/>
      <c r="C139" s="2823"/>
      <c r="D139" s="2824"/>
      <c r="E139" s="1005"/>
      <c r="F139" s="1006"/>
      <c r="G139" s="1007"/>
    </row>
    <row r="140" spans="1:8" ht="24" x14ac:dyDescent="0.2">
      <c r="B140" s="51" t="s">
        <v>368</v>
      </c>
      <c r="C140" s="50" t="s">
        <v>89</v>
      </c>
      <c r="D140" s="50" t="s">
        <v>90</v>
      </c>
      <c r="E140" s="359" t="s">
        <v>91</v>
      </c>
      <c r="F140" s="360" t="s">
        <v>92</v>
      </c>
      <c r="G140" s="361" t="s">
        <v>93</v>
      </c>
    </row>
    <row r="141" spans="1:8" x14ac:dyDescent="0.2">
      <c r="B141" s="129"/>
      <c r="C141" s="197"/>
      <c r="D141" s="207"/>
      <c r="E141" s="353"/>
      <c r="F141" s="358"/>
      <c r="G141" s="350"/>
    </row>
    <row r="142" spans="1:8" s="295" customFormat="1" ht="20.25" x14ac:dyDescent="0.3">
      <c r="B142" s="296" t="s">
        <v>17</v>
      </c>
      <c r="C142" s="297" t="s">
        <v>158</v>
      </c>
      <c r="D142" s="298"/>
      <c r="E142" s="299"/>
      <c r="F142" s="300"/>
      <c r="G142" s="301"/>
    </row>
    <row r="143" spans="1:8" s="139" customFormat="1" ht="18" customHeight="1" x14ac:dyDescent="0.2">
      <c r="A143" s="140"/>
      <c r="B143" s="143" t="s">
        <v>355</v>
      </c>
      <c r="C143" s="168"/>
      <c r="D143" s="169"/>
      <c r="E143" s="170"/>
      <c r="F143" s="170"/>
      <c r="G143" s="169"/>
    </row>
    <row r="144" spans="1:8" s="139" customFormat="1" ht="18" customHeight="1" x14ac:dyDescent="0.25">
      <c r="A144" s="141"/>
      <c r="B144" s="144" t="s">
        <v>356</v>
      </c>
      <c r="C144" s="171"/>
      <c r="D144" s="172"/>
      <c r="E144" s="173"/>
      <c r="F144" s="173"/>
      <c r="G144" s="172"/>
    </row>
    <row r="145" spans="1:8" s="139" customFormat="1" ht="18" customHeight="1" x14ac:dyDescent="0.2">
      <c r="A145" s="140"/>
      <c r="B145" s="143" t="s">
        <v>3</v>
      </c>
      <c r="C145" s="168"/>
      <c r="D145" s="170"/>
      <c r="E145" s="170"/>
      <c r="F145" s="170"/>
      <c r="G145" s="169"/>
    </row>
    <row r="146" spans="1:8" s="139" customFormat="1" ht="18" customHeight="1" x14ac:dyDescent="0.25">
      <c r="A146" s="141"/>
      <c r="B146" s="144" t="s">
        <v>4</v>
      </c>
      <c r="C146" s="171"/>
      <c r="D146" s="173"/>
      <c r="E146" s="173"/>
      <c r="F146" s="173"/>
      <c r="G146" s="172"/>
    </row>
    <row r="147" spans="1:8" s="130" customFormat="1" ht="18.75" customHeight="1" x14ac:dyDescent="0.2">
      <c r="B147" s="3184" t="s">
        <v>159</v>
      </c>
      <c r="C147" s="3185"/>
      <c r="D147" s="3185"/>
      <c r="E147" s="3185"/>
      <c r="F147" s="3185"/>
      <c r="G147" s="3186"/>
    </row>
    <row r="148" spans="1:8" s="130" customFormat="1" ht="18.75" customHeight="1" x14ac:dyDescent="0.2">
      <c r="B148" s="3184" t="s">
        <v>160</v>
      </c>
      <c r="C148" s="3185"/>
      <c r="D148" s="3185"/>
      <c r="E148" s="3185"/>
      <c r="F148" s="3185"/>
      <c r="G148" s="3186"/>
    </row>
    <row r="149" spans="1:8" s="130" customFormat="1" ht="18.75" customHeight="1" x14ac:dyDescent="0.2">
      <c r="B149" s="3184" t="s">
        <v>161</v>
      </c>
      <c r="C149" s="3185"/>
      <c r="D149" s="3185"/>
      <c r="E149" s="3185"/>
      <c r="F149" s="3185"/>
      <c r="G149" s="3186"/>
    </row>
    <row r="150" spans="1:8" ht="30" customHeight="1" x14ac:dyDescent="0.2">
      <c r="B150" s="153">
        <v>1</v>
      </c>
      <c r="C150" s="412" t="s">
        <v>507</v>
      </c>
      <c r="D150" s="226"/>
      <c r="E150" s="353"/>
      <c r="F150" s="358"/>
      <c r="G150" s="350"/>
    </row>
    <row r="151" spans="1:8" s="136" customFormat="1" ht="96" customHeight="1" x14ac:dyDescent="0.2">
      <c r="B151" s="2731"/>
      <c r="C151" s="2732"/>
      <c r="D151" s="2733"/>
      <c r="E151" s="2734"/>
      <c r="F151" s="2735"/>
      <c r="G151" s="2736"/>
      <c r="H151" s="122"/>
    </row>
    <row r="152" spans="1:8" s="136" customFormat="1" ht="96" customHeight="1" x14ac:dyDescent="0.2">
      <c r="B152" s="2737"/>
      <c r="C152" s="2738"/>
      <c r="D152" s="2733"/>
      <c r="E152" s="2734"/>
      <c r="F152" s="2735"/>
      <c r="G152" s="2736"/>
      <c r="H152" s="122"/>
    </row>
    <row r="153" spans="1:8" s="136" customFormat="1" ht="96" customHeight="1" x14ac:dyDescent="0.2">
      <c r="B153" s="2737"/>
      <c r="C153" s="2738"/>
      <c r="D153" s="2733"/>
      <c r="E153" s="2734"/>
      <c r="F153" s="2735"/>
      <c r="G153" s="2736"/>
      <c r="H153" s="122"/>
    </row>
    <row r="154" spans="1:8" s="136" customFormat="1" ht="96" customHeight="1" x14ac:dyDescent="0.2">
      <c r="B154" s="2737"/>
      <c r="C154" s="2738"/>
      <c r="D154" s="2733"/>
      <c r="E154" s="2734"/>
      <c r="F154" s="2735"/>
      <c r="G154" s="2736"/>
      <c r="H154" s="122"/>
    </row>
    <row r="155" spans="1:8" s="136" customFormat="1" ht="96" customHeight="1" x14ac:dyDescent="0.2">
      <c r="B155" s="2737"/>
      <c r="C155" s="2738"/>
      <c r="D155" s="2733"/>
      <c r="E155" s="2734"/>
      <c r="F155" s="2735"/>
      <c r="G155" s="2736"/>
      <c r="H155" s="122"/>
    </row>
    <row r="156" spans="1:8" s="136" customFormat="1" ht="96" customHeight="1" x14ac:dyDescent="0.2">
      <c r="B156" s="2737"/>
      <c r="C156" s="2738"/>
      <c r="D156" s="2733"/>
      <c r="E156" s="2734"/>
      <c r="F156" s="2735"/>
      <c r="G156" s="2736"/>
      <c r="H156" s="122"/>
    </row>
    <row r="157" spans="1:8" s="136" customFormat="1" ht="95.25" customHeight="1" x14ac:dyDescent="0.2">
      <c r="B157" s="2737"/>
      <c r="C157" s="2738"/>
      <c r="D157" s="2733"/>
      <c r="E157" s="2734"/>
      <c r="F157" s="2735"/>
      <c r="G157" s="2736"/>
      <c r="H157" s="122"/>
    </row>
    <row r="158" spans="1:8" s="136" customFormat="1" ht="14.25" customHeight="1" x14ac:dyDescent="0.2">
      <c r="B158" s="2737"/>
      <c r="C158" s="2732" t="s">
        <v>2464</v>
      </c>
      <c r="D158" s="2739" t="s">
        <v>98</v>
      </c>
      <c r="E158" s="2740">
        <v>1</v>
      </c>
      <c r="F158" s="2741">
        <v>0</v>
      </c>
      <c r="G158" s="2742">
        <f t="shared" ref="G158" si="6">E158*F158</f>
        <v>0</v>
      </c>
      <c r="H158" s="122"/>
    </row>
    <row r="159" spans="1:8" s="147" customFormat="1" ht="147.75" customHeight="1" x14ac:dyDescent="0.25">
      <c r="B159" s="148"/>
      <c r="C159" s="413" t="s">
        <v>508</v>
      </c>
      <c r="D159" s="226" t="s">
        <v>149</v>
      </c>
      <c r="E159" s="353">
        <v>1</v>
      </c>
      <c r="F159" s="467">
        <v>0</v>
      </c>
      <c r="G159" s="352">
        <f t="shared" ref="G159" si="7">E159*F159</f>
        <v>0</v>
      </c>
    </row>
    <row r="160" spans="1:8" ht="24" x14ac:dyDescent="0.2">
      <c r="B160" s="153">
        <v>3</v>
      </c>
      <c r="C160" s="229" t="s">
        <v>179</v>
      </c>
      <c r="D160" s="198"/>
      <c r="E160" s="353"/>
      <c r="F160" s="358"/>
      <c r="G160" s="350"/>
    </row>
    <row r="161" spans="2:7" x14ac:dyDescent="0.2">
      <c r="B161" s="292" t="s">
        <v>180</v>
      </c>
      <c r="C161" s="495" t="s">
        <v>509</v>
      </c>
      <c r="D161" s="231"/>
      <c r="E161" s="232"/>
      <c r="F161" s="233"/>
      <c r="G161" s="234"/>
    </row>
    <row r="162" spans="2:7" s="147" customFormat="1" ht="18.75" customHeight="1" x14ac:dyDescent="0.25">
      <c r="B162" s="152"/>
      <c r="C162" s="416" t="s">
        <v>510</v>
      </c>
      <c r="D162" s="236" t="s">
        <v>149</v>
      </c>
      <c r="E162" s="232">
        <v>1</v>
      </c>
      <c r="F162" s="271">
        <v>0</v>
      </c>
      <c r="G162" s="272">
        <f t="shared" ref="G162:G170" si="8">E162*F162</f>
        <v>0</v>
      </c>
    </row>
    <row r="163" spans="2:7" s="147" customFormat="1" ht="18" customHeight="1" x14ac:dyDescent="0.25">
      <c r="B163" s="152"/>
      <c r="C163" s="416" t="s">
        <v>511</v>
      </c>
      <c r="D163" s="236" t="s">
        <v>149</v>
      </c>
      <c r="E163" s="232">
        <v>1</v>
      </c>
      <c r="F163" s="271">
        <v>0</v>
      </c>
      <c r="G163" s="272">
        <f t="shared" si="8"/>
        <v>0</v>
      </c>
    </row>
    <row r="164" spans="2:7" s="147" customFormat="1" ht="18" customHeight="1" x14ac:dyDescent="0.25">
      <c r="B164" s="152"/>
      <c r="C164" s="416" t="s">
        <v>512</v>
      </c>
      <c r="D164" s="236" t="s">
        <v>149</v>
      </c>
      <c r="E164" s="232">
        <v>1</v>
      </c>
      <c r="F164" s="271">
        <v>0</v>
      </c>
      <c r="G164" s="272">
        <f t="shared" si="8"/>
        <v>0</v>
      </c>
    </row>
    <row r="165" spans="2:7" s="147" customFormat="1" ht="18" customHeight="1" x14ac:dyDescent="0.25">
      <c r="B165" s="152"/>
      <c r="C165" s="416" t="s">
        <v>513</v>
      </c>
      <c r="D165" s="236" t="s">
        <v>149</v>
      </c>
      <c r="E165" s="232">
        <v>2</v>
      </c>
      <c r="F165" s="271">
        <v>0</v>
      </c>
      <c r="G165" s="272">
        <f t="shared" si="8"/>
        <v>0</v>
      </c>
    </row>
    <row r="166" spans="2:7" s="147" customFormat="1" ht="18" customHeight="1" x14ac:dyDescent="0.25">
      <c r="B166" s="152"/>
      <c r="C166" s="416" t="s">
        <v>514</v>
      </c>
      <c r="D166" s="236" t="s">
        <v>149</v>
      </c>
      <c r="E166" s="232">
        <v>1</v>
      </c>
      <c r="F166" s="271">
        <v>0</v>
      </c>
      <c r="G166" s="272">
        <f t="shared" si="8"/>
        <v>0</v>
      </c>
    </row>
    <row r="167" spans="2:7" s="147" customFormat="1" ht="18" customHeight="1" x14ac:dyDescent="0.25">
      <c r="B167" s="152"/>
      <c r="C167" s="416" t="s">
        <v>515</v>
      </c>
      <c r="D167" s="236" t="s">
        <v>149</v>
      </c>
      <c r="E167" s="232">
        <v>1</v>
      </c>
      <c r="F167" s="271">
        <v>0</v>
      </c>
      <c r="G167" s="272">
        <f t="shared" si="8"/>
        <v>0</v>
      </c>
    </row>
    <row r="168" spans="2:7" s="147" customFormat="1" ht="18" customHeight="1" x14ac:dyDescent="0.25">
      <c r="B168" s="152"/>
      <c r="C168" s="416" t="s">
        <v>516</v>
      </c>
      <c r="D168" s="236" t="s">
        <v>149</v>
      </c>
      <c r="E168" s="232">
        <v>1</v>
      </c>
      <c r="F168" s="271">
        <v>0</v>
      </c>
      <c r="G168" s="272">
        <f t="shared" si="8"/>
        <v>0</v>
      </c>
    </row>
    <row r="169" spans="2:7" s="147" customFormat="1" ht="18" customHeight="1" x14ac:dyDescent="0.25">
      <c r="B169" s="152"/>
      <c r="C169" s="416" t="s">
        <v>517</v>
      </c>
      <c r="D169" s="236" t="s">
        <v>149</v>
      </c>
      <c r="E169" s="232">
        <v>1</v>
      </c>
      <c r="F169" s="271">
        <v>0</v>
      </c>
      <c r="G169" s="272">
        <f t="shared" si="8"/>
        <v>0</v>
      </c>
    </row>
    <row r="170" spans="2:7" s="147" customFormat="1" ht="18" customHeight="1" x14ac:dyDescent="0.25">
      <c r="B170" s="152"/>
      <c r="C170" s="416" t="s">
        <v>518</v>
      </c>
      <c r="D170" s="236" t="s">
        <v>149</v>
      </c>
      <c r="E170" s="232">
        <v>1</v>
      </c>
      <c r="F170" s="271">
        <v>0</v>
      </c>
      <c r="G170" s="272">
        <f t="shared" si="8"/>
        <v>0</v>
      </c>
    </row>
    <row r="171" spans="2:7" s="147" customFormat="1" ht="18" customHeight="1" x14ac:dyDescent="0.25">
      <c r="B171" s="152"/>
      <c r="C171" s="416"/>
      <c r="D171" s="236"/>
      <c r="E171" s="232"/>
      <c r="F171" s="271"/>
      <c r="G171" s="272"/>
    </row>
    <row r="172" spans="2:7" x14ac:dyDescent="0.2">
      <c r="B172" s="292" t="s">
        <v>188</v>
      </c>
      <c r="C172" s="495" t="s">
        <v>519</v>
      </c>
      <c r="D172" s="231"/>
      <c r="E172" s="232"/>
      <c r="F172" s="233"/>
      <c r="G172" s="234"/>
    </row>
    <row r="173" spans="2:7" ht="18" customHeight="1" x14ac:dyDescent="0.2">
      <c r="B173" s="129"/>
      <c r="C173" s="416" t="s">
        <v>520</v>
      </c>
      <c r="D173" s="236" t="s">
        <v>149</v>
      </c>
      <c r="E173" s="232">
        <v>3</v>
      </c>
      <c r="F173" s="271">
        <v>0</v>
      </c>
      <c r="G173" s="272">
        <f t="shared" ref="G173:G205" si="9">E173*F173</f>
        <v>0</v>
      </c>
    </row>
    <row r="174" spans="2:7" ht="18" customHeight="1" x14ac:dyDescent="0.2">
      <c r="B174" s="129"/>
      <c r="C174" s="416" t="s">
        <v>521</v>
      </c>
      <c r="D174" s="236" t="s">
        <v>149</v>
      </c>
      <c r="E174" s="232">
        <v>1</v>
      </c>
      <c r="F174" s="271">
        <v>0</v>
      </c>
      <c r="G174" s="272">
        <f t="shared" si="9"/>
        <v>0</v>
      </c>
    </row>
    <row r="175" spans="2:7" ht="18" customHeight="1" x14ac:dyDescent="0.2">
      <c r="B175" s="129"/>
      <c r="C175" s="416" t="s">
        <v>522</v>
      </c>
      <c r="D175" s="236" t="s">
        <v>149</v>
      </c>
      <c r="E175" s="232">
        <v>1</v>
      </c>
      <c r="F175" s="271">
        <v>0</v>
      </c>
      <c r="G175" s="272">
        <f t="shared" si="9"/>
        <v>0</v>
      </c>
    </row>
    <row r="176" spans="2:7" ht="18" customHeight="1" x14ac:dyDescent="0.2">
      <c r="B176" s="129"/>
      <c r="C176" s="416" t="s">
        <v>523</v>
      </c>
      <c r="D176" s="236" t="s">
        <v>149</v>
      </c>
      <c r="E176" s="232">
        <v>1</v>
      </c>
      <c r="F176" s="271">
        <v>0</v>
      </c>
      <c r="G176" s="272">
        <f t="shared" si="9"/>
        <v>0</v>
      </c>
    </row>
    <row r="177" spans="2:7" ht="18" customHeight="1" x14ac:dyDescent="0.2">
      <c r="B177" s="129"/>
      <c r="C177" s="416" t="s">
        <v>515</v>
      </c>
      <c r="D177" s="236" t="s">
        <v>149</v>
      </c>
      <c r="E177" s="232">
        <v>1</v>
      </c>
      <c r="F177" s="271">
        <v>0</v>
      </c>
      <c r="G177" s="272">
        <f t="shared" si="9"/>
        <v>0</v>
      </c>
    </row>
    <row r="178" spans="2:7" s="147" customFormat="1" ht="66" customHeight="1" x14ac:dyDescent="0.25">
      <c r="B178" s="152"/>
      <c r="C178" s="416" t="s">
        <v>524</v>
      </c>
      <c r="D178" s="236" t="s">
        <v>149</v>
      </c>
      <c r="E178" s="232">
        <v>1</v>
      </c>
      <c r="F178" s="271">
        <v>0</v>
      </c>
      <c r="G178" s="272">
        <f t="shared" si="9"/>
        <v>0</v>
      </c>
    </row>
    <row r="179" spans="2:7" s="147" customFormat="1" ht="18" customHeight="1" x14ac:dyDescent="0.25">
      <c r="B179" s="152"/>
      <c r="C179" s="416" t="s">
        <v>267</v>
      </c>
      <c r="D179" s="236" t="s">
        <v>149</v>
      </c>
      <c r="E179" s="232">
        <v>1</v>
      </c>
      <c r="F179" s="271">
        <v>0</v>
      </c>
      <c r="G179" s="272">
        <f t="shared" si="9"/>
        <v>0</v>
      </c>
    </row>
    <row r="180" spans="2:7" ht="18" customHeight="1" x14ac:dyDescent="0.2">
      <c r="B180" s="129"/>
      <c r="C180" s="416" t="s">
        <v>518</v>
      </c>
      <c r="D180" s="236" t="s">
        <v>149</v>
      </c>
      <c r="E180" s="232">
        <v>1</v>
      </c>
      <c r="F180" s="271">
        <v>0</v>
      </c>
      <c r="G180" s="272">
        <f t="shared" si="9"/>
        <v>0</v>
      </c>
    </row>
    <row r="181" spans="2:7" ht="18" customHeight="1" x14ac:dyDescent="0.2">
      <c r="B181" s="129"/>
      <c r="C181" s="416" t="s">
        <v>275</v>
      </c>
      <c r="D181" s="236" t="s">
        <v>149</v>
      </c>
      <c r="E181" s="232">
        <v>1</v>
      </c>
      <c r="F181" s="271">
        <v>0</v>
      </c>
      <c r="G181" s="272">
        <f>E181*F181</f>
        <v>0</v>
      </c>
    </row>
    <row r="182" spans="2:7" ht="18" customHeight="1" x14ac:dyDescent="0.2">
      <c r="B182" s="129"/>
      <c r="C182" s="416" t="s">
        <v>525</v>
      </c>
      <c r="D182" s="236" t="s">
        <v>149</v>
      </c>
      <c r="E182" s="232">
        <v>2</v>
      </c>
      <c r="F182" s="271">
        <v>0</v>
      </c>
      <c r="G182" s="272">
        <f t="shared" si="9"/>
        <v>0</v>
      </c>
    </row>
    <row r="183" spans="2:7" ht="18" customHeight="1" x14ac:dyDescent="0.2">
      <c r="B183" s="129"/>
      <c r="C183" s="416" t="s">
        <v>526</v>
      </c>
      <c r="D183" s="236" t="s">
        <v>149</v>
      </c>
      <c r="E183" s="232">
        <v>1</v>
      </c>
      <c r="F183" s="271">
        <v>0</v>
      </c>
      <c r="G183" s="272">
        <f t="shared" si="9"/>
        <v>0</v>
      </c>
    </row>
    <row r="184" spans="2:7" ht="18" customHeight="1" x14ac:dyDescent="0.2">
      <c r="B184" s="129"/>
      <c r="C184" s="416" t="s">
        <v>527</v>
      </c>
      <c r="D184" s="236" t="s">
        <v>149</v>
      </c>
      <c r="E184" s="232">
        <v>2</v>
      </c>
      <c r="F184" s="271">
        <v>0</v>
      </c>
      <c r="G184" s="272">
        <f t="shared" si="9"/>
        <v>0</v>
      </c>
    </row>
    <row r="185" spans="2:7" ht="18" customHeight="1" x14ac:dyDescent="0.2">
      <c r="B185" s="129"/>
      <c r="C185" s="416" t="s">
        <v>528</v>
      </c>
      <c r="D185" s="236" t="s">
        <v>149</v>
      </c>
      <c r="E185" s="232">
        <v>1</v>
      </c>
      <c r="F185" s="271">
        <v>0</v>
      </c>
      <c r="G185" s="272">
        <f t="shared" si="9"/>
        <v>0</v>
      </c>
    </row>
    <row r="186" spans="2:7" ht="18" customHeight="1" x14ac:dyDescent="0.2">
      <c r="B186" s="129"/>
      <c r="C186" s="416" t="s">
        <v>529</v>
      </c>
      <c r="D186" s="236" t="s">
        <v>149</v>
      </c>
      <c r="E186" s="232">
        <v>1</v>
      </c>
      <c r="F186" s="271">
        <v>0</v>
      </c>
      <c r="G186" s="272">
        <f t="shared" si="9"/>
        <v>0</v>
      </c>
    </row>
    <row r="187" spans="2:7" ht="18" customHeight="1" x14ac:dyDescent="0.2">
      <c r="B187" s="129"/>
      <c r="C187" s="416"/>
      <c r="D187" s="236"/>
      <c r="E187" s="232"/>
      <c r="F187" s="271"/>
      <c r="G187" s="272"/>
    </row>
    <row r="188" spans="2:7" x14ac:dyDescent="0.2">
      <c r="B188" s="292" t="s">
        <v>199</v>
      </c>
      <c r="C188" s="495" t="s">
        <v>530</v>
      </c>
      <c r="D188" s="231"/>
      <c r="E188" s="232"/>
      <c r="F188" s="233"/>
      <c r="G188" s="234"/>
    </row>
    <row r="189" spans="2:7" ht="18" customHeight="1" x14ac:dyDescent="0.2">
      <c r="B189" s="129"/>
      <c r="C189" s="416" t="s">
        <v>513</v>
      </c>
      <c r="D189" s="236" t="s">
        <v>149</v>
      </c>
      <c r="E189" s="232">
        <v>2</v>
      </c>
      <c r="F189" s="271">
        <v>0</v>
      </c>
      <c r="G189" s="272">
        <f t="shared" ref="G189:G201" si="10">E189*F189</f>
        <v>0</v>
      </c>
    </row>
    <row r="190" spans="2:7" ht="18" customHeight="1" x14ac:dyDescent="0.2">
      <c r="B190" s="129"/>
      <c r="C190" s="416" t="s">
        <v>531</v>
      </c>
      <c r="D190" s="236" t="s">
        <v>149</v>
      </c>
      <c r="E190" s="232">
        <v>1</v>
      </c>
      <c r="F190" s="271">
        <v>0</v>
      </c>
      <c r="G190" s="272">
        <f t="shared" si="10"/>
        <v>0</v>
      </c>
    </row>
    <row r="191" spans="2:7" ht="18" customHeight="1" x14ac:dyDescent="0.2">
      <c r="B191" s="129"/>
      <c r="C191" s="416" t="s">
        <v>532</v>
      </c>
      <c r="D191" s="236" t="s">
        <v>149</v>
      </c>
      <c r="E191" s="232">
        <v>1</v>
      </c>
      <c r="F191" s="271">
        <v>0</v>
      </c>
      <c r="G191" s="272">
        <f t="shared" si="10"/>
        <v>0</v>
      </c>
    </row>
    <row r="192" spans="2:7" ht="18" customHeight="1" x14ac:dyDescent="0.2">
      <c r="B192" s="129"/>
      <c r="C192" s="416" t="s">
        <v>522</v>
      </c>
      <c r="D192" s="236" t="s">
        <v>149</v>
      </c>
      <c r="E192" s="232">
        <v>1</v>
      </c>
      <c r="F192" s="271">
        <v>0</v>
      </c>
      <c r="G192" s="272">
        <f t="shared" si="10"/>
        <v>0</v>
      </c>
    </row>
    <row r="193" spans="2:7" ht="18" customHeight="1" x14ac:dyDescent="0.2">
      <c r="B193" s="129"/>
      <c r="C193" s="416" t="s">
        <v>523</v>
      </c>
      <c r="D193" s="236" t="s">
        <v>149</v>
      </c>
      <c r="E193" s="232">
        <v>1</v>
      </c>
      <c r="F193" s="271">
        <v>0</v>
      </c>
      <c r="G193" s="272">
        <f t="shared" si="10"/>
        <v>0</v>
      </c>
    </row>
    <row r="194" spans="2:7" ht="18" customHeight="1" x14ac:dyDescent="0.2">
      <c r="B194" s="129"/>
      <c r="C194" s="416" t="s">
        <v>515</v>
      </c>
      <c r="D194" s="236" t="s">
        <v>149</v>
      </c>
      <c r="E194" s="232">
        <v>1</v>
      </c>
      <c r="F194" s="271">
        <v>0</v>
      </c>
      <c r="G194" s="272">
        <f t="shared" si="10"/>
        <v>0</v>
      </c>
    </row>
    <row r="195" spans="2:7" s="147" customFormat="1" ht="69" customHeight="1" x14ac:dyDescent="0.25">
      <c r="B195" s="152"/>
      <c r="C195" s="416" t="s">
        <v>524</v>
      </c>
      <c r="D195" s="236" t="s">
        <v>149</v>
      </c>
      <c r="E195" s="232">
        <v>1</v>
      </c>
      <c r="F195" s="271">
        <v>0</v>
      </c>
      <c r="G195" s="272">
        <f t="shared" si="10"/>
        <v>0</v>
      </c>
    </row>
    <row r="196" spans="2:7" ht="18" customHeight="1" x14ac:dyDescent="0.2">
      <c r="B196" s="129"/>
      <c r="C196" s="416" t="s">
        <v>518</v>
      </c>
      <c r="D196" s="236" t="s">
        <v>149</v>
      </c>
      <c r="E196" s="232">
        <v>1</v>
      </c>
      <c r="F196" s="271">
        <v>0</v>
      </c>
      <c r="G196" s="272">
        <f t="shared" si="10"/>
        <v>0</v>
      </c>
    </row>
    <row r="197" spans="2:7" ht="85.5" customHeight="1" x14ac:dyDescent="0.2">
      <c r="B197" s="129"/>
      <c r="C197" s="416" t="s">
        <v>533</v>
      </c>
      <c r="D197" s="236" t="s">
        <v>149</v>
      </c>
      <c r="E197" s="232">
        <v>1</v>
      </c>
      <c r="F197" s="271">
        <v>0</v>
      </c>
      <c r="G197" s="272">
        <f>E197*F197</f>
        <v>0</v>
      </c>
    </row>
    <row r="198" spans="2:7" ht="18" customHeight="1" x14ac:dyDescent="0.2">
      <c r="B198" s="129"/>
      <c r="C198" s="416" t="s">
        <v>525</v>
      </c>
      <c r="D198" s="236" t="s">
        <v>149</v>
      </c>
      <c r="E198" s="232">
        <v>1</v>
      </c>
      <c r="F198" s="271">
        <v>0</v>
      </c>
      <c r="G198" s="272">
        <f t="shared" si="10"/>
        <v>0</v>
      </c>
    </row>
    <row r="199" spans="2:7" ht="18" customHeight="1" x14ac:dyDescent="0.2">
      <c r="B199" s="129"/>
      <c r="C199" s="416" t="s">
        <v>526</v>
      </c>
      <c r="D199" s="236" t="s">
        <v>149</v>
      </c>
      <c r="E199" s="232">
        <v>1</v>
      </c>
      <c r="F199" s="271">
        <v>0</v>
      </c>
      <c r="G199" s="272">
        <f t="shared" si="10"/>
        <v>0</v>
      </c>
    </row>
    <row r="200" spans="2:7" s="147" customFormat="1" ht="29.25" customHeight="1" x14ac:dyDescent="0.25">
      <c r="B200" s="152"/>
      <c r="C200" s="416" t="s">
        <v>534</v>
      </c>
      <c r="D200" s="236" t="s">
        <v>149</v>
      </c>
      <c r="E200" s="232">
        <v>1</v>
      </c>
      <c r="F200" s="271">
        <v>0</v>
      </c>
      <c r="G200" s="272">
        <f t="shared" si="10"/>
        <v>0</v>
      </c>
    </row>
    <row r="201" spans="2:7" ht="18" customHeight="1" x14ac:dyDescent="0.2">
      <c r="B201" s="129"/>
      <c r="C201" s="416" t="s">
        <v>265</v>
      </c>
      <c r="D201" s="236" t="s">
        <v>149</v>
      </c>
      <c r="E201" s="232">
        <v>2</v>
      </c>
      <c r="F201" s="271">
        <v>0</v>
      </c>
      <c r="G201" s="272">
        <f t="shared" si="10"/>
        <v>0</v>
      </c>
    </row>
    <row r="202" spans="2:7" ht="18" customHeight="1" x14ac:dyDescent="0.2">
      <c r="B202" s="129"/>
      <c r="C202" s="416" t="s">
        <v>535</v>
      </c>
      <c r="D202" s="236" t="s">
        <v>149</v>
      </c>
      <c r="E202" s="232">
        <v>1</v>
      </c>
      <c r="F202" s="271">
        <v>0</v>
      </c>
      <c r="G202" s="272">
        <f t="shared" si="9"/>
        <v>0</v>
      </c>
    </row>
    <row r="203" spans="2:7" ht="18" customHeight="1" x14ac:dyDescent="0.2">
      <c r="B203" s="129"/>
      <c r="C203" s="416" t="s">
        <v>514</v>
      </c>
      <c r="D203" s="236" t="s">
        <v>149</v>
      </c>
      <c r="E203" s="232">
        <v>1</v>
      </c>
      <c r="F203" s="271">
        <v>0</v>
      </c>
      <c r="G203" s="272">
        <f t="shared" si="9"/>
        <v>0</v>
      </c>
    </row>
    <row r="204" spans="2:7" ht="18" customHeight="1" x14ac:dyDescent="0.2">
      <c r="B204" s="129"/>
      <c r="C204" s="416" t="s">
        <v>536</v>
      </c>
      <c r="D204" s="236" t="s">
        <v>149</v>
      </c>
      <c r="E204" s="232">
        <v>1</v>
      </c>
      <c r="F204" s="271">
        <v>0</v>
      </c>
      <c r="G204" s="272">
        <f t="shared" si="9"/>
        <v>0</v>
      </c>
    </row>
    <row r="205" spans="2:7" ht="18" customHeight="1" x14ac:dyDescent="0.2">
      <c r="B205" s="129"/>
      <c r="C205" s="416" t="s">
        <v>537</v>
      </c>
      <c r="D205" s="236" t="s">
        <v>149</v>
      </c>
      <c r="E205" s="232">
        <v>1</v>
      </c>
      <c r="F205" s="271">
        <v>0</v>
      </c>
      <c r="G205" s="272">
        <f t="shared" si="9"/>
        <v>0</v>
      </c>
    </row>
    <row r="206" spans="2:7" ht="18" customHeight="1" x14ac:dyDescent="0.2">
      <c r="B206" s="129"/>
      <c r="C206" s="416"/>
      <c r="D206" s="236"/>
      <c r="E206" s="232"/>
      <c r="F206" s="271"/>
      <c r="G206" s="272"/>
    </row>
    <row r="207" spans="2:7" s="147" customFormat="1" ht="16.5" customHeight="1" x14ac:dyDescent="0.25">
      <c r="B207" s="293" t="s">
        <v>17</v>
      </c>
      <c r="C207" s="294" t="s">
        <v>302</v>
      </c>
      <c r="D207" s="218"/>
      <c r="E207" s="203"/>
      <c r="F207" s="204"/>
      <c r="G207" s="290">
        <f>SUM(G150:G206)</f>
        <v>0</v>
      </c>
    </row>
    <row r="210" spans="2:7" ht="23.25" customHeight="1" x14ac:dyDescent="0.2">
      <c r="B210" s="3199" t="s">
        <v>538</v>
      </c>
      <c r="C210" s="3200"/>
      <c r="D210" s="3200"/>
      <c r="E210" s="3200"/>
      <c r="F210" s="3200"/>
      <c r="G210" s="3201"/>
    </row>
    <row r="211" spans="2:7" ht="15" customHeight="1" x14ac:dyDescent="0.2">
      <c r="B211" s="3202" t="s">
        <v>539</v>
      </c>
      <c r="C211" s="3203"/>
      <c r="D211" s="3203"/>
      <c r="E211" s="3203"/>
      <c r="F211" s="3203"/>
      <c r="G211" s="3204"/>
    </row>
    <row r="212" spans="2:7" ht="15" customHeight="1" x14ac:dyDescent="0.2">
      <c r="B212" s="3190" t="s">
        <v>540</v>
      </c>
      <c r="C212" s="3191"/>
      <c r="D212" s="3191"/>
      <c r="E212" s="3191"/>
      <c r="F212" s="3191"/>
      <c r="G212" s="3192"/>
    </row>
    <row r="213" spans="2:7" ht="15" customHeight="1" x14ac:dyDescent="0.2">
      <c r="B213" s="3190" t="s">
        <v>541</v>
      </c>
      <c r="C213" s="3191"/>
      <c r="D213" s="3191"/>
      <c r="E213" s="3191"/>
      <c r="F213" s="3191"/>
      <c r="G213" s="3192"/>
    </row>
    <row r="214" spans="2:7" ht="15" customHeight="1" x14ac:dyDescent="0.2">
      <c r="B214" s="3190" t="s">
        <v>542</v>
      </c>
      <c r="C214" s="3191"/>
      <c r="D214" s="3191"/>
      <c r="E214" s="3191"/>
      <c r="F214" s="3191"/>
      <c r="G214" s="3192"/>
    </row>
    <row r="215" spans="2:7" ht="15" customHeight="1" x14ac:dyDescent="0.2">
      <c r="B215" s="3190" t="s">
        <v>543</v>
      </c>
      <c r="C215" s="3191"/>
      <c r="D215" s="3191"/>
      <c r="E215" s="3191"/>
      <c r="F215" s="3191"/>
      <c r="G215" s="3192"/>
    </row>
    <row r="216" spans="2:7" ht="15" customHeight="1" x14ac:dyDescent="0.2">
      <c r="B216" s="3193" t="s">
        <v>544</v>
      </c>
      <c r="C216" s="3194"/>
      <c r="D216" s="3194"/>
      <c r="E216" s="3194"/>
      <c r="F216" s="3194"/>
      <c r="G216" s="3195"/>
    </row>
    <row r="217" spans="2:7" ht="15" customHeight="1" x14ac:dyDescent="0.2">
      <c r="B217" s="3196" t="s">
        <v>545</v>
      </c>
      <c r="C217" s="3197"/>
      <c r="D217" s="3197"/>
      <c r="E217" s="3197"/>
      <c r="F217" s="3197"/>
      <c r="G217" s="3198"/>
    </row>
    <row r="218" spans="2:7" x14ac:dyDescent="0.2">
      <c r="B218" s="520"/>
      <c r="C218" s="521"/>
      <c r="D218" s="522"/>
      <c r="E218" s="523"/>
      <c r="F218" s="524"/>
      <c r="G218" s="525"/>
    </row>
    <row r="219" spans="2:7" ht="24" x14ac:dyDescent="0.2">
      <c r="B219" s="526" t="s">
        <v>368</v>
      </c>
      <c r="C219" s="527" t="s">
        <v>84</v>
      </c>
      <c r="D219" s="527" t="s">
        <v>546</v>
      </c>
      <c r="E219" s="528" t="s">
        <v>547</v>
      </c>
      <c r="F219" s="529" t="s">
        <v>548</v>
      </c>
      <c r="G219" s="527" t="s">
        <v>549</v>
      </c>
    </row>
    <row r="220" spans="2:7" x14ac:dyDescent="0.2">
      <c r="B220" s="530"/>
      <c r="C220" s="531"/>
      <c r="D220" s="532"/>
      <c r="E220" s="533"/>
      <c r="F220" s="534"/>
      <c r="G220" s="535"/>
    </row>
    <row r="221" spans="2:7" x14ac:dyDescent="0.2">
      <c r="B221" s="536" t="s">
        <v>167</v>
      </c>
      <c r="C221" s="537" t="s">
        <v>550</v>
      </c>
      <c r="D221" s="538" t="s">
        <v>551</v>
      </c>
      <c r="E221" s="539" t="s">
        <v>551</v>
      </c>
      <c r="F221" s="540"/>
      <c r="G221" s="541"/>
    </row>
    <row r="222" spans="2:7" x14ac:dyDescent="0.2">
      <c r="B222" s="542"/>
      <c r="C222" s="543"/>
      <c r="D222" s="544"/>
      <c r="E222" s="545"/>
      <c r="F222" s="534"/>
      <c r="G222" s="546"/>
    </row>
    <row r="223" spans="2:7" ht="84" x14ac:dyDescent="0.2">
      <c r="B223" s="2281" t="s">
        <v>8</v>
      </c>
      <c r="C223" s="2314" t="s">
        <v>552</v>
      </c>
      <c r="D223" s="2284" t="s">
        <v>553</v>
      </c>
      <c r="E223" s="2285">
        <v>1</v>
      </c>
      <c r="F223" s="2286">
        <v>0</v>
      </c>
      <c r="G223" s="272">
        <f>E223*F223</f>
        <v>0</v>
      </c>
    </row>
    <row r="224" spans="2:7" x14ac:dyDescent="0.2">
      <c r="B224" s="2281"/>
      <c r="C224" s="2293"/>
      <c r="D224" s="2284"/>
      <c r="E224" s="2285"/>
      <c r="F224" s="2289"/>
      <c r="G224" s="2291"/>
    </row>
    <row r="225" spans="2:7" ht="48" x14ac:dyDescent="0.2">
      <c r="B225" s="2281" t="s">
        <v>15</v>
      </c>
      <c r="C225" s="2314" t="s">
        <v>554</v>
      </c>
      <c r="D225" s="2284" t="s">
        <v>123</v>
      </c>
      <c r="E225" s="2285">
        <v>1</v>
      </c>
      <c r="F225" s="2286">
        <v>0</v>
      </c>
      <c r="G225" s="272">
        <f>E225*F225</f>
        <v>0</v>
      </c>
    </row>
    <row r="226" spans="2:7" x14ac:dyDescent="0.2">
      <c r="B226" s="2281"/>
      <c r="C226" s="2293"/>
      <c r="D226" s="2284"/>
      <c r="E226" s="2285"/>
      <c r="F226" s="2289"/>
      <c r="G226" s="2291"/>
    </row>
    <row r="227" spans="2:7" ht="24" x14ac:dyDescent="0.2">
      <c r="B227" s="2281" t="s">
        <v>20</v>
      </c>
      <c r="C227" s="2312" t="s">
        <v>555</v>
      </c>
      <c r="D227" s="2284" t="s">
        <v>553</v>
      </c>
      <c r="E227" s="2285">
        <v>1</v>
      </c>
      <c r="F227" s="2286">
        <v>0</v>
      </c>
      <c r="G227" s="272">
        <f>E227*F227</f>
        <v>0</v>
      </c>
    </row>
    <row r="228" spans="2:7" x14ac:dyDescent="0.2">
      <c r="B228" s="2281"/>
      <c r="C228" s="2293"/>
      <c r="D228" s="2284"/>
      <c r="E228" s="2285"/>
      <c r="F228" s="2289"/>
      <c r="G228" s="2291"/>
    </row>
    <row r="229" spans="2:7" ht="24" x14ac:dyDescent="0.2">
      <c r="B229" s="2281" t="s">
        <v>24</v>
      </c>
      <c r="C229" s="2293" t="s">
        <v>556</v>
      </c>
      <c r="D229" s="2284" t="s">
        <v>123</v>
      </c>
      <c r="E229" s="2285">
        <v>2</v>
      </c>
      <c r="F229" s="2286">
        <v>0</v>
      </c>
      <c r="G229" s="272">
        <f>E229*F229</f>
        <v>0</v>
      </c>
    </row>
    <row r="230" spans="2:7" x14ac:dyDescent="0.2">
      <c r="B230" s="2281"/>
      <c r="C230" s="2293"/>
      <c r="D230" s="2284"/>
      <c r="E230" s="2285"/>
      <c r="F230" s="2289"/>
      <c r="G230" s="2291"/>
    </row>
    <row r="231" spans="2:7" ht="24" x14ac:dyDescent="0.2">
      <c r="B231" s="2281" t="s">
        <v>29</v>
      </c>
      <c r="C231" s="2293" t="s">
        <v>557</v>
      </c>
      <c r="D231" s="2284" t="s">
        <v>123</v>
      </c>
      <c r="E231" s="2285">
        <v>1</v>
      </c>
      <c r="F231" s="2286">
        <v>0</v>
      </c>
      <c r="G231" s="272">
        <f>E231*F231</f>
        <v>0</v>
      </c>
    </row>
    <row r="232" spans="2:7" x14ac:dyDescent="0.2">
      <c r="B232" s="2281"/>
      <c r="C232" s="2293"/>
      <c r="D232" s="2284"/>
      <c r="E232" s="2285"/>
      <c r="F232" s="2289"/>
      <c r="G232" s="2291"/>
    </row>
    <row r="233" spans="2:7" x14ac:dyDescent="0.2">
      <c r="B233" s="2281" t="s">
        <v>33</v>
      </c>
      <c r="C233" s="2293" t="s">
        <v>558</v>
      </c>
      <c r="D233" s="2284" t="s">
        <v>123</v>
      </c>
      <c r="E233" s="2285">
        <v>1</v>
      </c>
      <c r="F233" s="2286">
        <v>0</v>
      </c>
      <c r="G233" s="272">
        <f>E233*F233</f>
        <v>0</v>
      </c>
    </row>
    <row r="234" spans="2:7" x14ac:dyDescent="0.2">
      <c r="B234" s="2281"/>
      <c r="C234" s="2293"/>
      <c r="D234" s="2284"/>
      <c r="E234" s="2285"/>
      <c r="F234" s="2289"/>
      <c r="G234" s="2291"/>
    </row>
    <row r="235" spans="2:7" ht="48" x14ac:dyDescent="0.2">
      <c r="B235" s="2281" t="s">
        <v>38</v>
      </c>
      <c r="C235" s="2293" t="s">
        <v>559</v>
      </c>
      <c r="D235" s="2284" t="s">
        <v>560</v>
      </c>
      <c r="E235" s="2285">
        <v>1</v>
      </c>
      <c r="F235" s="2286">
        <v>0</v>
      </c>
      <c r="G235" s="272">
        <f>E235*F235</f>
        <v>0</v>
      </c>
    </row>
    <row r="236" spans="2:7" x14ac:dyDescent="0.2">
      <c r="B236" s="2281"/>
      <c r="C236" s="2293"/>
      <c r="D236" s="2284"/>
      <c r="E236" s="2285"/>
      <c r="F236" s="2289"/>
      <c r="G236" s="2291"/>
    </row>
    <row r="237" spans="2:7" ht="36" x14ac:dyDescent="0.2">
      <c r="B237" s="2281" t="s">
        <v>43</v>
      </c>
      <c r="C237" s="2293" t="s">
        <v>561</v>
      </c>
      <c r="D237" s="2284" t="s">
        <v>123</v>
      </c>
      <c r="E237" s="2285">
        <v>1</v>
      </c>
      <c r="F237" s="2286">
        <v>0</v>
      </c>
      <c r="G237" s="272">
        <f>E237*F237</f>
        <v>0</v>
      </c>
    </row>
    <row r="238" spans="2:7" x14ac:dyDescent="0.2">
      <c r="B238" s="2281"/>
      <c r="C238" s="2293"/>
      <c r="D238" s="2284"/>
      <c r="E238" s="2285"/>
      <c r="F238" s="2289"/>
      <c r="G238" s="2291"/>
    </row>
    <row r="239" spans="2:7" ht="24" x14ac:dyDescent="0.2">
      <c r="B239" s="2281" t="s">
        <v>562</v>
      </c>
      <c r="C239" s="2293" t="s">
        <v>563</v>
      </c>
      <c r="D239" s="2284" t="s">
        <v>123</v>
      </c>
      <c r="E239" s="2285">
        <v>1</v>
      </c>
      <c r="F239" s="2286">
        <v>0</v>
      </c>
      <c r="G239" s="272">
        <f>E239*F239</f>
        <v>0</v>
      </c>
    </row>
    <row r="240" spans="2:7" x14ac:dyDescent="0.2">
      <c r="B240" s="2281"/>
      <c r="C240" s="2293"/>
      <c r="D240" s="2284"/>
      <c r="E240" s="2285"/>
      <c r="F240" s="2289"/>
      <c r="G240" s="2291"/>
    </row>
    <row r="241" spans="2:7" ht="24" x14ac:dyDescent="0.2">
      <c r="B241" s="2281" t="s">
        <v>564</v>
      </c>
      <c r="C241" s="2293" t="s">
        <v>565</v>
      </c>
      <c r="D241" s="2284" t="s">
        <v>149</v>
      </c>
      <c r="E241" s="2285">
        <v>1</v>
      </c>
      <c r="F241" s="2286">
        <v>0</v>
      </c>
      <c r="G241" s="272">
        <f>E241*F241</f>
        <v>0</v>
      </c>
    </row>
    <row r="242" spans="2:7" x14ac:dyDescent="0.2">
      <c r="B242" s="2281"/>
      <c r="C242" s="2293"/>
      <c r="D242" s="2284"/>
      <c r="E242" s="2285"/>
      <c r="F242" s="2289"/>
      <c r="G242" s="2291"/>
    </row>
    <row r="243" spans="2:7" ht="156" x14ac:dyDescent="0.2">
      <c r="B243" s="2281" t="s">
        <v>566</v>
      </c>
      <c r="C243" s="2315" t="s">
        <v>567</v>
      </c>
      <c r="D243" s="2284" t="s">
        <v>123</v>
      </c>
      <c r="E243" s="2285">
        <v>1</v>
      </c>
      <c r="F243" s="2286">
        <v>0</v>
      </c>
      <c r="G243" s="272">
        <f>E243*F243</f>
        <v>0</v>
      </c>
    </row>
    <row r="244" spans="2:7" x14ac:dyDescent="0.2">
      <c r="B244" s="2316"/>
      <c r="C244" s="2317"/>
      <c r="D244" s="2284"/>
      <c r="E244" s="2285"/>
      <c r="F244" s="2289"/>
      <c r="G244" s="2291"/>
    </row>
    <row r="245" spans="2:7" ht="24" x14ac:dyDescent="0.2">
      <c r="B245" s="2281" t="s">
        <v>568</v>
      </c>
      <c r="C245" s="2293" t="s">
        <v>569</v>
      </c>
      <c r="D245" s="2284" t="s">
        <v>123</v>
      </c>
      <c r="E245" s="2285">
        <v>9</v>
      </c>
      <c r="F245" s="2286">
        <v>0</v>
      </c>
      <c r="G245" s="272">
        <f>E245*F245</f>
        <v>0</v>
      </c>
    </row>
    <row r="246" spans="2:7" x14ac:dyDescent="0.2">
      <c r="B246" s="2281"/>
      <c r="C246" s="2293"/>
      <c r="D246" s="2284"/>
      <c r="E246" s="2285"/>
      <c r="F246" s="2289"/>
      <c r="G246" s="2291"/>
    </row>
    <row r="247" spans="2:7" ht="24" x14ac:dyDescent="0.2">
      <c r="B247" s="2281" t="s">
        <v>570</v>
      </c>
      <c r="C247" s="2293" t="s">
        <v>571</v>
      </c>
      <c r="D247" s="2284" t="s">
        <v>123</v>
      </c>
      <c r="E247" s="2285">
        <v>1</v>
      </c>
      <c r="F247" s="2286">
        <v>0</v>
      </c>
      <c r="G247" s="272">
        <f>E247*F247</f>
        <v>0</v>
      </c>
    </row>
    <row r="248" spans="2:7" x14ac:dyDescent="0.2">
      <c r="B248" s="2281"/>
      <c r="C248" s="2293"/>
      <c r="D248" s="2284"/>
      <c r="E248" s="2285"/>
      <c r="F248" s="2289"/>
      <c r="G248" s="2291"/>
    </row>
    <row r="249" spans="2:7" ht="24" x14ac:dyDescent="0.2">
      <c r="B249" s="2281" t="s">
        <v>572</v>
      </c>
      <c r="C249" s="2293" t="s">
        <v>573</v>
      </c>
      <c r="D249" s="2284" t="s">
        <v>123</v>
      </c>
      <c r="E249" s="2285">
        <v>4</v>
      </c>
      <c r="F249" s="2286">
        <v>0</v>
      </c>
      <c r="G249" s="272">
        <f>E249*F249</f>
        <v>0</v>
      </c>
    </row>
    <row r="250" spans="2:7" x14ac:dyDescent="0.2">
      <c r="B250" s="2281"/>
      <c r="C250" s="2293"/>
      <c r="D250" s="2284"/>
      <c r="E250" s="2285"/>
      <c r="F250" s="2289"/>
      <c r="G250" s="2291"/>
    </row>
    <row r="251" spans="2:7" ht="24" x14ac:dyDescent="0.2">
      <c r="B251" s="2281" t="s">
        <v>574</v>
      </c>
      <c r="C251" s="2293" t="s">
        <v>575</v>
      </c>
      <c r="D251" s="2284" t="s">
        <v>123</v>
      </c>
      <c r="E251" s="2285">
        <v>2</v>
      </c>
      <c r="F251" s="2286">
        <v>0</v>
      </c>
      <c r="G251" s="272">
        <f>E251*F251</f>
        <v>0</v>
      </c>
    </row>
    <row r="252" spans="2:7" x14ac:dyDescent="0.2">
      <c r="B252" s="2281"/>
      <c r="C252" s="2293"/>
      <c r="D252" s="2284"/>
      <c r="E252" s="2285"/>
      <c r="F252" s="2289"/>
      <c r="G252" s="2291"/>
    </row>
    <row r="253" spans="2:7" ht="24" x14ac:dyDescent="0.2">
      <c r="B253" s="2281" t="s">
        <v>576</v>
      </c>
      <c r="C253" s="2293" t="s">
        <v>577</v>
      </c>
      <c r="D253" s="2284" t="s">
        <v>123</v>
      </c>
      <c r="E253" s="2285">
        <v>2</v>
      </c>
      <c r="F253" s="2286">
        <v>0</v>
      </c>
      <c r="G253" s="272">
        <f>E253*F253</f>
        <v>0</v>
      </c>
    </row>
    <row r="254" spans="2:7" x14ac:dyDescent="0.2">
      <c r="B254" s="2281"/>
      <c r="C254" s="2293"/>
      <c r="D254" s="2284"/>
      <c r="E254" s="2285"/>
      <c r="F254" s="2289"/>
      <c r="G254" s="2291"/>
    </row>
    <row r="255" spans="2:7" ht="24" x14ac:dyDescent="0.2">
      <c r="B255" s="2281" t="s">
        <v>578</v>
      </c>
      <c r="C255" s="2293" t="s">
        <v>579</v>
      </c>
      <c r="D255" s="2284" t="s">
        <v>123</v>
      </c>
      <c r="E255" s="2285">
        <v>1</v>
      </c>
      <c r="F255" s="2286">
        <v>0</v>
      </c>
      <c r="G255" s="272">
        <f>E255*F255</f>
        <v>0</v>
      </c>
    </row>
    <row r="256" spans="2:7" x14ac:dyDescent="0.2">
      <c r="B256" s="2281"/>
      <c r="C256" s="2293"/>
      <c r="D256" s="2284"/>
      <c r="E256" s="2285"/>
      <c r="F256" s="2289"/>
      <c r="G256" s="2291"/>
    </row>
    <row r="257" spans="2:7" ht="24" x14ac:dyDescent="0.2">
      <c r="B257" s="2281" t="s">
        <v>580</v>
      </c>
      <c r="C257" s="2293" t="s">
        <v>581</v>
      </c>
      <c r="D257" s="2284" t="s">
        <v>123</v>
      </c>
      <c r="E257" s="2285">
        <v>2</v>
      </c>
      <c r="F257" s="2286">
        <v>0</v>
      </c>
      <c r="G257" s="272">
        <f>E257*F257</f>
        <v>0</v>
      </c>
    </row>
    <row r="258" spans="2:7" x14ac:dyDescent="0.2">
      <c r="B258" s="2281"/>
      <c r="C258" s="2293"/>
      <c r="D258" s="2284"/>
      <c r="E258" s="2285"/>
      <c r="F258" s="2289"/>
      <c r="G258" s="2291"/>
    </row>
    <row r="259" spans="2:7" ht="24" x14ac:dyDescent="0.2">
      <c r="B259" s="2281" t="s">
        <v>582</v>
      </c>
      <c r="C259" s="2293" t="s">
        <v>583</v>
      </c>
      <c r="D259" s="2284" t="s">
        <v>123</v>
      </c>
      <c r="E259" s="2285">
        <v>1</v>
      </c>
      <c r="F259" s="2286">
        <v>0</v>
      </c>
      <c r="G259" s="272">
        <f>E259*F259</f>
        <v>0</v>
      </c>
    </row>
    <row r="260" spans="2:7" x14ac:dyDescent="0.2">
      <c r="B260" s="2281"/>
      <c r="C260" s="2293"/>
      <c r="D260" s="2284"/>
      <c r="E260" s="2285"/>
      <c r="F260" s="2289"/>
      <c r="G260" s="2291"/>
    </row>
    <row r="261" spans="2:7" ht="24" x14ac:dyDescent="0.2">
      <c r="B261" s="2281" t="s">
        <v>584</v>
      </c>
      <c r="C261" s="2293" t="s">
        <v>585</v>
      </c>
      <c r="D261" s="2284" t="s">
        <v>123</v>
      </c>
      <c r="E261" s="2285">
        <v>1</v>
      </c>
      <c r="F261" s="2286">
        <v>0</v>
      </c>
      <c r="G261" s="272">
        <f>E261*F261</f>
        <v>0</v>
      </c>
    </row>
    <row r="262" spans="2:7" x14ac:dyDescent="0.2">
      <c r="B262" s="2281"/>
      <c r="C262" s="2293"/>
      <c r="D262" s="2284"/>
      <c r="E262" s="2285"/>
      <c r="F262" s="2289"/>
      <c r="G262" s="2291"/>
    </row>
    <row r="263" spans="2:7" ht="24" x14ac:dyDescent="0.2">
      <c r="B263" s="2281" t="s">
        <v>586</v>
      </c>
      <c r="C263" s="2293" t="s">
        <v>587</v>
      </c>
      <c r="D263" s="2284" t="s">
        <v>123</v>
      </c>
      <c r="E263" s="2285">
        <v>6</v>
      </c>
      <c r="F263" s="2286">
        <v>0</v>
      </c>
      <c r="G263" s="272">
        <f>E263*F263</f>
        <v>0</v>
      </c>
    </row>
    <row r="264" spans="2:7" x14ac:dyDescent="0.2">
      <c r="B264" s="2281"/>
      <c r="C264" s="2293"/>
      <c r="D264" s="2284"/>
      <c r="E264" s="2285"/>
      <c r="F264" s="2289"/>
      <c r="G264" s="2291"/>
    </row>
    <row r="265" spans="2:7" ht="24" x14ac:dyDescent="0.2">
      <c r="B265" s="2281" t="s">
        <v>588</v>
      </c>
      <c r="C265" s="2293" t="s">
        <v>589</v>
      </c>
      <c r="D265" s="2284" t="s">
        <v>123</v>
      </c>
      <c r="E265" s="2285">
        <v>4</v>
      </c>
      <c r="F265" s="2286">
        <v>0</v>
      </c>
      <c r="G265" s="272">
        <f>E265*F265</f>
        <v>0</v>
      </c>
    </row>
    <row r="266" spans="2:7" x14ac:dyDescent="0.2">
      <c r="B266" s="2281"/>
      <c r="C266" s="2293"/>
      <c r="D266" s="2284"/>
      <c r="E266" s="2285"/>
      <c r="F266" s="2289"/>
      <c r="G266" s="2291"/>
    </row>
    <row r="267" spans="2:7" ht="48" x14ac:dyDescent="0.2">
      <c r="B267" s="2281" t="s">
        <v>590</v>
      </c>
      <c r="C267" s="2293" t="s">
        <v>591</v>
      </c>
      <c r="D267" s="2284" t="s">
        <v>123</v>
      </c>
      <c r="E267" s="2285">
        <v>20</v>
      </c>
      <c r="F267" s="2286">
        <v>0</v>
      </c>
      <c r="G267" s="272">
        <f>E267*F267</f>
        <v>0</v>
      </c>
    </row>
    <row r="268" spans="2:7" x14ac:dyDescent="0.2">
      <c r="B268" s="2281"/>
      <c r="C268" s="2293"/>
      <c r="D268" s="2284"/>
      <c r="E268" s="2285"/>
      <c r="F268" s="2289"/>
      <c r="G268" s="2291"/>
    </row>
    <row r="269" spans="2:7" ht="36" x14ac:dyDescent="0.2">
      <c r="B269" s="2281" t="s">
        <v>592</v>
      </c>
      <c r="C269" s="2293" t="s">
        <v>593</v>
      </c>
      <c r="D269" s="2284" t="s">
        <v>123</v>
      </c>
      <c r="E269" s="2285">
        <v>8</v>
      </c>
      <c r="F269" s="2286">
        <v>0</v>
      </c>
      <c r="G269" s="272">
        <f>E269*F269</f>
        <v>0</v>
      </c>
    </row>
    <row r="270" spans="2:7" x14ac:dyDescent="0.2">
      <c r="B270" s="2281"/>
      <c r="C270" s="2293"/>
      <c r="D270" s="2284"/>
      <c r="E270" s="2285"/>
      <c r="F270" s="2289"/>
      <c r="G270" s="2291"/>
    </row>
    <row r="271" spans="2:7" ht="36" x14ac:dyDescent="0.2">
      <c r="B271" s="2281" t="s">
        <v>594</v>
      </c>
      <c r="C271" s="2293" t="s">
        <v>595</v>
      </c>
      <c r="D271" s="2284" t="s">
        <v>123</v>
      </c>
      <c r="E271" s="2285">
        <v>2</v>
      </c>
      <c r="F271" s="2286">
        <v>0</v>
      </c>
      <c r="G271" s="272">
        <f>E271*F271</f>
        <v>0</v>
      </c>
    </row>
    <row r="272" spans="2:7" x14ac:dyDescent="0.2">
      <c r="B272" s="2281"/>
      <c r="C272" s="2293"/>
      <c r="D272" s="2284"/>
      <c r="E272" s="2285"/>
      <c r="F272" s="2289"/>
      <c r="G272" s="2291"/>
    </row>
    <row r="273" spans="2:7" ht="24" x14ac:dyDescent="0.2">
      <c r="B273" s="2281" t="s">
        <v>596</v>
      </c>
      <c r="C273" s="2293" t="s">
        <v>597</v>
      </c>
      <c r="D273" s="2284" t="s">
        <v>123</v>
      </c>
      <c r="E273" s="2285">
        <v>6</v>
      </c>
      <c r="F273" s="2286">
        <v>0</v>
      </c>
      <c r="G273" s="272">
        <f>E273*F273</f>
        <v>0</v>
      </c>
    </row>
    <row r="274" spans="2:7" x14ac:dyDescent="0.2">
      <c r="B274" s="2281"/>
      <c r="C274" s="2293"/>
      <c r="D274" s="2284"/>
      <c r="E274" s="2285"/>
      <c r="F274" s="2289"/>
      <c r="G274" s="2291"/>
    </row>
    <row r="275" spans="2:7" ht="24" x14ac:dyDescent="0.2">
      <c r="B275" s="2281" t="s">
        <v>598</v>
      </c>
      <c r="C275" s="2293" t="s">
        <v>599</v>
      </c>
      <c r="D275" s="2284" t="s">
        <v>123</v>
      </c>
      <c r="E275" s="2285">
        <v>2</v>
      </c>
      <c r="F275" s="2286">
        <v>0</v>
      </c>
      <c r="G275" s="272">
        <f>E275*F275</f>
        <v>0</v>
      </c>
    </row>
    <row r="276" spans="2:7" x14ac:dyDescent="0.2">
      <c r="B276" s="2281"/>
      <c r="C276" s="2293"/>
      <c r="D276" s="2284"/>
      <c r="E276" s="2285"/>
      <c r="F276" s="2289"/>
      <c r="G276" s="2291"/>
    </row>
    <row r="277" spans="2:7" ht="24" x14ac:dyDescent="0.2">
      <c r="B277" s="2281" t="s">
        <v>600</v>
      </c>
      <c r="C277" s="2293" t="s">
        <v>601</v>
      </c>
      <c r="D277" s="2284" t="s">
        <v>123</v>
      </c>
      <c r="E277" s="2285">
        <v>2</v>
      </c>
      <c r="F277" s="2286">
        <v>0</v>
      </c>
      <c r="G277" s="272">
        <f>E277*F277</f>
        <v>0</v>
      </c>
    </row>
    <row r="278" spans="2:7" x14ac:dyDescent="0.2">
      <c r="B278" s="2281"/>
      <c r="C278" s="2293"/>
      <c r="D278" s="2284"/>
      <c r="E278" s="2285"/>
      <c r="F278" s="2289"/>
      <c r="G278" s="2291"/>
    </row>
    <row r="279" spans="2:7" x14ac:dyDescent="0.2">
      <c r="B279" s="2281"/>
      <c r="C279" s="2293"/>
      <c r="D279" s="2284"/>
      <c r="E279" s="2285"/>
      <c r="F279" s="2289"/>
      <c r="G279" s="2291"/>
    </row>
    <row r="280" spans="2:7" ht="36" x14ac:dyDescent="0.2">
      <c r="B280" s="2281" t="s">
        <v>602</v>
      </c>
      <c r="C280" s="2310" t="s">
        <v>603</v>
      </c>
      <c r="D280" s="2284" t="s">
        <v>553</v>
      </c>
      <c r="E280" s="2285">
        <v>1</v>
      </c>
      <c r="F280" s="2286">
        <v>0</v>
      </c>
      <c r="G280" s="272">
        <f>E280*F280</f>
        <v>0</v>
      </c>
    </row>
    <row r="281" spans="2:7" x14ac:dyDescent="0.2">
      <c r="B281" s="2281"/>
      <c r="C281" s="2310"/>
      <c r="D281" s="2284"/>
      <c r="E281" s="2285"/>
      <c r="F281" s="2289"/>
      <c r="G281" s="2291"/>
    </row>
    <row r="282" spans="2:7" ht="24" x14ac:dyDescent="0.2">
      <c r="B282" s="2281" t="s">
        <v>604</v>
      </c>
      <c r="C282" s="2310" t="s">
        <v>605</v>
      </c>
      <c r="D282" s="2284" t="s">
        <v>553</v>
      </c>
      <c r="E282" s="2285">
        <v>1</v>
      </c>
      <c r="F282" s="2286">
        <v>0</v>
      </c>
      <c r="G282" s="272">
        <f>E282*F282</f>
        <v>0</v>
      </c>
    </row>
    <row r="283" spans="2:7" x14ac:dyDescent="0.2">
      <c r="B283" s="2281"/>
      <c r="C283" s="2310"/>
      <c r="D283" s="2284"/>
      <c r="E283" s="2285"/>
      <c r="F283" s="2289"/>
      <c r="G283" s="2291"/>
    </row>
    <row r="284" spans="2:7" ht="84" x14ac:dyDescent="0.2">
      <c r="B284" s="2281" t="s">
        <v>606</v>
      </c>
      <c r="C284" s="2314" t="s">
        <v>607</v>
      </c>
      <c r="D284" s="2284" t="s">
        <v>123</v>
      </c>
      <c r="E284" s="2285">
        <v>2</v>
      </c>
      <c r="F284" s="2286">
        <v>0</v>
      </c>
      <c r="G284" s="272">
        <f>E284*F284</f>
        <v>0</v>
      </c>
    </row>
    <row r="285" spans="2:7" x14ac:dyDescent="0.2">
      <c r="B285" s="2281"/>
      <c r="C285" s="2293"/>
      <c r="D285" s="2284"/>
      <c r="E285" s="2285"/>
      <c r="F285" s="2289"/>
      <c r="G285" s="2291"/>
    </row>
    <row r="286" spans="2:7" ht="84" x14ac:dyDescent="0.2">
      <c r="B286" s="2281" t="s">
        <v>608</v>
      </c>
      <c r="C286" s="2314" t="s">
        <v>609</v>
      </c>
      <c r="D286" s="2284" t="s">
        <v>123</v>
      </c>
      <c r="E286" s="2285">
        <v>1</v>
      </c>
      <c r="F286" s="2286">
        <v>0</v>
      </c>
      <c r="G286" s="272">
        <f>E286*F286</f>
        <v>0</v>
      </c>
    </row>
    <row r="287" spans="2:7" x14ac:dyDescent="0.2">
      <c r="B287" s="2281"/>
      <c r="C287" s="2293"/>
      <c r="D287" s="2284"/>
      <c r="E287" s="2285"/>
      <c r="F287" s="2289"/>
      <c r="G287" s="2291"/>
    </row>
    <row r="288" spans="2:7" ht="36" x14ac:dyDescent="0.2">
      <c r="B288" s="2281" t="s">
        <v>610</v>
      </c>
      <c r="C288" s="2293" t="s">
        <v>611</v>
      </c>
      <c r="D288" s="2284" t="s">
        <v>123</v>
      </c>
      <c r="E288" s="2285">
        <v>3</v>
      </c>
      <c r="F288" s="2286">
        <v>0</v>
      </c>
      <c r="G288" s="272">
        <f>E288*F288</f>
        <v>0</v>
      </c>
    </row>
    <row r="289" spans="1:10" x14ac:dyDescent="0.2">
      <c r="B289" s="2281"/>
      <c r="C289" s="2293"/>
      <c r="D289" s="2284"/>
      <c r="E289" s="2285"/>
      <c r="F289" s="2289"/>
      <c r="G289" s="2291"/>
    </row>
    <row r="290" spans="1:10" ht="36" x14ac:dyDescent="0.2">
      <c r="B290" s="2281" t="s">
        <v>612</v>
      </c>
      <c r="C290" s="2293" t="s">
        <v>613</v>
      </c>
      <c r="D290" s="2284" t="s">
        <v>123</v>
      </c>
      <c r="E290" s="2285">
        <v>4</v>
      </c>
      <c r="F290" s="2286">
        <v>0</v>
      </c>
      <c r="G290" s="272">
        <f>E290*F290</f>
        <v>0</v>
      </c>
    </row>
    <row r="291" spans="1:10" x14ac:dyDescent="0.2">
      <c r="B291" s="2281"/>
      <c r="C291" s="2293"/>
      <c r="D291" s="2284"/>
      <c r="E291" s="2285"/>
      <c r="F291" s="2289"/>
      <c r="G291" s="2291"/>
    </row>
    <row r="292" spans="1:10" ht="36" x14ac:dyDescent="0.2">
      <c r="B292" s="2281" t="s">
        <v>614</v>
      </c>
      <c r="C292" s="2293" t="s">
        <v>615</v>
      </c>
      <c r="D292" s="2284" t="s">
        <v>123</v>
      </c>
      <c r="E292" s="2285">
        <v>150</v>
      </c>
      <c r="F292" s="2286">
        <v>0</v>
      </c>
      <c r="G292" s="272">
        <f>E292*F292</f>
        <v>0</v>
      </c>
    </row>
    <row r="293" spans="1:10" x14ac:dyDescent="0.2">
      <c r="B293" s="2281"/>
      <c r="C293" s="2293"/>
      <c r="D293" s="2284"/>
      <c r="E293" s="2285"/>
      <c r="F293" s="2289"/>
      <c r="G293" s="2291"/>
    </row>
    <row r="294" spans="1:10" ht="48" x14ac:dyDescent="0.2">
      <c r="B294" s="2281" t="s">
        <v>616</v>
      </c>
      <c r="C294" s="2293" t="s">
        <v>617</v>
      </c>
      <c r="D294" s="2284" t="s">
        <v>560</v>
      </c>
      <c r="E294" s="2285">
        <v>1</v>
      </c>
      <c r="F294" s="2286">
        <v>0</v>
      </c>
      <c r="G294" s="272">
        <f>E294*F294</f>
        <v>0</v>
      </c>
    </row>
    <row r="295" spans="1:10" x14ac:dyDescent="0.2">
      <c r="B295" s="2318"/>
      <c r="C295" s="2282"/>
      <c r="D295" s="2277"/>
      <c r="E295" s="2278"/>
      <c r="F295" s="2279"/>
      <c r="G295" s="2280"/>
    </row>
    <row r="296" spans="1:10" ht="108" x14ac:dyDescent="0.2">
      <c r="B296" s="2281" t="s">
        <v>618</v>
      </c>
      <c r="C296" s="2319" t="s">
        <v>619</v>
      </c>
      <c r="D296" s="2277" t="s">
        <v>123</v>
      </c>
      <c r="E296" s="2278">
        <v>1</v>
      </c>
      <c r="F296" s="2286">
        <v>0</v>
      </c>
      <c r="G296" s="272">
        <f>E296*F296</f>
        <v>0</v>
      </c>
    </row>
    <row r="297" spans="1:10" s="122" customFormat="1" x14ac:dyDescent="0.2">
      <c r="A297" s="121"/>
      <c r="B297" s="2281"/>
      <c r="C297" s="2319"/>
      <c r="D297" s="2277"/>
      <c r="E297" s="2278"/>
      <c r="F297" s="2289"/>
      <c r="G297" s="272"/>
      <c r="H297" s="121"/>
      <c r="I297" s="121"/>
      <c r="J297" s="121"/>
    </row>
    <row r="298" spans="1:10" s="356" customFormat="1" ht="84" x14ac:dyDescent="0.2">
      <c r="A298" s="121"/>
      <c r="B298" s="2281"/>
      <c r="C298" s="2319" t="s">
        <v>620</v>
      </c>
      <c r="D298" s="2277" t="s">
        <v>123</v>
      </c>
      <c r="E298" s="2278">
        <v>1</v>
      </c>
      <c r="F298" s="2286">
        <v>0</v>
      </c>
      <c r="G298" s="272">
        <f>E298*F298</f>
        <v>0</v>
      </c>
      <c r="H298" s="121"/>
      <c r="I298" s="121"/>
      <c r="J298" s="121"/>
    </row>
    <row r="299" spans="1:10" s="356" customFormat="1" x14ac:dyDescent="0.2">
      <c r="A299" s="121"/>
      <c r="B299" s="2281"/>
      <c r="C299" s="2319"/>
      <c r="D299" s="2277"/>
      <c r="E299" s="2278"/>
      <c r="F299" s="2289"/>
      <c r="G299" s="272"/>
      <c r="H299" s="121"/>
      <c r="I299" s="121"/>
      <c r="J299" s="121"/>
    </row>
    <row r="300" spans="1:10" s="356" customFormat="1" x14ac:dyDescent="0.2">
      <c r="A300" s="121"/>
      <c r="B300" s="2281"/>
      <c r="C300" s="2319" t="s">
        <v>621</v>
      </c>
      <c r="D300" s="2277" t="s">
        <v>123</v>
      </c>
      <c r="E300" s="2278">
        <v>2</v>
      </c>
      <c r="F300" s="2286">
        <v>0</v>
      </c>
      <c r="G300" s="272">
        <f>E300*F300</f>
        <v>0</v>
      </c>
      <c r="H300" s="121"/>
      <c r="I300" s="121"/>
      <c r="J300" s="121"/>
    </row>
    <row r="301" spans="1:10" x14ac:dyDescent="0.2">
      <c r="B301" s="2152"/>
      <c r="C301" s="2270"/>
      <c r="D301" s="2271"/>
      <c r="E301" s="2272"/>
      <c r="F301" s="2273"/>
      <c r="G301" s="2154"/>
    </row>
    <row r="302" spans="1:10" x14ac:dyDescent="0.2">
      <c r="B302" s="2275" t="s">
        <v>622</v>
      </c>
      <c r="C302" s="2276" t="s">
        <v>623</v>
      </c>
      <c r="D302" s="2277"/>
      <c r="E302" s="2278"/>
      <c r="F302" s="2279"/>
      <c r="G302" s="2280"/>
    </row>
    <row r="303" spans="1:10" x14ac:dyDescent="0.2">
      <c r="B303" s="2281"/>
      <c r="C303" s="2282"/>
      <c r="D303" s="2277"/>
      <c r="E303" s="2278"/>
      <c r="F303" s="2279"/>
      <c r="G303" s="2280"/>
    </row>
    <row r="304" spans="1:10" ht="387.75" customHeight="1" x14ac:dyDescent="0.2">
      <c r="B304" s="2743"/>
      <c r="C304" s="2744"/>
      <c r="D304" s="2745"/>
      <c r="E304" s="2746"/>
      <c r="F304" s="2747"/>
      <c r="G304" s="2736"/>
      <c r="H304" s="122"/>
    </row>
    <row r="305" spans="1:10" ht="24.75" customHeight="1" x14ac:dyDescent="0.2">
      <c r="B305" s="2743"/>
      <c r="C305" s="2744" t="s">
        <v>2465</v>
      </c>
      <c r="D305" s="2748" t="s">
        <v>98</v>
      </c>
      <c r="E305" s="2746">
        <v>1</v>
      </c>
      <c r="F305" s="2747">
        <v>0</v>
      </c>
      <c r="G305" s="2736">
        <f t="shared" ref="G305" si="11">E305*F305</f>
        <v>0</v>
      </c>
      <c r="H305" s="122"/>
    </row>
    <row r="306" spans="1:10" ht="102.75" customHeight="1" x14ac:dyDescent="0.2">
      <c r="B306" s="2281" t="s">
        <v>15</v>
      </c>
      <c r="C306" s="2307" t="s">
        <v>624</v>
      </c>
      <c r="D306" s="2284" t="s">
        <v>123</v>
      </c>
      <c r="E306" s="2285">
        <v>2</v>
      </c>
      <c r="F306" s="2286">
        <v>0</v>
      </c>
      <c r="G306" s="272">
        <f>E306*F306</f>
        <v>0</v>
      </c>
    </row>
    <row r="307" spans="1:10" s="122" customFormat="1" x14ac:dyDescent="0.2">
      <c r="A307" s="121"/>
      <c r="B307" s="2281"/>
      <c r="C307" s="2287"/>
      <c r="D307" s="2277"/>
      <c r="E307" s="2278"/>
      <c r="F307" s="2279"/>
      <c r="G307" s="234"/>
      <c r="H307" s="121"/>
      <c r="I307" s="121"/>
      <c r="J307" s="121"/>
    </row>
    <row r="308" spans="1:10" s="356" customFormat="1" ht="48" x14ac:dyDescent="0.2">
      <c r="A308" s="121"/>
      <c r="B308" s="2281"/>
      <c r="C308" s="2287" t="s">
        <v>625</v>
      </c>
      <c r="D308" s="2277" t="s">
        <v>123</v>
      </c>
      <c r="E308" s="2278">
        <v>2</v>
      </c>
      <c r="F308" s="2286">
        <v>0</v>
      </c>
      <c r="G308" s="272">
        <f>E308*F308</f>
        <v>0</v>
      </c>
      <c r="H308" s="121"/>
      <c r="I308" s="121"/>
      <c r="J308" s="121"/>
    </row>
    <row r="309" spans="1:10" x14ac:dyDescent="0.2">
      <c r="B309" s="2281"/>
      <c r="C309" s="2287"/>
      <c r="D309" s="2277"/>
      <c r="E309" s="2278"/>
      <c r="F309" s="2279"/>
      <c r="G309" s="234"/>
    </row>
    <row r="310" spans="1:10" ht="60" x14ac:dyDescent="0.2">
      <c r="B310" s="2281" t="s">
        <v>20</v>
      </c>
      <c r="C310" s="2307" t="s">
        <v>626</v>
      </c>
      <c r="D310" s="2284" t="s">
        <v>123</v>
      </c>
      <c r="E310" s="2285">
        <v>1</v>
      </c>
      <c r="F310" s="2286">
        <v>0</v>
      </c>
      <c r="G310" s="272">
        <f>E310*F310</f>
        <v>0</v>
      </c>
    </row>
    <row r="311" spans="1:10" x14ac:dyDescent="0.2">
      <c r="B311" s="2281"/>
      <c r="C311" s="2308"/>
      <c r="D311" s="2284"/>
      <c r="E311" s="2285"/>
      <c r="F311" s="2289"/>
      <c r="G311" s="234"/>
    </row>
    <row r="312" spans="1:10" ht="252" x14ac:dyDescent="0.2">
      <c r="B312" s="2281" t="s">
        <v>24</v>
      </c>
      <c r="C312" s="2309" t="s">
        <v>627</v>
      </c>
      <c r="D312" s="2284" t="s">
        <v>553</v>
      </c>
      <c r="E312" s="2285">
        <v>1</v>
      </c>
      <c r="F312" s="2286">
        <v>0</v>
      </c>
      <c r="G312" s="272">
        <f>E312*F312</f>
        <v>0</v>
      </c>
    </row>
    <row r="313" spans="1:10" x14ac:dyDescent="0.2">
      <c r="B313" s="2281"/>
      <c r="C313" s="2310"/>
      <c r="D313" s="2284"/>
      <c r="E313" s="2285"/>
      <c r="F313" s="2289"/>
      <c r="G313" s="2291"/>
    </row>
    <row r="314" spans="1:10" x14ac:dyDescent="0.2">
      <c r="B314" s="2281"/>
      <c r="C314" s="2311" t="s">
        <v>628</v>
      </c>
      <c r="D314" s="2277"/>
      <c r="E314" s="2278"/>
      <c r="F314" s="2279"/>
      <c r="G314" s="2280"/>
    </row>
    <row r="315" spans="1:10" x14ac:dyDescent="0.2">
      <c r="B315" s="2281"/>
      <c r="C315" s="2312"/>
      <c r="D315" s="2277"/>
      <c r="E315" s="2278"/>
      <c r="F315" s="2279"/>
      <c r="G315" s="2280"/>
    </row>
    <row r="316" spans="1:10" ht="213" customHeight="1" x14ac:dyDescent="0.2">
      <c r="B316" s="2281" t="s">
        <v>29</v>
      </c>
      <c r="C316" s="2313" t="s">
        <v>629</v>
      </c>
      <c r="D316" s="2300" t="s">
        <v>123</v>
      </c>
      <c r="E316" s="2301">
        <v>1</v>
      </c>
      <c r="F316" s="2286">
        <v>0</v>
      </c>
      <c r="G316" s="272">
        <f>E316*F316</f>
        <v>0</v>
      </c>
    </row>
    <row r="317" spans="1:10" s="122" customFormat="1" x14ac:dyDescent="0.2">
      <c r="A317" s="121"/>
      <c r="B317" s="2281"/>
      <c r="C317" s="2287"/>
      <c r="D317" s="2277"/>
      <c r="E317" s="2278"/>
      <c r="F317" s="2279"/>
      <c r="G317" s="2280"/>
      <c r="H317" s="121"/>
      <c r="I317" s="121"/>
      <c r="J317" s="121"/>
    </row>
    <row r="318" spans="1:10" s="356" customFormat="1" ht="288" x14ac:dyDescent="0.2">
      <c r="A318" s="121"/>
      <c r="B318" s="2281"/>
      <c r="C318" s="2287" t="s">
        <v>630</v>
      </c>
      <c r="D318" s="2277" t="s">
        <v>98</v>
      </c>
      <c r="E318" s="2278">
        <v>2</v>
      </c>
      <c r="F318" s="2286">
        <v>0</v>
      </c>
      <c r="G318" s="272">
        <f>E318*F318</f>
        <v>0</v>
      </c>
      <c r="H318" s="121"/>
      <c r="I318" s="121"/>
      <c r="J318" s="121"/>
    </row>
    <row r="319" spans="1:10" x14ac:dyDescent="0.2">
      <c r="B319" s="2281"/>
      <c r="C319" s="2312"/>
      <c r="D319" s="2284"/>
      <c r="E319" s="2285"/>
      <c r="F319" s="2289"/>
      <c r="G319" s="234"/>
    </row>
    <row r="320" spans="1:10" ht="72" x14ac:dyDescent="0.2">
      <c r="B320" s="2281" t="s">
        <v>33</v>
      </c>
      <c r="C320" s="2313" t="s">
        <v>631</v>
      </c>
      <c r="D320" s="2284" t="s">
        <v>123</v>
      </c>
      <c r="E320" s="2285">
        <v>1</v>
      </c>
      <c r="F320" s="2286">
        <v>0</v>
      </c>
      <c r="G320" s="272">
        <f>E320*F320</f>
        <v>0</v>
      </c>
    </row>
    <row r="321" spans="1:10" x14ac:dyDescent="0.2">
      <c r="B321" s="2281"/>
      <c r="C321" s="2287"/>
      <c r="D321" s="2277"/>
      <c r="E321" s="2278"/>
      <c r="F321" s="2279"/>
      <c r="G321" s="2280"/>
    </row>
    <row r="322" spans="1:10" x14ac:dyDescent="0.2">
      <c r="B322" s="2281" t="s">
        <v>38</v>
      </c>
      <c r="C322" s="2290" t="s">
        <v>632</v>
      </c>
      <c r="D322" s="2284" t="s">
        <v>553</v>
      </c>
      <c r="E322" s="2285">
        <v>1</v>
      </c>
      <c r="F322" s="2286">
        <v>0</v>
      </c>
      <c r="G322" s="272">
        <f>E322*F322</f>
        <v>0</v>
      </c>
    </row>
    <row r="323" spans="1:10" x14ac:dyDescent="0.2">
      <c r="B323" s="2152"/>
      <c r="C323" s="2270"/>
      <c r="D323" s="2271"/>
      <c r="E323" s="2272"/>
      <c r="F323" s="2273"/>
      <c r="G323" s="2154"/>
    </row>
    <row r="324" spans="1:10" x14ac:dyDescent="0.2">
      <c r="B324" s="2275" t="s">
        <v>633</v>
      </c>
      <c r="C324" s="2276" t="s">
        <v>634</v>
      </c>
      <c r="D324" s="2277"/>
      <c r="E324" s="2278"/>
      <c r="F324" s="2279"/>
      <c r="G324" s="2280"/>
    </row>
    <row r="325" spans="1:10" x14ac:dyDescent="0.2">
      <c r="B325" s="2281"/>
      <c r="C325" s="2282"/>
      <c r="D325" s="2277"/>
      <c r="E325" s="2278"/>
      <c r="F325" s="2279"/>
      <c r="G325" s="2280"/>
    </row>
    <row r="326" spans="1:10" ht="48" x14ac:dyDescent="0.2">
      <c r="B326" s="2281" t="s">
        <v>8</v>
      </c>
      <c r="C326" s="2283" t="s">
        <v>635</v>
      </c>
      <c r="D326" s="2284" t="s">
        <v>123</v>
      </c>
      <c r="E326" s="2285">
        <v>2</v>
      </c>
      <c r="F326" s="2286">
        <v>0</v>
      </c>
      <c r="G326" s="272">
        <f>E326*F326</f>
        <v>0</v>
      </c>
    </row>
    <row r="327" spans="1:10" x14ac:dyDescent="0.2">
      <c r="B327" s="2281"/>
      <c r="C327" s="2287"/>
      <c r="D327" s="2277"/>
      <c r="E327" s="2278"/>
      <c r="F327" s="2279"/>
      <c r="G327" s="234"/>
    </row>
    <row r="328" spans="1:10" x14ac:dyDescent="0.2">
      <c r="B328" s="2281"/>
      <c r="C328" s="2287"/>
      <c r="D328" s="2277"/>
      <c r="E328" s="2278"/>
      <c r="F328" s="2279"/>
      <c r="G328" s="234"/>
    </row>
    <row r="329" spans="1:10" ht="60" x14ac:dyDescent="0.2">
      <c r="B329" s="2281" t="s">
        <v>20</v>
      </c>
      <c r="C329" s="2288" t="s">
        <v>636</v>
      </c>
      <c r="D329" s="2284" t="s">
        <v>123</v>
      </c>
      <c r="E329" s="2285">
        <v>2</v>
      </c>
      <c r="F329" s="2286">
        <v>0</v>
      </c>
      <c r="G329" s="272">
        <f>E329*F329</f>
        <v>0</v>
      </c>
    </row>
    <row r="330" spans="1:10" x14ac:dyDescent="0.2">
      <c r="B330" s="2281"/>
      <c r="C330" s="2287"/>
      <c r="D330" s="2277"/>
      <c r="E330" s="2278"/>
      <c r="F330" s="2279"/>
      <c r="G330" s="234"/>
    </row>
    <row r="331" spans="1:10" ht="24" x14ac:dyDescent="0.2">
      <c r="B331" s="2281" t="s">
        <v>24</v>
      </c>
      <c r="C331" s="2287" t="s">
        <v>637</v>
      </c>
      <c r="D331" s="2284" t="s">
        <v>123</v>
      </c>
      <c r="E331" s="2285">
        <v>1</v>
      </c>
      <c r="F331" s="2286">
        <v>0</v>
      </c>
      <c r="G331" s="272">
        <f>E331*F331</f>
        <v>0</v>
      </c>
    </row>
    <row r="332" spans="1:10" x14ac:dyDescent="0.2">
      <c r="B332" s="2281"/>
      <c r="C332" s="2287"/>
      <c r="D332" s="2284"/>
      <c r="E332" s="2285"/>
      <c r="F332" s="2289"/>
      <c r="G332" s="234"/>
    </row>
    <row r="333" spans="1:10" ht="24" x14ac:dyDescent="0.2">
      <c r="B333" s="2281" t="s">
        <v>29</v>
      </c>
      <c r="C333" s="2287" t="s">
        <v>638</v>
      </c>
      <c r="D333" s="2284" t="s">
        <v>123</v>
      </c>
      <c r="E333" s="2285">
        <v>1</v>
      </c>
      <c r="F333" s="2286">
        <v>0</v>
      </c>
      <c r="G333" s="272">
        <f>E333*F333</f>
        <v>0</v>
      </c>
    </row>
    <row r="334" spans="1:10" x14ac:dyDescent="0.2">
      <c r="B334" s="2281"/>
      <c r="C334" s="2287"/>
      <c r="D334" s="2277"/>
      <c r="E334" s="2278"/>
      <c r="F334" s="2279"/>
      <c r="G334" s="234"/>
    </row>
    <row r="335" spans="1:10" ht="24" x14ac:dyDescent="0.2">
      <c r="B335" s="2281" t="s">
        <v>33</v>
      </c>
      <c r="C335" s="2287" t="s">
        <v>639</v>
      </c>
      <c r="D335" s="2284" t="s">
        <v>123</v>
      </c>
      <c r="E335" s="2285">
        <v>1</v>
      </c>
      <c r="F335" s="2286">
        <v>0</v>
      </c>
      <c r="G335" s="272">
        <f>E335*F335</f>
        <v>0</v>
      </c>
    </row>
    <row r="336" spans="1:10" s="356" customFormat="1" x14ac:dyDescent="0.2">
      <c r="A336" s="121"/>
      <c r="B336" s="2281"/>
      <c r="C336" s="2287"/>
      <c r="D336" s="2284"/>
      <c r="E336" s="2285"/>
      <c r="F336" s="2289"/>
      <c r="G336" s="234"/>
      <c r="H336" s="121"/>
      <c r="I336" s="121"/>
      <c r="J336" s="121"/>
    </row>
    <row r="337" spans="1:10" s="356" customFormat="1" ht="36" x14ac:dyDescent="0.2">
      <c r="A337" s="121"/>
      <c r="B337" s="2281"/>
      <c r="C337" s="2287" t="s">
        <v>640</v>
      </c>
      <c r="D337" s="2284" t="s">
        <v>123</v>
      </c>
      <c r="E337" s="2285">
        <v>1</v>
      </c>
      <c r="F337" s="2286">
        <v>0</v>
      </c>
      <c r="G337" s="272">
        <f>E337*F337</f>
        <v>0</v>
      </c>
      <c r="H337" s="121"/>
      <c r="I337" s="121"/>
      <c r="J337" s="121"/>
    </row>
    <row r="338" spans="1:10" x14ac:dyDescent="0.2">
      <c r="B338" s="2281"/>
      <c r="C338" s="2287"/>
      <c r="D338" s="2284"/>
      <c r="E338" s="2285"/>
      <c r="F338" s="2289"/>
      <c r="G338" s="234"/>
    </row>
    <row r="339" spans="1:10" x14ac:dyDescent="0.2">
      <c r="B339" s="2281" t="s">
        <v>38</v>
      </c>
      <c r="C339" s="2290" t="s">
        <v>632</v>
      </c>
      <c r="D339" s="2284" t="s">
        <v>553</v>
      </c>
      <c r="E339" s="2285">
        <v>1</v>
      </c>
      <c r="F339" s="2286">
        <v>0</v>
      </c>
      <c r="G339" s="272">
        <f>E339*F339</f>
        <v>0</v>
      </c>
    </row>
    <row r="340" spans="1:10" x14ac:dyDescent="0.2">
      <c r="B340" s="2261"/>
      <c r="C340" s="98"/>
      <c r="D340" s="2266"/>
      <c r="E340" s="2267"/>
      <c r="F340" s="2268"/>
      <c r="G340" s="2269"/>
    </row>
    <row r="341" spans="1:10" x14ac:dyDescent="0.2">
      <c r="B341" s="2261"/>
      <c r="C341" s="98"/>
      <c r="D341" s="2266"/>
      <c r="E341" s="2267"/>
      <c r="F341" s="2268"/>
      <c r="G341" s="2269"/>
    </row>
    <row r="342" spans="1:10" x14ac:dyDescent="0.2">
      <c r="B342" s="2275" t="s">
        <v>641</v>
      </c>
      <c r="C342" s="2276" t="s">
        <v>642</v>
      </c>
      <c r="D342" s="2277"/>
      <c r="E342" s="2278"/>
      <c r="F342" s="2279"/>
      <c r="G342" s="2280"/>
      <c r="H342" s="2292"/>
    </row>
    <row r="343" spans="1:10" x14ac:dyDescent="0.2">
      <c r="B343" s="2281"/>
      <c r="C343" s="2282"/>
      <c r="D343" s="2277"/>
      <c r="E343" s="2278"/>
      <c r="F343" s="2279"/>
      <c r="G343" s="2280"/>
      <c r="H343" s="2292"/>
    </row>
    <row r="344" spans="1:10" x14ac:dyDescent="0.2">
      <c r="B344" s="2281" t="s">
        <v>8</v>
      </c>
      <c r="C344" s="2290" t="s">
        <v>643</v>
      </c>
      <c r="D344" s="2284" t="s">
        <v>644</v>
      </c>
      <c r="E344" s="2285">
        <v>30</v>
      </c>
      <c r="F344" s="2286">
        <v>0</v>
      </c>
      <c r="G344" s="272">
        <f>E344*F344</f>
        <v>0</v>
      </c>
      <c r="H344" s="2292"/>
    </row>
    <row r="345" spans="1:10" x14ac:dyDescent="0.2">
      <c r="B345" s="2281"/>
      <c r="C345" s="2290"/>
      <c r="D345" s="2284"/>
      <c r="E345" s="2285"/>
      <c r="F345" s="2289"/>
      <c r="G345" s="2291"/>
      <c r="H345" s="2292"/>
    </row>
    <row r="346" spans="1:10" x14ac:dyDescent="0.2">
      <c r="B346" s="2281" t="s">
        <v>15</v>
      </c>
      <c r="C346" s="2290" t="s">
        <v>645</v>
      </c>
      <c r="D346" s="2284" t="s">
        <v>644</v>
      </c>
      <c r="E346" s="2285">
        <v>50</v>
      </c>
      <c r="F346" s="2286">
        <v>0</v>
      </c>
      <c r="G346" s="272">
        <f>E346*F346</f>
        <v>0</v>
      </c>
      <c r="H346" s="2292"/>
    </row>
    <row r="347" spans="1:10" x14ac:dyDescent="0.2">
      <c r="B347" s="2281"/>
      <c r="C347" s="2290"/>
      <c r="D347" s="2284"/>
      <c r="E347" s="2285"/>
      <c r="F347" s="2289"/>
      <c r="G347" s="2291"/>
      <c r="H347" s="2292"/>
    </row>
    <row r="348" spans="1:10" x14ac:dyDescent="0.2">
      <c r="B348" s="2281" t="s">
        <v>20</v>
      </c>
      <c r="C348" s="2290" t="s">
        <v>646</v>
      </c>
      <c r="D348" s="2284" t="s">
        <v>644</v>
      </c>
      <c r="E348" s="2285">
        <v>160</v>
      </c>
      <c r="F348" s="2286">
        <v>0</v>
      </c>
      <c r="G348" s="272">
        <f>E348*F348</f>
        <v>0</v>
      </c>
      <c r="H348" s="2292"/>
    </row>
    <row r="349" spans="1:10" x14ac:dyDescent="0.2">
      <c r="B349" s="2281"/>
      <c r="C349" s="2290"/>
      <c r="D349" s="2284"/>
      <c r="E349" s="2285"/>
      <c r="F349" s="2289"/>
      <c r="G349" s="2291"/>
      <c r="H349" s="2292"/>
    </row>
    <row r="350" spans="1:10" x14ac:dyDescent="0.2">
      <c r="B350" s="2281" t="s">
        <v>24</v>
      </c>
      <c r="C350" s="2290" t="s">
        <v>647</v>
      </c>
      <c r="D350" s="2284" t="s">
        <v>644</v>
      </c>
      <c r="E350" s="2285">
        <v>150</v>
      </c>
      <c r="F350" s="2286">
        <v>0</v>
      </c>
      <c r="G350" s="272">
        <f>E350*F350</f>
        <v>0</v>
      </c>
      <c r="H350" s="2292"/>
    </row>
    <row r="351" spans="1:10" x14ac:dyDescent="0.2">
      <c r="B351" s="2281"/>
      <c r="C351" s="2290"/>
      <c r="D351" s="2284"/>
      <c r="E351" s="2285"/>
      <c r="F351" s="2289"/>
      <c r="G351" s="2291"/>
      <c r="H351" s="2292"/>
    </row>
    <row r="352" spans="1:10" x14ac:dyDescent="0.2">
      <c r="B352" s="2281" t="s">
        <v>29</v>
      </c>
      <c r="C352" s="2290" t="s">
        <v>648</v>
      </c>
      <c r="D352" s="2284" t="s">
        <v>644</v>
      </c>
      <c r="E352" s="2285">
        <v>50</v>
      </c>
      <c r="F352" s="2286">
        <v>0</v>
      </c>
      <c r="G352" s="272">
        <f>E352*F352</f>
        <v>0</v>
      </c>
      <c r="H352" s="2292"/>
    </row>
    <row r="353" spans="2:8" x14ac:dyDescent="0.2">
      <c r="B353" s="2281"/>
      <c r="C353" s="2290"/>
      <c r="D353" s="2284"/>
      <c r="E353" s="2285"/>
      <c r="F353" s="2289"/>
      <c r="G353" s="2291"/>
      <c r="H353" s="2292"/>
    </row>
    <row r="354" spans="2:8" x14ac:dyDescent="0.2">
      <c r="B354" s="2281" t="s">
        <v>33</v>
      </c>
      <c r="C354" s="2290" t="s">
        <v>649</v>
      </c>
      <c r="D354" s="2284" t="s">
        <v>644</v>
      </c>
      <c r="E354" s="2285">
        <v>4</v>
      </c>
      <c r="F354" s="2286">
        <v>0</v>
      </c>
      <c r="G354" s="272">
        <f>E354*F354</f>
        <v>0</v>
      </c>
      <c r="H354" s="2292"/>
    </row>
    <row r="355" spans="2:8" x14ac:dyDescent="0.2">
      <c r="B355" s="2281"/>
      <c r="C355" s="2290"/>
      <c r="D355" s="2284"/>
      <c r="E355" s="2285"/>
      <c r="F355" s="2289"/>
      <c r="G355" s="2291"/>
      <c r="H355" s="2292"/>
    </row>
    <row r="356" spans="2:8" x14ac:dyDescent="0.2">
      <c r="B356" s="2281" t="s">
        <v>38</v>
      </c>
      <c r="C356" s="2290" t="s">
        <v>650</v>
      </c>
      <c r="D356" s="2284" t="s">
        <v>149</v>
      </c>
      <c r="E356" s="2285">
        <v>2</v>
      </c>
      <c r="F356" s="2286">
        <v>0</v>
      </c>
      <c r="G356" s="272">
        <f>E356*F356</f>
        <v>0</v>
      </c>
      <c r="H356" s="2292"/>
    </row>
    <row r="357" spans="2:8" x14ac:dyDescent="0.2">
      <c r="B357" s="2281"/>
      <c r="C357" s="2290"/>
      <c r="D357" s="2284"/>
      <c r="E357" s="2285"/>
      <c r="F357" s="2289"/>
      <c r="G357" s="2291"/>
      <c r="H357" s="2292"/>
    </row>
    <row r="358" spans="2:8" x14ac:dyDescent="0.2">
      <c r="B358" s="2281" t="s">
        <v>43</v>
      </c>
      <c r="C358" s="2290" t="s">
        <v>651</v>
      </c>
      <c r="D358" s="2284" t="s">
        <v>644</v>
      </c>
      <c r="E358" s="2285">
        <v>50</v>
      </c>
      <c r="F358" s="2286">
        <v>0</v>
      </c>
      <c r="G358" s="272">
        <f>E358*F358</f>
        <v>0</v>
      </c>
      <c r="H358" s="2292"/>
    </row>
    <row r="359" spans="2:8" x14ac:dyDescent="0.2">
      <c r="B359" s="2281"/>
      <c r="C359" s="2290"/>
      <c r="D359" s="2284"/>
      <c r="E359" s="2285"/>
      <c r="F359" s="2289"/>
      <c r="G359" s="2291"/>
      <c r="H359" s="2292"/>
    </row>
    <row r="360" spans="2:8" x14ac:dyDescent="0.2">
      <c r="B360" s="2281" t="s">
        <v>562</v>
      </c>
      <c r="C360" s="2290" t="s">
        <v>652</v>
      </c>
      <c r="D360" s="2284" t="s">
        <v>644</v>
      </c>
      <c r="E360" s="2285">
        <v>50</v>
      </c>
      <c r="F360" s="2286">
        <v>0</v>
      </c>
      <c r="G360" s="272">
        <f>E360*F360</f>
        <v>0</v>
      </c>
      <c r="H360" s="2292"/>
    </row>
    <row r="361" spans="2:8" x14ac:dyDescent="0.2">
      <c r="B361" s="2281"/>
      <c r="C361" s="2290"/>
      <c r="D361" s="2284"/>
      <c r="E361" s="2285"/>
      <c r="F361" s="2289"/>
      <c r="G361" s="2291"/>
      <c r="H361" s="2292"/>
    </row>
    <row r="362" spans="2:8" x14ac:dyDescent="0.2">
      <c r="B362" s="2281" t="s">
        <v>564</v>
      </c>
      <c r="C362" s="2290" t="s">
        <v>632</v>
      </c>
      <c r="D362" s="2284" t="s">
        <v>553</v>
      </c>
      <c r="E362" s="2285">
        <v>1</v>
      </c>
      <c r="F362" s="2286">
        <v>0</v>
      </c>
      <c r="G362" s="272">
        <f>E362*F362</f>
        <v>0</v>
      </c>
      <c r="H362" s="2292"/>
    </row>
    <row r="363" spans="2:8" x14ac:dyDescent="0.2">
      <c r="B363" s="2261"/>
      <c r="C363" s="98"/>
      <c r="D363" s="2266"/>
      <c r="E363" s="2267"/>
      <c r="F363" s="2268"/>
      <c r="G363" s="2269"/>
    </row>
    <row r="364" spans="2:8" x14ac:dyDescent="0.2">
      <c r="B364" s="2275" t="s">
        <v>653</v>
      </c>
      <c r="C364" s="2276" t="s">
        <v>654</v>
      </c>
      <c r="D364" s="2277"/>
      <c r="E364" s="2278"/>
      <c r="F364" s="2279"/>
      <c r="G364" s="2280"/>
    </row>
    <row r="365" spans="2:8" x14ac:dyDescent="0.2">
      <c r="B365" s="2281"/>
      <c r="C365" s="2290"/>
      <c r="D365" s="2284"/>
      <c r="E365" s="2285"/>
      <c r="F365" s="2289"/>
      <c r="G365" s="2291"/>
    </row>
    <row r="366" spans="2:8" x14ac:dyDescent="0.2">
      <c r="B366" s="2281" t="s">
        <v>8</v>
      </c>
      <c r="C366" s="2290" t="s">
        <v>655</v>
      </c>
      <c r="D366" s="2284" t="s">
        <v>644</v>
      </c>
      <c r="E366" s="2285">
        <v>60</v>
      </c>
      <c r="F366" s="2286">
        <v>0</v>
      </c>
      <c r="G366" s="272">
        <f>E366*F366</f>
        <v>0</v>
      </c>
    </row>
    <row r="367" spans="2:8" x14ac:dyDescent="0.2">
      <c r="B367" s="2281"/>
      <c r="C367" s="2290"/>
      <c r="D367" s="2284"/>
      <c r="E367" s="2285"/>
      <c r="F367" s="2289"/>
      <c r="G367" s="2291"/>
    </row>
    <row r="368" spans="2:8" ht="36" x14ac:dyDescent="0.2">
      <c r="B368" s="2281" t="s">
        <v>15</v>
      </c>
      <c r="C368" s="2290" t="s">
        <v>656</v>
      </c>
      <c r="D368" s="2284" t="s">
        <v>553</v>
      </c>
      <c r="E368" s="2285">
        <v>1</v>
      </c>
      <c r="F368" s="2286">
        <v>0</v>
      </c>
      <c r="G368" s="272">
        <f>E368*F368</f>
        <v>0</v>
      </c>
    </row>
    <row r="369" spans="2:7" x14ac:dyDescent="0.2">
      <c r="B369" s="2281"/>
      <c r="C369" s="2290"/>
      <c r="D369" s="2284"/>
      <c r="E369" s="2285"/>
      <c r="F369" s="2289"/>
      <c r="G369" s="2291"/>
    </row>
    <row r="370" spans="2:7" ht="24" x14ac:dyDescent="0.2">
      <c r="B370" s="2281" t="s">
        <v>20</v>
      </c>
      <c r="C370" s="2290" t="s">
        <v>657</v>
      </c>
      <c r="D370" s="2284" t="s">
        <v>553</v>
      </c>
      <c r="E370" s="2285">
        <v>1</v>
      </c>
      <c r="F370" s="2286">
        <v>0</v>
      </c>
      <c r="G370" s="272">
        <f>E370*F370</f>
        <v>0</v>
      </c>
    </row>
    <row r="371" spans="2:7" x14ac:dyDescent="0.2">
      <c r="B371" s="2281"/>
      <c r="C371" s="2290"/>
      <c r="D371" s="2284"/>
      <c r="E371" s="2285"/>
      <c r="F371" s="2289"/>
      <c r="G371" s="2291"/>
    </row>
    <row r="372" spans="2:7" x14ac:dyDescent="0.2">
      <c r="B372" s="2281" t="s">
        <v>24</v>
      </c>
      <c r="C372" s="2290" t="s">
        <v>658</v>
      </c>
      <c r="D372" s="2284" t="s">
        <v>644</v>
      </c>
      <c r="E372" s="2285">
        <v>160</v>
      </c>
      <c r="F372" s="2286">
        <v>0</v>
      </c>
      <c r="G372" s="272">
        <f>E372*F372</f>
        <v>0</v>
      </c>
    </row>
    <row r="373" spans="2:7" x14ac:dyDescent="0.2">
      <c r="B373" s="2281"/>
      <c r="C373" s="2290"/>
      <c r="D373" s="2284"/>
      <c r="E373" s="2285"/>
      <c r="F373" s="2289"/>
      <c r="G373" s="2291"/>
    </row>
    <row r="374" spans="2:7" x14ac:dyDescent="0.2">
      <c r="B374" s="2281" t="s">
        <v>29</v>
      </c>
      <c r="C374" s="2290" t="s">
        <v>659</v>
      </c>
      <c r="D374" s="2284" t="s">
        <v>553</v>
      </c>
      <c r="E374" s="2285">
        <v>1</v>
      </c>
      <c r="F374" s="2286">
        <v>0</v>
      </c>
      <c r="G374" s="272">
        <f>E374*F374</f>
        <v>0</v>
      </c>
    </row>
    <row r="375" spans="2:7" x14ac:dyDescent="0.2">
      <c r="B375" s="2281"/>
      <c r="C375" s="2290"/>
      <c r="D375" s="2284"/>
      <c r="E375" s="2285"/>
      <c r="F375" s="2289"/>
      <c r="G375" s="2291"/>
    </row>
    <row r="376" spans="2:7" x14ac:dyDescent="0.2">
      <c r="B376" s="2281" t="s">
        <v>33</v>
      </c>
      <c r="C376" s="2290" t="s">
        <v>660</v>
      </c>
      <c r="D376" s="2284" t="s">
        <v>123</v>
      </c>
      <c r="E376" s="2285">
        <v>16</v>
      </c>
      <c r="F376" s="2286">
        <v>0</v>
      </c>
      <c r="G376" s="272">
        <f>E376*F376</f>
        <v>0</v>
      </c>
    </row>
    <row r="377" spans="2:7" x14ac:dyDescent="0.2">
      <c r="B377" s="2281"/>
      <c r="C377" s="2290"/>
      <c r="D377" s="2284"/>
      <c r="E377" s="2285"/>
      <c r="F377" s="2289"/>
      <c r="G377" s="2291"/>
    </row>
    <row r="378" spans="2:7" x14ac:dyDescent="0.2">
      <c r="B378" s="2281" t="s">
        <v>38</v>
      </c>
      <c r="C378" s="2290" t="s">
        <v>661</v>
      </c>
      <c r="D378" s="2284" t="s">
        <v>553</v>
      </c>
      <c r="E378" s="2285">
        <v>10</v>
      </c>
      <c r="F378" s="2286">
        <v>0</v>
      </c>
      <c r="G378" s="272">
        <f>E378*F378</f>
        <v>0</v>
      </c>
    </row>
    <row r="379" spans="2:7" x14ac:dyDescent="0.2">
      <c r="B379" s="2281"/>
      <c r="C379" s="2290"/>
      <c r="D379" s="2284"/>
      <c r="E379" s="2285"/>
      <c r="F379" s="2289"/>
      <c r="G379" s="2291"/>
    </row>
    <row r="380" spans="2:7" x14ac:dyDescent="0.2">
      <c r="B380" s="2281" t="s">
        <v>43</v>
      </c>
      <c r="C380" s="2290" t="s">
        <v>662</v>
      </c>
      <c r="D380" s="2284" t="s">
        <v>553</v>
      </c>
      <c r="E380" s="2285">
        <v>2</v>
      </c>
      <c r="F380" s="2286">
        <v>0</v>
      </c>
      <c r="G380" s="272">
        <f>E380*F380</f>
        <v>0</v>
      </c>
    </row>
    <row r="381" spans="2:7" x14ac:dyDescent="0.2">
      <c r="B381" s="2281"/>
      <c r="C381" s="2290"/>
      <c r="D381" s="2284"/>
      <c r="E381" s="2285"/>
      <c r="F381" s="2289"/>
      <c r="G381" s="2291"/>
    </row>
    <row r="382" spans="2:7" x14ac:dyDescent="0.2">
      <c r="B382" s="2281" t="s">
        <v>562</v>
      </c>
      <c r="C382" s="2290" t="s">
        <v>663</v>
      </c>
      <c r="D382" s="2284" t="s">
        <v>553</v>
      </c>
      <c r="E382" s="2285">
        <v>1</v>
      </c>
      <c r="F382" s="2286">
        <v>0</v>
      </c>
      <c r="G382" s="272">
        <f>E382*F382</f>
        <v>0</v>
      </c>
    </row>
    <row r="383" spans="2:7" x14ac:dyDescent="0.2">
      <c r="B383" s="2261"/>
      <c r="C383" s="98"/>
      <c r="D383" s="2266"/>
      <c r="E383" s="2267"/>
      <c r="F383" s="2268"/>
      <c r="G383" s="2269"/>
    </row>
    <row r="384" spans="2:7" x14ac:dyDescent="0.2">
      <c r="B384" s="2275" t="s">
        <v>664</v>
      </c>
      <c r="C384" s="2276" t="s">
        <v>665</v>
      </c>
      <c r="D384" s="2277"/>
      <c r="E384" s="2278"/>
      <c r="F384" s="2279"/>
      <c r="G384" s="2280"/>
    </row>
    <row r="385" spans="2:7" x14ac:dyDescent="0.2">
      <c r="B385" s="2281"/>
      <c r="C385" s="2282"/>
      <c r="D385" s="2277"/>
      <c r="E385" s="2278"/>
      <c r="F385" s="2279"/>
      <c r="G385" s="2291"/>
    </row>
    <row r="386" spans="2:7" ht="24" x14ac:dyDescent="0.2">
      <c r="B386" s="2281" t="s">
        <v>8</v>
      </c>
      <c r="C386" s="2290" t="s">
        <v>666</v>
      </c>
      <c r="D386" s="2284" t="s">
        <v>644</v>
      </c>
      <c r="E386" s="2285">
        <v>27</v>
      </c>
      <c r="F386" s="2286">
        <v>0</v>
      </c>
      <c r="G386" s="272">
        <f>E386*F386</f>
        <v>0</v>
      </c>
    </row>
    <row r="387" spans="2:7" x14ac:dyDescent="0.2">
      <c r="B387" s="2281"/>
      <c r="C387" s="2290"/>
      <c r="D387" s="2284"/>
      <c r="E387" s="2285"/>
      <c r="F387" s="2289"/>
      <c r="G387" s="2291"/>
    </row>
    <row r="388" spans="2:7" x14ac:dyDescent="0.2">
      <c r="B388" s="2281" t="s">
        <v>15</v>
      </c>
      <c r="C388" s="2290" t="s">
        <v>667</v>
      </c>
      <c r="D388" s="2284" t="s">
        <v>644</v>
      </c>
      <c r="E388" s="2285">
        <v>80</v>
      </c>
      <c r="F388" s="2286">
        <v>0</v>
      </c>
      <c r="G388" s="272">
        <f t="shared" ref="G388" si="12">E388*F388</f>
        <v>0</v>
      </c>
    </row>
    <row r="389" spans="2:7" x14ac:dyDescent="0.2">
      <c r="B389" s="2281"/>
      <c r="C389" s="2290"/>
      <c r="D389" s="2284"/>
      <c r="E389" s="2285"/>
      <c r="F389" s="2289"/>
      <c r="G389" s="2291"/>
    </row>
    <row r="390" spans="2:7" x14ac:dyDescent="0.2">
      <c r="B390" s="2281" t="s">
        <v>20</v>
      </c>
      <c r="C390" s="2290" t="s">
        <v>668</v>
      </c>
      <c r="D390" s="2284" t="s">
        <v>644</v>
      </c>
      <c r="E390" s="2285">
        <v>30</v>
      </c>
      <c r="F390" s="2286">
        <v>0</v>
      </c>
      <c r="G390" s="272">
        <f t="shared" ref="G390" si="13">E390*F390</f>
        <v>0</v>
      </c>
    </row>
    <row r="391" spans="2:7" x14ac:dyDescent="0.2">
      <c r="B391" s="2281"/>
      <c r="C391" s="2290"/>
      <c r="D391" s="2284"/>
      <c r="E391" s="2285"/>
      <c r="F391" s="2289"/>
      <c r="G391" s="2291"/>
    </row>
    <row r="392" spans="2:7" x14ac:dyDescent="0.2">
      <c r="B392" s="2281" t="s">
        <v>24</v>
      </c>
      <c r="C392" s="2290" t="s">
        <v>669</v>
      </c>
      <c r="D392" s="2284" t="s">
        <v>123</v>
      </c>
      <c r="E392" s="2285">
        <v>1</v>
      </c>
      <c r="F392" s="2286">
        <v>0</v>
      </c>
      <c r="G392" s="272">
        <f t="shared" ref="G392" si="14">E392*F392</f>
        <v>0</v>
      </c>
    </row>
    <row r="393" spans="2:7" x14ac:dyDescent="0.2">
      <c r="B393" s="2281"/>
      <c r="C393" s="2290"/>
      <c r="D393" s="2284"/>
      <c r="E393" s="2285"/>
      <c r="F393" s="2289"/>
      <c r="G393" s="2291"/>
    </row>
    <row r="394" spans="2:7" ht="48" x14ac:dyDescent="0.2">
      <c r="B394" s="2281" t="s">
        <v>29</v>
      </c>
      <c r="C394" s="2293" t="s">
        <v>670</v>
      </c>
      <c r="D394" s="2284" t="s">
        <v>123</v>
      </c>
      <c r="E394" s="2285">
        <v>1</v>
      </c>
      <c r="F394" s="2286">
        <v>0</v>
      </c>
      <c r="G394" s="272">
        <f t="shared" ref="G394" si="15">E394*F394</f>
        <v>0</v>
      </c>
    </row>
    <row r="395" spans="2:7" x14ac:dyDescent="0.2">
      <c r="B395" s="2281"/>
      <c r="C395" s="2293"/>
      <c r="D395" s="2284"/>
      <c r="E395" s="2285"/>
      <c r="F395" s="2289"/>
      <c r="G395" s="2291"/>
    </row>
    <row r="396" spans="2:7" x14ac:dyDescent="0.2">
      <c r="B396" s="2281" t="s">
        <v>33</v>
      </c>
      <c r="C396" s="2293" t="s">
        <v>671</v>
      </c>
      <c r="D396" s="2284" t="s">
        <v>123</v>
      </c>
      <c r="E396" s="2285">
        <v>1</v>
      </c>
      <c r="F396" s="2286">
        <v>0</v>
      </c>
      <c r="G396" s="272">
        <f t="shared" ref="G396" si="16">E396*F396</f>
        <v>0</v>
      </c>
    </row>
    <row r="397" spans="2:7" x14ac:dyDescent="0.2">
      <c r="B397" s="2281"/>
      <c r="C397" s="2293"/>
      <c r="D397" s="2284"/>
      <c r="E397" s="2285"/>
      <c r="F397" s="2289"/>
      <c r="G397" s="2291"/>
    </row>
    <row r="398" spans="2:7" x14ac:dyDescent="0.2">
      <c r="B398" s="2281" t="s">
        <v>38</v>
      </c>
      <c r="C398" s="2293" t="s">
        <v>672</v>
      </c>
      <c r="D398" s="2284" t="s">
        <v>123</v>
      </c>
      <c r="E398" s="2285">
        <v>1</v>
      </c>
      <c r="F398" s="2286">
        <v>0</v>
      </c>
      <c r="G398" s="272">
        <f t="shared" ref="G398" si="17">E398*F398</f>
        <v>0</v>
      </c>
    </row>
    <row r="399" spans="2:7" x14ac:dyDescent="0.2">
      <c r="B399" s="2281"/>
      <c r="C399" s="2290"/>
      <c r="D399" s="2284"/>
      <c r="E399" s="2285"/>
      <c r="F399" s="2289"/>
      <c r="G399" s="2291"/>
    </row>
    <row r="400" spans="2:7" ht="24" x14ac:dyDescent="0.2">
      <c r="B400" s="2281" t="s">
        <v>43</v>
      </c>
      <c r="C400" s="2290" t="s">
        <v>673</v>
      </c>
      <c r="D400" s="2284" t="s">
        <v>123</v>
      </c>
      <c r="E400" s="2285">
        <v>4</v>
      </c>
      <c r="F400" s="2286">
        <v>0</v>
      </c>
      <c r="G400" s="272">
        <f>E400*F400</f>
        <v>0</v>
      </c>
    </row>
    <row r="401" spans="2:7" x14ac:dyDescent="0.2">
      <c r="B401" s="2281"/>
      <c r="C401" s="2290"/>
      <c r="D401" s="2284"/>
      <c r="E401" s="2285"/>
      <c r="F401" s="2289"/>
      <c r="G401" s="2291"/>
    </row>
    <row r="402" spans="2:7" x14ac:dyDescent="0.2">
      <c r="B402" s="2281" t="s">
        <v>562</v>
      </c>
      <c r="C402" s="2290" t="s">
        <v>674</v>
      </c>
      <c r="D402" s="2284" t="s">
        <v>123</v>
      </c>
      <c r="E402" s="2285">
        <v>1</v>
      </c>
      <c r="F402" s="2286">
        <v>0</v>
      </c>
      <c r="G402" s="272">
        <f t="shared" ref="G402" si="18">E402*F402</f>
        <v>0</v>
      </c>
    </row>
    <row r="403" spans="2:7" x14ac:dyDescent="0.2">
      <c r="B403" s="2281"/>
      <c r="C403" s="2290"/>
      <c r="D403" s="2284"/>
      <c r="E403" s="2285"/>
      <c r="F403" s="2289"/>
      <c r="G403" s="2291"/>
    </row>
    <row r="404" spans="2:7" x14ac:dyDescent="0.2">
      <c r="B404" s="2281" t="s">
        <v>564</v>
      </c>
      <c r="C404" s="2290" t="s">
        <v>675</v>
      </c>
      <c r="D404" s="2284" t="s">
        <v>123</v>
      </c>
      <c r="E404" s="2285">
        <v>2</v>
      </c>
      <c r="F404" s="2286">
        <v>0</v>
      </c>
      <c r="G404" s="272">
        <f t="shared" ref="G404" si="19">E404*F404</f>
        <v>0</v>
      </c>
    </row>
    <row r="405" spans="2:7" x14ac:dyDescent="0.2">
      <c r="B405" s="2281"/>
      <c r="C405" s="2290"/>
      <c r="D405" s="2284"/>
      <c r="E405" s="2285"/>
      <c r="F405" s="2289"/>
      <c r="G405" s="2291"/>
    </row>
    <row r="406" spans="2:7" x14ac:dyDescent="0.2">
      <c r="B406" s="2281" t="s">
        <v>566</v>
      </c>
      <c r="C406" s="2290" t="s">
        <v>676</v>
      </c>
      <c r="D406" s="2284" t="s">
        <v>123</v>
      </c>
      <c r="E406" s="2285">
        <v>2</v>
      </c>
      <c r="F406" s="2286">
        <v>0</v>
      </c>
      <c r="G406" s="272">
        <f t="shared" ref="G406" si="20">E406*F406</f>
        <v>0</v>
      </c>
    </row>
    <row r="407" spans="2:7" x14ac:dyDescent="0.2">
      <c r="B407" s="2281"/>
      <c r="C407" s="2290"/>
      <c r="D407" s="2284"/>
      <c r="E407" s="2285"/>
      <c r="F407" s="2289"/>
      <c r="G407" s="2291"/>
    </row>
    <row r="408" spans="2:7" ht="24" x14ac:dyDescent="0.2">
      <c r="B408" s="2281" t="s">
        <v>568</v>
      </c>
      <c r="C408" s="2290" t="s">
        <v>677</v>
      </c>
      <c r="D408" s="2284" t="s">
        <v>123</v>
      </c>
      <c r="E408" s="2285">
        <v>1</v>
      </c>
      <c r="F408" s="2286">
        <v>0</v>
      </c>
      <c r="G408" s="272">
        <f t="shared" ref="G408" si="21">E408*F408</f>
        <v>0</v>
      </c>
    </row>
    <row r="409" spans="2:7" x14ac:dyDescent="0.2">
      <c r="B409" s="2261"/>
      <c r="C409" s="98"/>
      <c r="D409" s="2266"/>
      <c r="E409" s="2267"/>
      <c r="F409" s="2268"/>
      <c r="G409" s="2269"/>
    </row>
    <row r="410" spans="2:7" x14ac:dyDescent="0.2">
      <c r="B410" s="2275" t="s">
        <v>678</v>
      </c>
      <c r="C410" s="2276" t="s">
        <v>679</v>
      </c>
      <c r="D410" s="2277"/>
      <c r="E410" s="2278"/>
      <c r="F410" s="2279"/>
      <c r="G410" s="2280"/>
    </row>
    <row r="411" spans="2:7" x14ac:dyDescent="0.2">
      <c r="B411" s="2281"/>
      <c r="C411" s="2282"/>
      <c r="D411" s="2277"/>
      <c r="E411" s="2278"/>
      <c r="F411" s="2279"/>
      <c r="G411" s="2280"/>
    </row>
    <row r="412" spans="2:7" x14ac:dyDescent="0.2">
      <c r="B412" s="2281" t="s">
        <v>8</v>
      </c>
      <c r="C412" s="2294" t="s">
        <v>680</v>
      </c>
      <c r="D412" s="2284" t="s">
        <v>553</v>
      </c>
      <c r="E412" s="2285">
        <v>20</v>
      </c>
      <c r="F412" s="2286">
        <v>0</v>
      </c>
      <c r="G412" s="272">
        <f>E412*F412</f>
        <v>0</v>
      </c>
    </row>
    <row r="413" spans="2:7" x14ac:dyDescent="0.2">
      <c r="B413" s="2281"/>
      <c r="C413" s="2287"/>
      <c r="D413" s="2284"/>
      <c r="E413" s="2285"/>
      <c r="F413" s="2289"/>
      <c r="G413" s="234"/>
    </row>
    <row r="414" spans="2:7" x14ac:dyDescent="0.2">
      <c r="B414" s="2281" t="s">
        <v>15</v>
      </c>
      <c r="C414" s="2294" t="s">
        <v>681</v>
      </c>
      <c r="D414" s="2284" t="s">
        <v>553</v>
      </c>
      <c r="E414" s="2285">
        <v>1</v>
      </c>
      <c r="F414" s="2286">
        <v>0</v>
      </c>
      <c r="G414" s="272">
        <f>E414*F414</f>
        <v>0</v>
      </c>
    </row>
    <row r="415" spans="2:7" x14ac:dyDescent="0.2">
      <c r="B415" s="2281"/>
      <c r="C415" s="2287"/>
      <c r="D415" s="2284"/>
      <c r="E415" s="2285"/>
      <c r="F415" s="2289"/>
      <c r="G415" s="234"/>
    </row>
    <row r="416" spans="2:7" ht="60" x14ac:dyDescent="0.2">
      <c r="B416" s="2281" t="s">
        <v>20</v>
      </c>
      <c r="C416" s="2295" t="s">
        <v>682</v>
      </c>
      <c r="D416" s="2284" t="s">
        <v>553</v>
      </c>
      <c r="E416" s="2285">
        <v>1</v>
      </c>
      <c r="F416" s="2286">
        <v>0</v>
      </c>
      <c r="G416" s="272">
        <f t="shared" ref="G416:G421" si="22">E416*F416</f>
        <v>0</v>
      </c>
    </row>
    <row r="417" spans="2:7" ht="84" x14ac:dyDescent="0.2">
      <c r="B417" s="2281" t="s">
        <v>24</v>
      </c>
      <c r="C417" s="2296" t="s">
        <v>683</v>
      </c>
      <c r="D417" s="2284" t="s">
        <v>553</v>
      </c>
      <c r="E417" s="2285">
        <v>1</v>
      </c>
      <c r="F417" s="2286">
        <v>0</v>
      </c>
      <c r="G417" s="272">
        <f t="shared" si="22"/>
        <v>0</v>
      </c>
    </row>
    <row r="418" spans="2:7" ht="48" x14ac:dyDescent="0.2">
      <c r="B418" s="2281" t="s">
        <v>29</v>
      </c>
      <c r="C418" s="2297" t="s">
        <v>684</v>
      </c>
      <c r="D418" s="2284" t="s">
        <v>553</v>
      </c>
      <c r="E418" s="2285">
        <v>1</v>
      </c>
      <c r="F418" s="2286">
        <v>0</v>
      </c>
      <c r="G418" s="272">
        <f t="shared" si="22"/>
        <v>0</v>
      </c>
    </row>
    <row r="419" spans="2:7" ht="36" x14ac:dyDescent="0.2">
      <c r="B419" s="2281" t="s">
        <v>33</v>
      </c>
      <c r="C419" s="2296" t="s">
        <v>685</v>
      </c>
      <c r="D419" s="2284" t="s">
        <v>553</v>
      </c>
      <c r="E419" s="2285">
        <v>1</v>
      </c>
      <c r="F419" s="2286">
        <v>0</v>
      </c>
      <c r="G419" s="272">
        <f t="shared" si="22"/>
        <v>0</v>
      </c>
    </row>
    <row r="420" spans="2:7" ht="36" x14ac:dyDescent="0.2">
      <c r="B420" s="2281" t="s">
        <v>38</v>
      </c>
      <c r="C420" s="2296" t="s">
        <v>686</v>
      </c>
      <c r="D420" s="2284" t="s">
        <v>553</v>
      </c>
      <c r="E420" s="2285">
        <v>1</v>
      </c>
      <c r="F420" s="2286">
        <v>0</v>
      </c>
      <c r="G420" s="272">
        <f t="shared" si="22"/>
        <v>0</v>
      </c>
    </row>
    <row r="421" spans="2:7" ht="36" x14ac:dyDescent="0.2">
      <c r="B421" s="2281" t="s">
        <v>43</v>
      </c>
      <c r="C421" s="2296" t="s">
        <v>687</v>
      </c>
      <c r="D421" s="2284" t="s">
        <v>553</v>
      </c>
      <c r="E421" s="2285">
        <v>1</v>
      </c>
      <c r="F421" s="2286">
        <v>0</v>
      </c>
      <c r="G421" s="272">
        <f t="shared" si="22"/>
        <v>0</v>
      </c>
    </row>
    <row r="422" spans="2:7" x14ac:dyDescent="0.2">
      <c r="B422" s="2261"/>
      <c r="C422" s="548"/>
      <c r="D422" s="2262"/>
      <c r="E422" s="2263"/>
      <c r="F422" s="2264"/>
      <c r="G422" s="2265"/>
    </row>
    <row r="423" spans="2:7" x14ac:dyDescent="0.2">
      <c r="B423" s="2275" t="s">
        <v>688</v>
      </c>
      <c r="C423" s="2276" t="s">
        <v>689</v>
      </c>
      <c r="D423" s="2277"/>
      <c r="E423" s="2278"/>
      <c r="F423" s="2279"/>
      <c r="G423" s="2280"/>
    </row>
    <row r="424" spans="2:7" x14ac:dyDescent="0.2">
      <c r="B424" s="2298"/>
      <c r="C424" s="2299"/>
      <c r="D424" s="2300"/>
      <c r="E424" s="2301"/>
      <c r="F424" s="2302"/>
      <c r="G424" s="2303"/>
    </row>
    <row r="425" spans="2:7" ht="120" x14ac:dyDescent="0.2">
      <c r="B425" s="2281" t="s">
        <v>8</v>
      </c>
      <c r="C425" s="2304" t="s">
        <v>690</v>
      </c>
      <c r="D425" s="2284" t="s">
        <v>553</v>
      </c>
      <c r="E425" s="2285">
        <v>1</v>
      </c>
      <c r="F425" s="2286">
        <v>0</v>
      </c>
      <c r="G425" s="272">
        <f t="shared" ref="G425" si="23">E425*F425</f>
        <v>0</v>
      </c>
    </row>
    <row r="426" spans="2:7" x14ac:dyDescent="0.2">
      <c r="B426" s="2281"/>
      <c r="C426" s="2287"/>
      <c r="D426" s="2284"/>
      <c r="E426" s="2285"/>
      <c r="F426" s="2289"/>
      <c r="G426" s="2291"/>
    </row>
    <row r="427" spans="2:7" x14ac:dyDescent="0.2">
      <c r="B427" s="2281" t="s">
        <v>15</v>
      </c>
      <c r="C427" s="2305" t="s">
        <v>691</v>
      </c>
      <c r="D427" s="2284" t="s">
        <v>644</v>
      </c>
      <c r="E427" s="2285">
        <v>180</v>
      </c>
      <c r="F427" s="2286">
        <v>0</v>
      </c>
      <c r="G427" s="272">
        <f t="shared" ref="G427" si="24">E427*F427</f>
        <v>0</v>
      </c>
    </row>
    <row r="428" spans="2:7" x14ac:dyDescent="0.2">
      <c r="B428" s="2281"/>
      <c r="C428" s="2211"/>
      <c r="D428" s="2284"/>
      <c r="E428" s="2285"/>
      <c r="F428" s="2289"/>
      <c r="G428" s="2291"/>
    </row>
    <row r="429" spans="2:7" ht="24" x14ac:dyDescent="0.2">
      <c r="B429" s="2281" t="s">
        <v>20</v>
      </c>
      <c r="C429" s="2306" t="s">
        <v>692</v>
      </c>
      <c r="D429" s="2284" t="s">
        <v>553</v>
      </c>
      <c r="E429" s="2285">
        <v>1</v>
      </c>
      <c r="F429" s="2286">
        <v>0</v>
      </c>
      <c r="G429" s="272">
        <f t="shared" ref="G429" si="25">E429*F429</f>
        <v>0</v>
      </c>
    </row>
    <row r="430" spans="2:7" x14ac:dyDescent="0.2">
      <c r="B430" s="2281"/>
      <c r="C430" s="2211"/>
      <c r="D430" s="2284"/>
      <c r="E430" s="2285"/>
      <c r="F430" s="2289"/>
      <c r="G430" s="2291"/>
    </row>
    <row r="431" spans="2:7" ht="96" x14ac:dyDescent="0.2">
      <c r="B431" s="2281" t="s">
        <v>24</v>
      </c>
      <c r="C431" s="2282" t="s">
        <v>693</v>
      </c>
      <c r="D431" s="2277" t="s">
        <v>644</v>
      </c>
      <c r="E431" s="2278">
        <v>150</v>
      </c>
      <c r="F431" s="2286">
        <v>0</v>
      </c>
      <c r="G431" s="272">
        <f t="shared" ref="G431" si="26">E431*F431</f>
        <v>0</v>
      </c>
    </row>
    <row r="432" spans="2:7" x14ac:dyDescent="0.2">
      <c r="B432" s="2281"/>
      <c r="C432" s="2282"/>
      <c r="D432" s="2277"/>
      <c r="E432" s="2278"/>
      <c r="F432" s="2279"/>
      <c r="G432" s="2291"/>
    </row>
    <row r="433" spans="2:7" ht="36" x14ac:dyDescent="0.2">
      <c r="B433" s="2281" t="s">
        <v>29</v>
      </c>
      <c r="C433" s="2299" t="s">
        <v>694</v>
      </c>
      <c r="D433" s="2284" t="s">
        <v>553</v>
      </c>
      <c r="E433" s="2285">
        <v>1</v>
      </c>
      <c r="F433" s="2286">
        <v>0</v>
      </c>
      <c r="G433" s="272">
        <f t="shared" ref="G433" si="27">E433*F433</f>
        <v>0</v>
      </c>
    </row>
    <row r="434" spans="2:7" x14ac:dyDescent="0.2">
      <c r="B434" s="2281"/>
      <c r="C434" s="2211"/>
      <c r="D434" s="2284"/>
      <c r="E434" s="2285"/>
      <c r="F434" s="2289"/>
      <c r="G434" s="2291"/>
    </row>
    <row r="435" spans="2:7" ht="24" x14ac:dyDescent="0.2">
      <c r="B435" s="2281" t="s">
        <v>33</v>
      </c>
      <c r="C435" s="2306" t="s">
        <v>692</v>
      </c>
      <c r="D435" s="2284" t="s">
        <v>553</v>
      </c>
      <c r="E435" s="2285">
        <v>1</v>
      </c>
      <c r="F435" s="2286">
        <v>0</v>
      </c>
      <c r="G435" s="272">
        <f t="shared" ref="G435" si="28">E435*F435</f>
        <v>0</v>
      </c>
    </row>
    <row r="436" spans="2:7" x14ac:dyDescent="0.2">
      <c r="B436" s="2281"/>
      <c r="C436" s="2287"/>
      <c r="D436" s="2284"/>
      <c r="E436" s="2285"/>
      <c r="F436" s="2289"/>
      <c r="G436" s="2291"/>
    </row>
    <row r="437" spans="2:7" ht="24" x14ac:dyDescent="0.2">
      <c r="B437" s="2281" t="s">
        <v>38</v>
      </c>
      <c r="C437" s="2287" t="s">
        <v>695</v>
      </c>
      <c r="D437" s="2284" t="s">
        <v>553</v>
      </c>
      <c r="E437" s="2285">
        <v>1</v>
      </c>
      <c r="F437" s="2286">
        <v>0</v>
      </c>
      <c r="G437" s="272">
        <f t="shared" ref="G437" si="29">E437*F437</f>
        <v>0</v>
      </c>
    </row>
    <row r="438" spans="2:7" x14ac:dyDescent="0.2">
      <c r="B438" s="2281"/>
      <c r="C438" s="2287"/>
      <c r="D438" s="2284"/>
      <c r="E438" s="2285"/>
      <c r="F438" s="2289"/>
      <c r="G438" s="2291"/>
    </row>
    <row r="439" spans="2:7" x14ac:dyDescent="0.2">
      <c r="B439" s="2281" t="s">
        <v>43</v>
      </c>
      <c r="C439" s="2287" t="s">
        <v>696</v>
      </c>
      <c r="D439" s="2284" t="s">
        <v>644</v>
      </c>
      <c r="E439" s="2285">
        <v>60</v>
      </c>
      <c r="F439" s="2286">
        <v>0</v>
      </c>
      <c r="G439" s="272">
        <f t="shared" ref="G439" si="30">E439*F439</f>
        <v>0</v>
      </c>
    </row>
    <row r="440" spans="2:7" x14ac:dyDescent="0.2">
      <c r="B440" s="2281"/>
      <c r="C440" s="2287"/>
      <c r="D440" s="2284"/>
      <c r="E440" s="2285"/>
      <c r="F440" s="2289"/>
      <c r="G440" s="2291"/>
    </row>
    <row r="441" spans="2:7" x14ac:dyDescent="0.2">
      <c r="B441" s="2281" t="s">
        <v>562</v>
      </c>
      <c r="C441" s="2287" t="s">
        <v>697</v>
      </c>
      <c r="D441" s="2284" t="s">
        <v>553</v>
      </c>
      <c r="E441" s="2285">
        <v>1</v>
      </c>
      <c r="F441" s="2286">
        <v>0</v>
      </c>
      <c r="G441" s="272">
        <f t="shared" ref="G441" si="31">E441*F441</f>
        <v>0</v>
      </c>
    </row>
    <row r="442" spans="2:7" x14ac:dyDescent="0.2">
      <c r="B442" s="2281"/>
      <c r="C442" s="2287"/>
      <c r="D442" s="2284"/>
      <c r="E442" s="2285"/>
      <c r="F442" s="2289"/>
      <c r="G442" s="2291"/>
    </row>
    <row r="443" spans="2:7" x14ac:dyDescent="0.2">
      <c r="B443" s="2281" t="s">
        <v>564</v>
      </c>
      <c r="C443" s="2287" t="s">
        <v>698</v>
      </c>
      <c r="D443" s="2284" t="s">
        <v>553</v>
      </c>
      <c r="E443" s="2285">
        <v>1</v>
      </c>
      <c r="F443" s="2286">
        <v>0</v>
      </c>
      <c r="G443" s="272">
        <f t="shared" ref="G443" si="32">E443*F443</f>
        <v>0</v>
      </c>
    </row>
    <row r="444" spans="2:7" x14ac:dyDescent="0.2">
      <c r="B444" s="2281"/>
      <c r="C444" s="2287"/>
      <c r="D444" s="2284"/>
      <c r="E444" s="2285"/>
      <c r="F444" s="2289"/>
      <c r="G444" s="2291"/>
    </row>
    <row r="445" spans="2:7" x14ac:dyDescent="0.2">
      <c r="B445" s="2281" t="s">
        <v>566</v>
      </c>
      <c r="C445" s="2287" t="s">
        <v>699</v>
      </c>
      <c r="D445" s="2284" t="s">
        <v>553</v>
      </c>
      <c r="E445" s="2285">
        <v>1</v>
      </c>
      <c r="F445" s="2286">
        <v>0</v>
      </c>
      <c r="G445" s="272">
        <f t="shared" ref="G445" si="33">E445*F445</f>
        <v>0</v>
      </c>
    </row>
    <row r="446" spans="2:7" ht="13.5" thickBot="1" x14ac:dyDescent="0.25">
      <c r="B446" s="564"/>
      <c r="C446" s="547"/>
      <c r="D446" s="551"/>
      <c r="E446" s="552"/>
      <c r="F446" s="553"/>
      <c r="G446" s="554"/>
    </row>
    <row r="447" spans="2:7" ht="13.5" thickBot="1" x14ac:dyDescent="0.25">
      <c r="B447" s="2256" t="s">
        <v>18</v>
      </c>
      <c r="C447" s="2257" t="s">
        <v>700</v>
      </c>
      <c r="D447" s="2258"/>
      <c r="E447" s="2259"/>
      <c r="F447" s="2260"/>
      <c r="G447" s="2274">
        <f>SUM(G223:G446)</f>
        <v>0</v>
      </c>
    </row>
  </sheetData>
  <mergeCells count="16">
    <mergeCell ref="B214:G214"/>
    <mergeCell ref="B215:G215"/>
    <mergeCell ref="B216:G216"/>
    <mergeCell ref="B217:G217"/>
    <mergeCell ref="B148:G148"/>
    <mergeCell ref="B149:G149"/>
    <mergeCell ref="B210:G210"/>
    <mergeCell ref="B211:G211"/>
    <mergeCell ref="B212:G212"/>
    <mergeCell ref="B213:G213"/>
    <mergeCell ref="B147:G147"/>
    <mergeCell ref="B36:G36"/>
    <mergeCell ref="B54:G54"/>
    <mergeCell ref="B69:G69"/>
    <mergeCell ref="B89:G89"/>
    <mergeCell ref="B111:G111"/>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19" max="16383" man="1"/>
    <brk id="31"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D364-4080-4A47-A803-63829C08188B}">
  <sheetPr codeName="Sheet71">
    <tabColor rgb="FF0070C0"/>
  </sheetPr>
  <dimension ref="B1:M250"/>
  <sheetViews>
    <sheetView topLeftCell="A77" zoomScaleNormal="100" workbookViewId="0">
      <selection activeCell="C90" sqref="C90"/>
    </sheetView>
  </sheetViews>
  <sheetFormatPr defaultColWidth="10.42578125" defaultRowHeight="12.75" x14ac:dyDescent="0.2"/>
  <cols>
    <col min="1" max="1" width="4.85546875" style="130" customWidth="1"/>
    <col min="2" max="2" width="10.42578125" style="745" customWidth="1"/>
    <col min="3" max="3" width="33.140625" style="746" customWidth="1"/>
    <col min="4" max="4" width="10.42578125" style="2561" customWidth="1"/>
    <col min="5" max="5" width="17.42578125" style="2560" customWidth="1"/>
    <col min="6" max="6" width="15.140625" style="1218" customWidth="1"/>
    <col min="7" max="7" width="17.140625" style="1179" customWidth="1"/>
    <col min="8" max="9" width="10.42578125" style="130" customWidth="1"/>
    <col min="10" max="10" width="15.42578125" style="130" customWidth="1"/>
    <col min="11" max="11" width="10.42578125" style="130" customWidth="1"/>
    <col min="12" max="12" width="26.28515625" style="130" customWidth="1"/>
    <col min="13" max="258" width="10.42578125" style="130"/>
    <col min="259" max="259" width="33.140625" style="130" customWidth="1"/>
    <col min="260" max="260" width="10.42578125" style="130"/>
    <col min="261" max="261" width="17.42578125" style="130" customWidth="1"/>
    <col min="262" max="262" width="15.140625" style="130" customWidth="1"/>
    <col min="263" max="263" width="17.140625" style="130" customWidth="1"/>
    <col min="264" max="265" width="10.42578125" style="130"/>
    <col min="266" max="266" width="15.42578125" style="130" customWidth="1"/>
    <col min="267" max="267" width="10.42578125" style="130"/>
    <col min="268" max="268" width="13.5703125" style="130" customWidth="1"/>
    <col min="269" max="514" width="10.42578125" style="130"/>
    <col min="515" max="515" width="33.140625" style="130" customWidth="1"/>
    <col min="516" max="516" width="10.42578125" style="130"/>
    <col min="517" max="517" width="17.42578125" style="130" customWidth="1"/>
    <col min="518" max="518" width="15.140625" style="130" customWidth="1"/>
    <col min="519" max="519" width="17.140625" style="130" customWidth="1"/>
    <col min="520" max="521" width="10.42578125" style="130"/>
    <col min="522" max="522" width="15.42578125" style="130" customWidth="1"/>
    <col min="523" max="523" width="10.42578125" style="130"/>
    <col min="524" max="524" width="13.5703125" style="130" customWidth="1"/>
    <col min="525" max="770" width="10.42578125" style="130"/>
    <col min="771" max="771" width="33.140625" style="130" customWidth="1"/>
    <col min="772" max="772" width="10.42578125" style="130"/>
    <col min="773" max="773" width="17.42578125" style="130" customWidth="1"/>
    <col min="774" max="774" width="15.140625" style="130" customWidth="1"/>
    <col min="775" max="775" width="17.140625" style="130" customWidth="1"/>
    <col min="776" max="777" width="10.42578125" style="130"/>
    <col min="778" max="778" width="15.42578125" style="130" customWidth="1"/>
    <col min="779" max="779" width="10.42578125" style="130"/>
    <col min="780" max="780" width="13.5703125" style="130" customWidth="1"/>
    <col min="781" max="1026" width="10.42578125" style="130"/>
    <col min="1027" max="1027" width="33.140625" style="130" customWidth="1"/>
    <col min="1028" max="1028" width="10.42578125" style="130"/>
    <col min="1029" max="1029" width="17.42578125" style="130" customWidth="1"/>
    <col min="1030" max="1030" width="15.140625" style="130" customWidth="1"/>
    <col min="1031" max="1031" width="17.140625" style="130" customWidth="1"/>
    <col min="1032" max="1033" width="10.42578125" style="130"/>
    <col min="1034" max="1034" width="15.42578125" style="130" customWidth="1"/>
    <col min="1035" max="1035" width="10.42578125" style="130"/>
    <col min="1036" max="1036" width="13.5703125" style="130" customWidth="1"/>
    <col min="1037" max="1282" width="10.42578125" style="130"/>
    <col min="1283" max="1283" width="33.140625" style="130" customWidth="1"/>
    <col min="1284" max="1284" width="10.42578125" style="130"/>
    <col min="1285" max="1285" width="17.42578125" style="130" customWidth="1"/>
    <col min="1286" max="1286" width="15.140625" style="130" customWidth="1"/>
    <col min="1287" max="1287" width="17.140625" style="130" customWidth="1"/>
    <col min="1288" max="1289" width="10.42578125" style="130"/>
    <col min="1290" max="1290" width="15.42578125" style="130" customWidth="1"/>
    <col min="1291" max="1291" width="10.42578125" style="130"/>
    <col min="1292" max="1292" width="13.5703125" style="130" customWidth="1"/>
    <col min="1293" max="1538" width="10.42578125" style="130"/>
    <col min="1539" max="1539" width="33.140625" style="130" customWidth="1"/>
    <col min="1540" max="1540" width="10.42578125" style="130"/>
    <col min="1541" max="1541" width="17.42578125" style="130" customWidth="1"/>
    <col min="1542" max="1542" width="15.140625" style="130" customWidth="1"/>
    <col min="1543" max="1543" width="17.140625" style="130" customWidth="1"/>
    <col min="1544" max="1545" width="10.42578125" style="130"/>
    <col min="1546" max="1546" width="15.42578125" style="130" customWidth="1"/>
    <col min="1547" max="1547" width="10.42578125" style="130"/>
    <col min="1548" max="1548" width="13.5703125" style="130" customWidth="1"/>
    <col min="1549" max="1794" width="10.42578125" style="130"/>
    <col min="1795" max="1795" width="33.140625" style="130" customWidth="1"/>
    <col min="1796" max="1796" width="10.42578125" style="130"/>
    <col min="1797" max="1797" width="17.42578125" style="130" customWidth="1"/>
    <col min="1798" max="1798" width="15.140625" style="130" customWidth="1"/>
    <col min="1799" max="1799" width="17.140625" style="130" customWidth="1"/>
    <col min="1800" max="1801" width="10.42578125" style="130"/>
    <col min="1802" max="1802" width="15.42578125" style="130" customWidth="1"/>
    <col min="1803" max="1803" width="10.42578125" style="130"/>
    <col min="1804" max="1804" width="13.5703125" style="130" customWidth="1"/>
    <col min="1805" max="2050" width="10.42578125" style="130"/>
    <col min="2051" max="2051" width="33.140625" style="130" customWidth="1"/>
    <col min="2052" max="2052" width="10.42578125" style="130"/>
    <col min="2053" max="2053" width="17.42578125" style="130" customWidth="1"/>
    <col min="2054" max="2054" width="15.140625" style="130" customWidth="1"/>
    <col min="2055" max="2055" width="17.140625" style="130" customWidth="1"/>
    <col min="2056" max="2057" width="10.42578125" style="130"/>
    <col min="2058" max="2058" width="15.42578125" style="130" customWidth="1"/>
    <col min="2059" max="2059" width="10.42578125" style="130"/>
    <col min="2060" max="2060" width="13.5703125" style="130" customWidth="1"/>
    <col min="2061" max="2306" width="10.42578125" style="130"/>
    <col min="2307" max="2307" width="33.140625" style="130" customWidth="1"/>
    <col min="2308" max="2308" width="10.42578125" style="130"/>
    <col min="2309" max="2309" width="17.42578125" style="130" customWidth="1"/>
    <col min="2310" max="2310" width="15.140625" style="130" customWidth="1"/>
    <col min="2311" max="2311" width="17.140625" style="130" customWidth="1"/>
    <col min="2312" max="2313" width="10.42578125" style="130"/>
    <col min="2314" max="2314" width="15.42578125" style="130" customWidth="1"/>
    <col min="2315" max="2315" width="10.42578125" style="130"/>
    <col min="2316" max="2316" width="13.5703125" style="130" customWidth="1"/>
    <col min="2317" max="2562" width="10.42578125" style="130"/>
    <col min="2563" max="2563" width="33.140625" style="130" customWidth="1"/>
    <col min="2564" max="2564" width="10.42578125" style="130"/>
    <col min="2565" max="2565" width="17.42578125" style="130" customWidth="1"/>
    <col min="2566" max="2566" width="15.140625" style="130" customWidth="1"/>
    <col min="2567" max="2567" width="17.140625" style="130" customWidth="1"/>
    <col min="2568" max="2569" width="10.42578125" style="130"/>
    <col min="2570" max="2570" width="15.42578125" style="130" customWidth="1"/>
    <col min="2571" max="2571" width="10.42578125" style="130"/>
    <col min="2572" max="2572" width="13.5703125" style="130" customWidth="1"/>
    <col min="2573" max="2818" width="10.42578125" style="130"/>
    <col min="2819" max="2819" width="33.140625" style="130" customWidth="1"/>
    <col min="2820" max="2820" width="10.42578125" style="130"/>
    <col min="2821" max="2821" width="17.42578125" style="130" customWidth="1"/>
    <col min="2822" max="2822" width="15.140625" style="130" customWidth="1"/>
    <col min="2823" max="2823" width="17.140625" style="130" customWidth="1"/>
    <col min="2824" max="2825" width="10.42578125" style="130"/>
    <col min="2826" max="2826" width="15.42578125" style="130" customWidth="1"/>
    <col min="2827" max="2827" width="10.42578125" style="130"/>
    <col min="2828" max="2828" width="13.5703125" style="130" customWidth="1"/>
    <col min="2829" max="3074" width="10.42578125" style="130"/>
    <col min="3075" max="3075" width="33.140625" style="130" customWidth="1"/>
    <col min="3076" max="3076" width="10.42578125" style="130"/>
    <col min="3077" max="3077" width="17.42578125" style="130" customWidth="1"/>
    <col min="3078" max="3078" width="15.140625" style="130" customWidth="1"/>
    <col min="3079" max="3079" width="17.140625" style="130" customWidth="1"/>
    <col min="3080" max="3081" width="10.42578125" style="130"/>
    <col min="3082" max="3082" width="15.42578125" style="130" customWidth="1"/>
    <col min="3083" max="3083" width="10.42578125" style="130"/>
    <col min="3084" max="3084" width="13.5703125" style="130" customWidth="1"/>
    <col min="3085" max="3330" width="10.42578125" style="130"/>
    <col min="3331" max="3331" width="33.140625" style="130" customWidth="1"/>
    <col min="3332" max="3332" width="10.42578125" style="130"/>
    <col min="3333" max="3333" width="17.42578125" style="130" customWidth="1"/>
    <col min="3334" max="3334" width="15.140625" style="130" customWidth="1"/>
    <col min="3335" max="3335" width="17.140625" style="130" customWidth="1"/>
    <col min="3336" max="3337" width="10.42578125" style="130"/>
    <col min="3338" max="3338" width="15.42578125" style="130" customWidth="1"/>
    <col min="3339" max="3339" width="10.42578125" style="130"/>
    <col min="3340" max="3340" width="13.5703125" style="130" customWidth="1"/>
    <col min="3341" max="3586" width="10.42578125" style="130"/>
    <col min="3587" max="3587" width="33.140625" style="130" customWidth="1"/>
    <col min="3588" max="3588" width="10.42578125" style="130"/>
    <col min="3589" max="3589" width="17.42578125" style="130" customWidth="1"/>
    <col min="3590" max="3590" width="15.140625" style="130" customWidth="1"/>
    <col min="3591" max="3591" width="17.140625" style="130" customWidth="1"/>
    <col min="3592" max="3593" width="10.42578125" style="130"/>
    <col min="3594" max="3594" width="15.42578125" style="130" customWidth="1"/>
    <col min="3595" max="3595" width="10.42578125" style="130"/>
    <col min="3596" max="3596" width="13.5703125" style="130" customWidth="1"/>
    <col min="3597" max="3842" width="10.42578125" style="130"/>
    <col min="3843" max="3843" width="33.140625" style="130" customWidth="1"/>
    <col min="3844" max="3844" width="10.42578125" style="130"/>
    <col min="3845" max="3845" width="17.42578125" style="130" customWidth="1"/>
    <col min="3846" max="3846" width="15.140625" style="130" customWidth="1"/>
    <col min="3847" max="3847" width="17.140625" style="130" customWidth="1"/>
    <col min="3848" max="3849" width="10.42578125" style="130"/>
    <col min="3850" max="3850" width="15.42578125" style="130" customWidth="1"/>
    <col min="3851" max="3851" width="10.42578125" style="130"/>
    <col min="3852" max="3852" width="13.5703125" style="130" customWidth="1"/>
    <col min="3853" max="4098" width="10.42578125" style="130"/>
    <col min="4099" max="4099" width="33.140625" style="130" customWidth="1"/>
    <col min="4100" max="4100" width="10.42578125" style="130"/>
    <col min="4101" max="4101" width="17.42578125" style="130" customWidth="1"/>
    <col min="4102" max="4102" width="15.140625" style="130" customWidth="1"/>
    <col min="4103" max="4103" width="17.140625" style="130" customWidth="1"/>
    <col min="4104" max="4105" width="10.42578125" style="130"/>
    <col min="4106" max="4106" width="15.42578125" style="130" customWidth="1"/>
    <col min="4107" max="4107" width="10.42578125" style="130"/>
    <col min="4108" max="4108" width="13.5703125" style="130" customWidth="1"/>
    <col min="4109" max="4354" width="10.42578125" style="130"/>
    <col min="4355" max="4355" width="33.140625" style="130" customWidth="1"/>
    <col min="4356" max="4356" width="10.42578125" style="130"/>
    <col min="4357" max="4357" width="17.42578125" style="130" customWidth="1"/>
    <col min="4358" max="4358" width="15.140625" style="130" customWidth="1"/>
    <col min="4359" max="4359" width="17.140625" style="130" customWidth="1"/>
    <col min="4360" max="4361" width="10.42578125" style="130"/>
    <col min="4362" max="4362" width="15.42578125" style="130" customWidth="1"/>
    <col min="4363" max="4363" width="10.42578125" style="130"/>
    <col min="4364" max="4364" width="13.5703125" style="130" customWidth="1"/>
    <col min="4365" max="4610" width="10.42578125" style="130"/>
    <col min="4611" max="4611" width="33.140625" style="130" customWidth="1"/>
    <col min="4612" max="4612" width="10.42578125" style="130"/>
    <col min="4613" max="4613" width="17.42578125" style="130" customWidth="1"/>
    <col min="4614" max="4614" width="15.140625" style="130" customWidth="1"/>
    <col min="4615" max="4615" width="17.140625" style="130" customWidth="1"/>
    <col min="4616" max="4617" width="10.42578125" style="130"/>
    <col min="4618" max="4618" width="15.42578125" style="130" customWidth="1"/>
    <col min="4619" max="4619" width="10.42578125" style="130"/>
    <col min="4620" max="4620" width="13.5703125" style="130" customWidth="1"/>
    <col min="4621" max="4866" width="10.42578125" style="130"/>
    <col min="4867" max="4867" width="33.140625" style="130" customWidth="1"/>
    <col min="4868" max="4868" width="10.42578125" style="130"/>
    <col min="4869" max="4869" width="17.42578125" style="130" customWidth="1"/>
    <col min="4870" max="4870" width="15.140625" style="130" customWidth="1"/>
    <col min="4871" max="4871" width="17.140625" style="130" customWidth="1"/>
    <col min="4872" max="4873" width="10.42578125" style="130"/>
    <col min="4874" max="4874" width="15.42578125" style="130" customWidth="1"/>
    <col min="4875" max="4875" width="10.42578125" style="130"/>
    <col min="4876" max="4876" width="13.5703125" style="130" customWidth="1"/>
    <col min="4877" max="5122" width="10.42578125" style="130"/>
    <col min="5123" max="5123" width="33.140625" style="130" customWidth="1"/>
    <col min="5124" max="5124" width="10.42578125" style="130"/>
    <col min="5125" max="5125" width="17.42578125" style="130" customWidth="1"/>
    <col min="5126" max="5126" width="15.140625" style="130" customWidth="1"/>
    <col min="5127" max="5127" width="17.140625" style="130" customWidth="1"/>
    <col min="5128" max="5129" width="10.42578125" style="130"/>
    <col min="5130" max="5130" width="15.42578125" style="130" customWidth="1"/>
    <col min="5131" max="5131" width="10.42578125" style="130"/>
    <col min="5132" max="5132" width="13.5703125" style="130" customWidth="1"/>
    <col min="5133" max="5378" width="10.42578125" style="130"/>
    <col min="5379" max="5379" width="33.140625" style="130" customWidth="1"/>
    <col min="5380" max="5380" width="10.42578125" style="130"/>
    <col min="5381" max="5381" width="17.42578125" style="130" customWidth="1"/>
    <col min="5382" max="5382" width="15.140625" style="130" customWidth="1"/>
    <col min="5383" max="5383" width="17.140625" style="130" customWidth="1"/>
    <col min="5384" max="5385" width="10.42578125" style="130"/>
    <col min="5386" max="5386" width="15.42578125" style="130" customWidth="1"/>
    <col min="5387" max="5387" width="10.42578125" style="130"/>
    <col min="5388" max="5388" width="13.5703125" style="130" customWidth="1"/>
    <col min="5389" max="5634" width="10.42578125" style="130"/>
    <col min="5635" max="5635" width="33.140625" style="130" customWidth="1"/>
    <col min="5636" max="5636" width="10.42578125" style="130"/>
    <col min="5637" max="5637" width="17.42578125" style="130" customWidth="1"/>
    <col min="5638" max="5638" width="15.140625" style="130" customWidth="1"/>
    <col min="5639" max="5639" width="17.140625" style="130" customWidth="1"/>
    <col min="5640" max="5641" width="10.42578125" style="130"/>
    <col min="5642" max="5642" width="15.42578125" style="130" customWidth="1"/>
    <col min="5643" max="5643" width="10.42578125" style="130"/>
    <col min="5644" max="5644" width="13.5703125" style="130" customWidth="1"/>
    <col min="5645" max="5890" width="10.42578125" style="130"/>
    <col min="5891" max="5891" width="33.140625" style="130" customWidth="1"/>
    <col min="5892" max="5892" width="10.42578125" style="130"/>
    <col min="5893" max="5893" width="17.42578125" style="130" customWidth="1"/>
    <col min="5894" max="5894" width="15.140625" style="130" customWidth="1"/>
    <col min="5895" max="5895" width="17.140625" style="130" customWidth="1"/>
    <col min="5896" max="5897" width="10.42578125" style="130"/>
    <col min="5898" max="5898" width="15.42578125" style="130" customWidth="1"/>
    <col min="5899" max="5899" width="10.42578125" style="130"/>
    <col min="5900" max="5900" width="13.5703125" style="130" customWidth="1"/>
    <col min="5901" max="6146" width="10.42578125" style="130"/>
    <col min="6147" max="6147" width="33.140625" style="130" customWidth="1"/>
    <col min="6148" max="6148" width="10.42578125" style="130"/>
    <col min="6149" max="6149" width="17.42578125" style="130" customWidth="1"/>
    <col min="6150" max="6150" width="15.140625" style="130" customWidth="1"/>
    <col min="6151" max="6151" width="17.140625" style="130" customWidth="1"/>
    <col min="6152" max="6153" width="10.42578125" style="130"/>
    <col min="6154" max="6154" width="15.42578125" style="130" customWidth="1"/>
    <col min="6155" max="6155" width="10.42578125" style="130"/>
    <col min="6156" max="6156" width="13.5703125" style="130" customWidth="1"/>
    <col min="6157" max="6402" width="10.42578125" style="130"/>
    <col min="6403" max="6403" width="33.140625" style="130" customWidth="1"/>
    <col min="6404" max="6404" width="10.42578125" style="130"/>
    <col min="6405" max="6405" width="17.42578125" style="130" customWidth="1"/>
    <col min="6406" max="6406" width="15.140625" style="130" customWidth="1"/>
    <col min="6407" max="6407" width="17.140625" style="130" customWidth="1"/>
    <col min="6408" max="6409" width="10.42578125" style="130"/>
    <col min="6410" max="6410" width="15.42578125" style="130" customWidth="1"/>
    <col min="6411" max="6411" width="10.42578125" style="130"/>
    <col min="6412" max="6412" width="13.5703125" style="130" customWidth="1"/>
    <col min="6413" max="6658" width="10.42578125" style="130"/>
    <col min="6659" max="6659" width="33.140625" style="130" customWidth="1"/>
    <col min="6660" max="6660" width="10.42578125" style="130"/>
    <col min="6661" max="6661" width="17.42578125" style="130" customWidth="1"/>
    <col min="6662" max="6662" width="15.140625" style="130" customWidth="1"/>
    <col min="6663" max="6663" width="17.140625" style="130" customWidth="1"/>
    <col min="6664" max="6665" width="10.42578125" style="130"/>
    <col min="6666" max="6666" width="15.42578125" style="130" customWidth="1"/>
    <col min="6667" max="6667" width="10.42578125" style="130"/>
    <col min="6668" max="6668" width="13.5703125" style="130" customWidth="1"/>
    <col min="6669" max="6914" width="10.42578125" style="130"/>
    <col min="6915" max="6915" width="33.140625" style="130" customWidth="1"/>
    <col min="6916" max="6916" width="10.42578125" style="130"/>
    <col min="6917" max="6917" width="17.42578125" style="130" customWidth="1"/>
    <col min="6918" max="6918" width="15.140625" style="130" customWidth="1"/>
    <col min="6919" max="6919" width="17.140625" style="130" customWidth="1"/>
    <col min="6920" max="6921" width="10.42578125" style="130"/>
    <col min="6922" max="6922" width="15.42578125" style="130" customWidth="1"/>
    <col min="6923" max="6923" width="10.42578125" style="130"/>
    <col min="6924" max="6924" width="13.5703125" style="130" customWidth="1"/>
    <col min="6925" max="7170" width="10.42578125" style="130"/>
    <col min="7171" max="7171" width="33.140625" style="130" customWidth="1"/>
    <col min="7172" max="7172" width="10.42578125" style="130"/>
    <col min="7173" max="7173" width="17.42578125" style="130" customWidth="1"/>
    <col min="7174" max="7174" width="15.140625" style="130" customWidth="1"/>
    <col min="7175" max="7175" width="17.140625" style="130" customWidth="1"/>
    <col min="7176" max="7177" width="10.42578125" style="130"/>
    <col min="7178" max="7178" width="15.42578125" style="130" customWidth="1"/>
    <col min="7179" max="7179" width="10.42578125" style="130"/>
    <col min="7180" max="7180" width="13.5703125" style="130" customWidth="1"/>
    <col min="7181" max="7426" width="10.42578125" style="130"/>
    <col min="7427" max="7427" width="33.140625" style="130" customWidth="1"/>
    <col min="7428" max="7428" width="10.42578125" style="130"/>
    <col min="7429" max="7429" width="17.42578125" style="130" customWidth="1"/>
    <col min="7430" max="7430" width="15.140625" style="130" customWidth="1"/>
    <col min="7431" max="7431" width="17.140625" style="130" customWidth="1"/>
    <col min="7432" max="7433" width="10.42578125" style="130"/>
    <col min="7434" max="7434" width="15.42578125" style="130" customWidth="1"/>
    <col min="7435" max="7435" width="10.42578125" style="130"/>
    <col min="7436" max="7436" width="13.5703125" style="130" customWidth="1"/>
    <col min="7437" max="7682" width="10.42578125" style="130"/>
    <col min="7683" max="7683" width="33.140625" style="130" customWidth="1"/>
    <col min="7684" max="7684" width="10.42578125" style="130"/>
    <col min="7685" max="7685" width="17.42578125" style="130" customWidth="1"/>
    <col min="7686" max="7686" width="15.140625" style="130" customWidth="1"/>
    <col min="7687" max="7687" width="17.140625" style="130" customWidth="1"/>
    <col min="7688" max="7689" width="10.42578125" style="130"/>
    <col min="7690" max="7690" width="15.42578125" style="130" customWidth="1"/>
    <col min="7691" max="7691" width="10.42578125" style="130"/>
    <col min="7692" max="7692" width="13.5703125" style="130" customWidth="1"/>
    <col min="7693" max="7938" width="10.42578125" style="130"/>
    <col min="7939" max="7939" width="33.140625" style="130" customWidth="1"/>
    <col min="7940" max="7940" width="10.42578125" style="130"/>
    <col min="7941" max="7941" width="17.42578125" style="130" customWidth="1"/>
    <col min="7942" max="7942" width="15.140625" style="130" customWidth="1"/>
    <col min="7943" max="7943" width="17.140625" style="130" customWidth="1"/>
    <col min="7944" max="7945" width="10.42578125" style="130"/>
    <col min="7946" max="7946" width="15.42578125" style="130" customWidth="1"/>
    <col min="7947" max="7947" width="10.42578125" style="130"/>
    <col min="7948" max="7948" width="13.5703125" style="130" customWidth="1"/>
    <col min="7949" max="8194" width="10.42578125" style="130"/>
    <col min="8195" max="8195" width="33.140625" style="130" customWidth="1"/>
    <col min="8196" max="8196" width="10.42578125" style="130"/>
    <col min="8197" max="8197" width="17.42578125" style="130" customWidth="1"/>
    <col min="8198" max="8198" width="15.140625" style="130" customWidth="1"/>
    <col min="8199" max="8199" width="17.140625" style="130" customWidth="1"/>
    <col min="8200" max="8201" width="10.42578125" style="130"/>
    <col min="8202" max="8202" width="15.42578125" style="130" customWidth="1"/>
    <col min="8203" max="8203" width="10.42578125" style="130"/>
    <col min="8204" max="8204" width="13.5703125" style="130" customWidth="1"/>
    <col min="8205" max="8450" width="10.42578125" style="130"/>
    <col min="8451" max="8451" width="33.140625" style="130" customWidth="1"/>
    <col min="8452" max="8452" width="10.42578125" style="130"/>
    <col min="8453" max="8453" width="17.42578125" style="130" customWidth="1"/>
    <col min="8454" max="8454" width="15.140625" style="130" customWidth="1"/>
    <col min="8455" max="8455" width="17.140625" style="130" customWidth="1"/>
    <col min="8456" max="8457" width="10.42578125" style="130"/>
    <col min="8458" max="8458" width="15.42578125" style="130" customWidth="1"/>
    <col min="8459" max="8459" width="10.42578125" style="130"/>
    <col min="8460" max="8460" width="13.5703125" style="130" customWidth="1"/>
    <col min="8461" max="8706" width="10.42578125" style="130"/>
    <col min="8707" max="8707" width="33.140625" style="130" customWidth="1"/>
    <col min="8708" max="8708" width="10.42578125" style="130"/>
    <col min="8709" max="8709" width="17.42578125" style="130" customWidth="1"/>
    <col min="8710" max="8710" width="15.140625" style="130" customWidth="1"/>
    <col min="8711" max="8711" width="17.140625" style="130" customWidth="1"/>
    <col min="8712" max="8713" width="10.42578125" style="130"/>
    <col min="8714" max="8714" width="15.42578125" style="130" customWidth="1"/>
    <col min="8715" max="8715" width="10.42578125" style="130"/>
    <col min="8716" max="8716" width="13.5703125" style="130" customWidth="1"/>
    <col min="8717" max="8962" width="10.42578125" style="130"/>
    <col min="8963" max="8963" width="33.140625" style="130" customWidth="1"/>
    <col min="8964" max="8964" width="10.42578125" style="130"/>
    <col min="8965" max="8965" width="17.42578125" style="130" customWidth="1"/>
    <col min="8966" max="8966" width="15.140625" style="130" customWidth="1"/>
    <col min="8967" max="8967" width="17.140625" style="130" customWidth="1"/>
    <col min="8968" max="8969" width="10.42578125" style="130"/>
    <col min="8970" max="8970" width="15.42578125" style="130" customWidth="1"/>
    <col min="8971" max="8971" width="10.42578125" style="130"/>
    <col min="8972" max="8972" width="13.5703125" style="130" customWidth="1"/>
    <col min="8973" max="9218" width="10.42578125" style="130"/>
    <col min="9219" max="9219" width="33.140625" style="130" customWidth="1"/>
    <col min="9220" max="9220" width="10.42578125" style="130"/>
    <col min="9221" max="9221" width="17.42578125" style="130" customWidth="1"/>
    <col min="9222" max="9222" width="15.140625" style="130" customWidth="1"/>
    <col min="9223" max="9223" width="17.140625" style="130" customWidth="1"/>
    <col min="9224" max="9225" width="10.42578125" style="130"/>
    <col min="9226" max="9226" width="15.42578125" style="130" customWidth="1"/>
    <col min="9227" max="9227" width="10.42578125" style="130"/>
    <col min="9228" max="9228" width="13.5703125" style="130" customWidth="1"/>
    <col min="9229" max="9474" width="10.42578125" style="130"/>
    <col min="9475" max="9475" width="33.140625" style="130" customWidth="1"/>
    <col min="9476" max="9476" width="10.42578125" style="130"/>
    <col min="9477" max="9477" width="17.42578125" style="130" customWidth="1"/>
    <col min="9478" max="9478" width="15.140625" style="130" customWidth="1"/>
    <col min="9479" max="9479" width="17.140625" style="130" customWidth="1"/>
    <col min="9480" max="9481" width="10.42578125" style="130"/>
    <col min="9482" max="9482" width="15.42578125" style="130" customWidth="1"/>
    <col min="9483" max="9483" width="10.42578125" style="130"/>
    <col min="9484" max="9484" width="13.5703125" style="130" customWidth="1"/>
    <col min="9485" max="9730" width="10.42578125" style="130"/>
    <col min="9731" max="9731" width="33.140625" style="130" customWidth="1"/>
    <col min="9732" max="9732" width="10.42578125" style="130"/>
    <col min="9733" max="9733" width="17.42578125" style="130" customWidth="1"/>
    <col min="9734" max="9734" width="15.140625" style="130" customWidth="1"/>
    <col min="9735" max="9735" width="17.140625" style="130" customWidth="1"/>
    <col min="9736" max="9737" width="10.42578125" style="130"/>
    <col min="9738" max="9738" width="15.42578125" style="130" customWidth="1"/>
    <col min="9739" max="9739" width="10.42578125" style="130"/>
    <col min="9740" max="9740" width="13.5703125" style="130" customWidth="1"/>
    <col min="9741" max="9986" width="10.42578125" style="130"/>
    <col min="9987" max="9987" width="33.140625" style="130" customWidth="1"/>
    <col min="9988" max="9988" width="10.42578125" style="130"/>
    <col min="9989" max="9989" width="17.42578125" style="130" customWidth="1"/>
    <col min="9990" max="9990" width="15.140625" style="130" customWidth="1"/>
    <col min="9991" max="9991" width="17.140625" style="130" customWidth="1"/>
    <col min="9992" max="9993" width="10.42578125" style="130"/>
    <col min="9994" max="9994" width="15.42578125" style="130" customWidth="1"/>
    <col min="9995" max="9995" width="10.42578125" style="130"/>
    <col min="9996" max="9996" width="13.5703125" style="130" customWidth="1"/>
    <col min="9997" max="10242" width="10.42578125" style="130"/>
    <col min="10243" max="10243" width="33.140625" style="130" customWidth="1"/>
    <col min="10244" max="10244" width="10.42578125" style="130"/>
    <col min="10245" max="10245" width="17.42578125" style="130" customWidth="1"/>
    <col min="10246" max="10246" width="15.140625" style="130" customWidth="1"/>
    <col min="10247" max="10247" width="17.140625" style="130" customWidth="1"/>
    <col min="10248" max="10249" width="10.42578125" style="130"/>
    <col min="10250" max="10250" width="15.42578125" style="130" customWidth="1"/>
    <col min="10251" max="10251" width="10.42578125" style="130"/>
    <col min="10252" max="10252" width="13.5703125" style="130" customWidth="1"/>
    <col min="10253" max="10498" width="10.42578125" style="130"/>
    <col min="10499" max="10499" width="33.140625" style="130" customWidth="1"/>
    <col min="10500" max="10500" width="10.42578125" style="130"/>
    <col min="10501" max="10501" width="17.42578125" style="130" customWidth="1"/>
    <col min="10502" max="10502" width="15.140625" style="130" customWidth="1"/>
    <col min="10503" max="10503" width="17.140625" style="130" customWidth="1"/>
    <col min="10504" max="10505" width="10.42578125" style="130"/>
    <col min="10506" max="10506" width="15.42578125" style="130" customWidth="1"/>
    <col min="10507" max="10507" width="10.42578125" style="130"/>
    <col min="10508" max="10508" width="13.5703125" style="130" customWidth="1"/>
    <col min="10509" max="10754" width="10.42578125" style="130"/>
    <col min="10755" max="10755" width="33.140625" style="130" customWidth="1"/>
    <col min="10756" max="10756" width="10.42578125" style="130"/>
    <col min="10757" max="10757" width="17.42578125" style="130" customWidth="1"/>
    <col min="10758" max="10758" width="15.140625" style="130" customWidth="1"/>
    <col min="10759" max="10759" width="17.140625" style="130" customWidth="1"/>
    <col min="10760" max="10761" width="10.42578125" style="130"/>
    <col min="10762" max="10762" width="15.42578125" style="130" customWidth="1"/>
    <col min="10763" max="10763" width="10.42578125" style="130"/>
    <col min="10764" max="10764" width="13.5703125" style="130" customWidth="1"/>
    <col min="10765" max="11010" width="10.42578125" style="130"/>
    <col min="11011" max="11011" width="33.140625" style="130" customWidth="1"/>
    <col min="11012" max="11012" width="10.42578125" style="130"/>
    <col min="11013" max="11013" width="17.42578125" style="130" customWidth="1"/>
    <col min="11014" max="11014" width="15.140625" style="130" customWidth="1"/>
    <col min="11015" max="11015" width="17.140625" style="130" customWidth="1"/>
    <col min="11016" max="11017" width="10.42578125" style="130"/>
    <col min="11018" max="11018" width="15.42578125" style="130" customWidth="1"/>
    <col min="11019" max="11019" width="10.42578125" style="130"/>
    <col min="11020" max="11020" width="13.5703125" style="130" customWidth="1"/>
    <col min="11021" max="11266" width="10.42578125" style="130"/>
    <col min="11267" max="11267" width="33.140625" style="130" customWidth="1"/>
    <col min="11268" max="11268" width="10.42578125" style="130"/>
    <col min="11269" max="11269" width="17.42578125" style="130" customWidth="1"/>
    <col min="11270" max="11270" width="15.140625" style="130" customWidth="1"/>
    <col min="11271" max="11271" width="17.140625" style="130" customWidth="1"/>
    <col min="11272" max="11273" width="10.42578125" style="130"/>
    <col min="11274" max="11274" width="15.42578125" style="130" customWidth="1"/>
    <col min="11275" max="11275" width="10.42578125" style="130"/>
    <col min="11276" max="11276" width="13.5703125" style="130" customWidth="1"/>
    <col min="11277" max="11522" width="10.42578125" style="130"/>
    <col min="11523" max="11523" width="33.140625" style="130" customWidth="1"/>
    <col min="11524" max="11524" width="10.42578125" style="130"/>
    <col min="11525" max="11525" width="17.42578125" style="130" customWidth="1"/>
    <col min="11526" max="11526" width="15.140625" style="130" customWidth="1"/>
    <col min="11527" max="11527" width="17.140625" style="130" customWidth="1"/>
    <col min="11528" max="11529" width="10.42578125" style="130"/>
    <col min="11530" max="11530" width="15.42578125" style="130" customWidth="1"/>
    <col min="11531" max="11531" width="10.42578125" style="130"/>
    <col min="11532" max="11532" width="13.5703125" style="130" customWidth="1"/>
    <col min="11533" max="11778" width="10.42578125" style="130"/>
    <col min="11779" max="11779" width="33.140625" style="130" customWidth="1"/>
    <col min="11780" max="11780" width="10.42578125" style="130"/>
    <col min="11781" max="11781" width="17.42578125" style="130" customWidth="1"/>
    <col min="11782" max="11782" width="15.140625" style="130" customWidth="1"/>
    <col min="11783" max="11783" width="17.140625" style="130" customWidth="1"/>
    <col min="11784" max="11785" width="10.42578125" style="130"/>
    <col min="11786" max="11786" width="15.42578125" style="130" customWidth="1"/>
    <col min="11787" max="11787" width="10.42578125" style="130"/>
    <col min="11788" max="11788" width="13.5703125" style="130" customWidth="1"/>
    <col min="11789" max="12034" width="10.42578125" style="130"/>
    <col min="12035" max="12035" width="33.140625" style="130" customWidth="1"/>
    <col min="12036" max="12036" width="10.42578125" style="130"/>
    <col min="12037" max="12037" width="17.42578125" style="130" customWidth="1"/>
    <col min="12038" max="12038" width="15.140625" style="130" customWidth="1"/>
    <col min="12039" max="12039" width="17.140625" style="130" customWidth="1"/>
    <col min="12040" max="12041" width="10.42578125" style="130"/>
    <col min="12042" max="12042" width="15.42578125" style="130" customWidth="1"/>
    <col min="12043" max="12043" width="10.42578125" style="130"/>
    <col min="12044" max="12044" width="13.5703125" style="130" customWidth="1"/>
    <col min="12045" max="12290" width="10.42578125" style="130"/>
    <col min="12291" max="12291" width="33.140625" style="130" customWidth="1"/>
    <col min="12292" max="12292" width="10.42578125" style="130"/>
    <col min="12293" max="12293" width="17.42578125" style="130" customWidth="1"/>
    <col min="12294" max="12294" width="15.140625" style="130" customWidth="1"/>
    <col min="12295" max="12295" width="17.140625" style="130" customWidth="1"/>
    <col min="12296" max="12297" width="10.42578125" style="130"/>
    <col min="12298" max="12298" width="15.42578125" style="130" customWidth="1"/>
    <col min="12299" max="12299" width="10.42578125" style="130"/>
    <col min="12300" max="12300" width="13.5703125" style="130" customWidth="1"/>
    <col min="12301" max="12546" width="10.42578125" style="130"/>
    <col min="12547" max="12547" width="33.140625" style="130" customWidth="1"/>
    <col min="12548" max="12548" width="10.42578125" style="130"/>
    <col min="12549" max="12549" width="17.42578125" style="130" customWidth="1"/>
    <col min="12550" max="12550" width="15.140625" style="130" customWidth="1"/>
    <col min="12551" max="12551" width="17.140625" style="130" customWidth="1"/>
    <col min="12552" max="12553" width="10.42578125" style="130"/>
    <col min="12554" max="12554" width="15.42578125" style="130" customWidth="1"/>
    <col min="12555" max="12555" width="10.42578125" style="130"/>
    <col min="12556" max="12556" width="13.5703125" style="130" customWidth="1"/>
    <col min="12557" max="12802" width="10.42578125" style="130"/>
    <col min="12803" max="12803" width="33.140625" style="130" customWidth="1"/>
    <col min="12804" max="12804" width="10.42578125" style="130"/>
    <col min="12805" max="12805" width="17.42578125" style="130" customWidth="1"/>
    <col min="12806" max="12806" width="15.140625" style="130" customWidth="1"/>
    <col min="12807" max="12807" width="17.140625" style="130" customWidth="1"/>
    <col min="12808" max="12809" width="10.42578125" style="130"/>
    <col min="12810" max="12810" width="15.42578125" style="130" customWidth="1"/>
    <col min="12811" max="12811" width="10.42578125" style="130"/>
    <col min="12812" max="12812" width="13.5703125" style="130" customWidth="1"/>
    <col min="12813" max="13058" width="10.42578125" style="130"/>
    <col min="13059" max="13059" width="33.140625" style="130" customWidth="1"/>
    <col min="13060" max="13060" width="10.42578125" style="130"/>
    <col min="13061" max="13061" width="17.42578125" style="130" customWidth="1"/>
    <col min="13062" max="13062" width="15.140625" style="130" customWidth="1"/>
    <col min="13063" max="13063" width="17.140625" style="130" customWidth="1"/>
    <col min="13064" max="13065" width="10.42578125" style="130"/>
    <col min="13066" max="13066" width="15.42578125" style="130" customWidth="1"/>
    <col min="13067" max="13067" width="10.42578125" style="130"/>
    <col min="13068" max="13068" width="13.5703125" style="130" customWidth="1"/>
    <col min="13069" max="13314" width="10.42578125" style="130"/>
    <col min="13315" max="13315" width="33.140625" style="130" customWidth="1"/>
    <col min="13316" max="13316" width="10.42578125" style="130"/>
    <col min="13317" max="13317" width="17.42578125" style="130" customWidth="1"/>
    <col min="13318" max="13318" width="15.140625" style="130" customWidth="1"/>
    <col min="13319" max="13319" width="17.140625" style="130" customWidth="1"/>
    <col min="13320" max="13321" width="10.42578125" style="130"/>
    <col min="13322" max="13322" width="15.42578125" style="130" customWidth="1"/>
    <col min="13323" max="13323" width="10.42578125" style="130"/>
    <col min="13324" max="13324" width="13.5703125" style="130" customWidth="1"/>
    <col min="13325" max="13570" width="10.42578125" style="130"/>
    <col min="13571" max="13571" width="33.140625" style="130" customWidth="1"/>
    <col min="13572" max="13572" width="10.42578125" style="130"/>
    <col min="13573" max="13573" width="17.42578125" style="130" customWidth="1"/>
    <col min="13574" max="13574" width="15.140625" style="130" customWidth="1"/>
    <col min="13575" max="13575" width="17.140625" style="130" customWidth="1"/>
    <col min="13576" max="13577" width="10.42578125" style="130"/>
    <col min="13578" max="13578" width="15.42578125" style="130" customWidth="1"/>
    <col min="13579" max="13579" width="10.42578125" style="130"/>
    <col min="13580" max="13580" width="13.5703125" style="130" customWidth="1"/>
    <col min="13581" max="13826" width="10.42578125" style="130"/>
    <col min="13827" max="13827" width="33.140625" style="130" customWidth="1"/>
    <col min="13828" max="13828" width="10.42578125" style="130"/>
    <col min="13829" max="13829" width="17.42578125" style="130" customWidth="1"/>
    <col min="13830" max="13830" width="15.140625" style="130" customWidth="1"/>
    <col min="13831" max="13831" width="17.140625" style="130" customWidth="1"/>
    <col min="13832" max="13833" width="10.42578125" style="130"/>
    <col min="13834" max="13834" width="15.42578125" style="130" customWidth="1"/>
    <col min="13835" max="13835" width="10.42578125" style="130"/>
    <col min="13836" max="13836" width="13.5703125" style="130" customWidth="1"/>
    <col min="13837" max="14082" width="10.42578125" style="130"/>
    <col min="14083" max="14083" width="33.140625" style="130" customWidth="1"/>
    <col min="14084" max="14084" width="10.42578125" style="130"/>
    <col min="14085" max="14085" width="17.42578125" style="130" customWidth="1"/>
    <col min="14086" max="14086" width="15.140625" style="130" customWidth="1"/>
    <col min="14087" max="14087" width="17.140625" style="130" customWidth="1"/>
    <col min="14088" max="14089" width="10.42578125" style="130"/>
    <col min="14090" max="14090" width="15.42578125" style="130" customWidth="1"/>
    <col min="14091" max="14091" width="10.42578125" style="130"/>
    <col min="14092" max="14092" width="13.5703125" style="130" customWidth="1"/>
    <col min="14093" max="14338" width="10.42578125" style="130"/>
    <col min="14339" max="14339" width="33.140625" style="130" customWidth="1"/>
    <col min="14340" max="14340" width="10.42578125" style="130"/>
    <col min="14341" max="14341" width="17.42578125" style="130" customWidth="1"/>
    <col min="14342" max="14342" width="15.140625" style="130" customWidth="1"/>
    <col min="14343" max="14343" width="17.140625" style="130" customWidth="1"/>
    <col min="14344" max="14345" width="10.42578125" style="130"/>
    <col min="14346" max="14346" width="15.42578125" style="130" customWidth="1"/>
    <col min="14347" max="14347" width="10.42578125" style="130"/>
    <col min="14348" max="14348" width="13.5703125" style="130" customWidth="1"/>
    <col min="14349" max="14594" width="10.42578125" style="130"/>
    <col min="14595" max="14595" width="33.140625" style="130" customWidth="1"/>
    <col min="14596" max="14596" width="10.42578125" style="130"/>
    <col min="14597" max="14597" width="17.42578125" style="130" customWidth="1"/>
    <col min="14598" max="14598" width="15.140625" style="130" customWidth="1"/>
    <col min="14599" max="14599" width="17.140625" style="130" customWidth="1"/>
    <col min="14600" max="14601" width="10.42578125" style="130"/>
    <col min="14602" max="14602" width="15.42578125" style="130" customWidth="1"/>
    <col min="14603" max="14603" width="10.42578125" style="130"/>
    <col min="14604" max="14604" width="13.5703125" style="130" customWidth="1"/>
    <col min="14605" max="14850" width="10.42578125" style="130"/>
    <col min="14851" max="14851" width="33.140625" style="130" customWidth="1"/>
    <col min="14852" max="14852" width="10.42578125" style="130"/>
    <col min="14853" max="14853" width="17.42578125" style="130" customWidth="1"/>
    <col min="14854" max="14854" width="15.140625" style="130" customWidth="1"/>
    <col min="14855" max="14855" width="17.140625" style="130" customWidth="1"/>
    <col min="14856" max="14857" width="10.42578125" style="130"/>
    <col min="14858" max="14858" width="15.42578125" style="130" customWidth="1"/>
    <col min="14859" max="14859" width="10.42578125" style="130"/>
    <col min="14860" max="14860" width="13.5703125" style="130" customWidth="1"/>
    <col min="14861" max="15106" width="10.42578125" style="130"/>
    <col min="15107" max="15107" width="33.140625" style="130" customWidth="1"/>
    <col min="15108" max="15108" width="10.42578125" style="130"/>
    <col min="15109" max="15109" width="17.42578125" style="130" customWidth="1"/>
    <col min="15110" max="15110" width="15.140625" style="130" customWidth="1"/>
    <col min="15111" max="15111" width="17.140625" style="130" customWidth="1"/>
    <col min="15112" max="15113" width="10.42578125" style="130"/>
    <col min="15114" max="15114" width="15.42578125" style="130" customWidth="1"/>
    <col min="15115" max="15115" width="10.42578125" style="130"/>
    <col min="15116" max="15116" width="13.5703125" style="130" customWidth="1"/>
    <col min="15117" max="15362" width="10.42578125" style="130"/>
    <col min="15363" max="15363" width="33.140625" style="130" customWidth="1"/>
    <col min="15364" max="15364" width="10.42578125" style="130"/>
    <col min="15365" max="15365" width="17.42578125" style="130" customWidth="1"/>
    <col min="15366" max="15366" width="15.140625" style="130" customWidth="1"/>
    <col min="15367" max="15367" width="17.140625" style="130" customWidth="1"/>
    <col min="15368" max="15369" width="10.42578125" style="130"/>
    <col min="15370" max="15370" width="15.42578125" style="130" customWidth="1"/>
    <col min="15371" max="15371" width="10.42578125" style="130"/>
    <col min="15372" max="15372" width="13.5703125" style="130" customWidth="1"/>
    <col min="15373" max="15618" width="10.42578125" style="130"/>
    <col min="15619" max="15619" width="33.140625" style="130" customWidth="1"/>
    <col min="15620" max="15620" width="10.42578125" style="130"/>
    <col min="15621" max="15621" width="17.42578125" style="130" customWidth="1"/>
    <col min="15622" max="15622" width="15.140625" style="130" customWidth="1"/>
    <col min="15623" max="15623" width="17.140625" style="130" customWidth="1"/>
    <col min="15624" max="15625" width="10.42578125" style="130"/>
    <col min="15626" max="15626" width="15.42578125" style="130" customWidth="1"/>
    <col min="15627" max="15627" width="10.42578125" style="130"/>
    <col min="15628" max="15628" width="13.5703125" style="130" customWidth="1"/>
    <col min="15629" max="15874" width="10.42578125" style="130"/>
    <col min="15875" max="15875" width="33.140625" style="130" customWidth="1"/>
    <col min="15876" max="15876" width="10.42578125" style="130"/>
    <col min="15877" max="15877" width="17.42578125" style="130" customWidth="1"/>
    <col min="15878" max="15878" width="15.140625" style="130" customWidth="1"/>
    <col min="15879" max="15879" width="17.140625" style="130" customWidth="1"/>
    <col min="15880" max="15881" width="10.42578125" style="130"/>
    <col min="15882" max="15882" width="15.42578125" style="130" customWidth="1"/>
    <col min="15883" max="15883" width="10.42578125" style="130"/>
    <col min="15884" max="15884" width="13.5703125" style="130" customWidth="1"/>
    <col min="15885" max="16130" width="10.42578125" style="130"/>
    <col min="16131" max="16131" width="33.140625" style="130" customWidth="1"/>
    <col min="16132" max="16132" width="10.42578125" style="130"/>
    <col min="16133" max="16133" width="17.42578125" style="130" customWidth="1"/>
    <col min="16134" max="16134" width="15.140625" style="130" customWidth="1"/>
    <col min="16135" max="16135" width="17.140625" style="130" customWidth="1"/>
    <col min="16136" max="16137" width="10.42578125" style="130"/>
    <col min="16138" max="16138" width="15.42578125" style="130" customWidth="1"/>
    <col min="16139" max="16139" width="10.42578125" style="130"/>
    <col min="16140" max="16140" width="13.5703125" style="130" customWidth="1"/>
    <col min="16141" max="16384" width="10.42578125" style="130"/>
  </cols>
  <sheetData>
    <row r="1" spans="2:8" x14ac:dyDescent="0.2">
      <c r="B1" s="1233"/>
      <c r="C1" s="1234"/>
      <c r="D1" s="2726"/>
      <c r="E1" s="2564"/>
      <c r="F1" s="2563"/>
      <c r="G1" s="2562"/>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ht="15" customHeight="1" x14ac:dyDescent="0.2">
      <c r="B4" s="756" t="s">
        <v>7</v>
      </c>
      <c r="C4" s="2724" t="s">
        <v>1114</v>
      </c>
      <c r="D4" s="1235"/>
      <c r="E4" s="1236"/>
      <c r="F4" s="1237"/>
      <c r="G4" s="760"/>
    </row>
    <row r="5" spans="2:8" x14ac:dyDescent="0.2">
      <c r="B5" s="761"/>
      <c r="C5" s="767"/>
      <c r="D5" s="768"/>
      <c r="E5" s="769"/>
      <c r="F5" s="770"/>
      <c r="G5" s="766"/>
    </row>
    <row r="6" spans="2:8" ht="15" x14ac:dyDescent="0.2">
      <c r="B6" s="1238" t="s">
        <v>80</v>
      </c>
      <c r="C6" s="2724" t="s">
        <v>1561</v>
      </c>
      <c r="D6" s="1235"/>
      <c r="E6" s="1236"/>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G45</f>
        <v>0</v>
      </c>
    </row>
    <row r="16" spans="2:8" x14ac:dyDescent="0.2">
      <c r="B16" s="792" t="s">
        <v>12</v>
      </c>
      <c r="C16" s="793" t="s">
        <v>86</v>
      </c>
      <c r="D16" s="794"/>
      <c r="E16" s="795"/>
      <c r="F16" s="796"/>
      <c r="G16" s="797">
        <f>G103</f>
        <v>0</v>
      </c>
    </row>
    <row r="17" spans="2:7" x14ac:dyDescent="0.2">
      <c r="B17" s="792" t="s">
        <v>17</v>
      </c>
      <c r="C17" s="793" t="s">
        <v>87</v>
      </c>
      <c r="D17" s="794"/>
      <c r="E17" s="795"/>
      <c r="F17" s="796"/>
      <c r="G17" s="797">
        <f>G250</f>
        <v>0</v>
      </c>
    </row>
    <row r="18" spans="2:7" ht="19.5" customHeight="1" x14ac:dyDescent="0.2">
      <c r="B18" s="2830"/>
      <c r="C18" s="2831" t="s">
        <v>88</v>
      </c>
      <c r="D18" s="2832"/>
      <c r="E18" s="2833"/>
      <c r="F18" s="2834"/>
      <c r="G18" s="2844">
        <f>SUM(G15:G17)</f>
        <v>0</v>
      </c>
    </row>
    <row r="19" spans="2:7" x14ac:dyDescent="0.2">
      <c r="B19" s="1233"/>
      <c r="C19" s="1234"/>
      <c r="D19" s="2548"/>
      <c r="E19" s="2549"/>
      <c r="F19" s="2445"/>
      <c r="G19" s="2446"/>
    </row>
    <row r="21" spans="2:7" x14ac:dyDescent="0.2">
      <c r="B21" s="2841" t="s">
        <v>83</v>
      </c>
      <c r="C21" s="2842" t="s">
        <v>89</v>
      </c>
      <c r="D21" s="2843" t="s">
        <v>90</v>
      </c>
      <c r="E21" s="2838" t="s">
        <v>91</v>
      </c>
      <c r="F21" s="2839" t="s">
        <v>92</v>
      </c>
      <c r="G21" s="2840" t="s">
        <v>93</v>
      </c>
    </row>
    <row r="22" spans="2:7" x14ac:dyDescent="0.2">
      <c r="B22" s="811"/>
      <c r="C22" s="812"/>
      <c r="D22" s="813"/>
      <c r="E22" s="814"/>
      <c r="F22" s="815"/>
      <c r="G22" s="816"/>
    </row>
    <row r="23" spans="2:7" ht="20.25" x14ac:dyDescent="0.2">
      <c r="B23" s="817" t="s">
        <v>10</v>
      </c>
      <c r="C23" s="818" t="s">
        <v>85</v>
      </c>
      <c r="D23" s="819"/>
      <c r="E23" s="820"/>
      <c r="F23" s="821"/>
      <c r="G23" s="822"/>
    </row>
    <row r="25" spans="2:7" ht="38.25" x14ac:dyDescent="0.2">
      <c r="B25" s="829">
        <v>1.1000000000000001</v>
      </c>
      <c r="C25" s="830" t="s">
        <v>94</v>
      </c>
      <c r="D25" s="831" t="s">
        <v>95</v>
      </c>
      <c r="E25" s="832">
        <v>2387</v>
      </c>
      <c r="F25" s="833">
        <v>0</v>
      </c>
      <c r="G25" s="834">
        <f>E25*F25</f>
        <v>0</v>
      </c>
    </row>
    <row r="26" spans="2:7" x14ac:dyDescent="0.2">
      <c r="B26" s="829"/>
      <c r="C26" s="830"/>
      <c r="D26" s="831"/>
      <c r="E26" s="832"/>
      <c r="F26" s="833"/>
      <c r="G26" s="834"/>
    </row>
    <row r="27" spans="2:7" ht="25.5" x14ac:dyDescent="0.2">
      <c r="B27" s="829">
        <v>1.2</v>
      </c>
      <c r="C27" s="830" t="s">
        <v>96</v>
      </c>
      <c r="D27" s="2521" t="s">
        <v>123</v>
      </c>
      <c r="E27" s="2242">
        <v>68</v>
      </c>
      <c r="F27" s="834">
        <v>0</v>
      </c>
      <c r="G27" s="2522">
        <f>F27*E27</f>
        <v>0</v>
      </c>
    </row>
    <row r="28" spans="2:7" x14ac:dyDescent="0.2">
      <c r="B28" s="835"/>
      <c r="C28" s="887"/>
      <c r="D28" s="865"/>
      <c r="E28" s="2242"/>
      <c r="F28" s="834"/>
      <c r="G28" s="2522"/>
    </row>
    <row r="29" spans="2:7" ht="184.5" customHeight="1" x14ac:dyDescent="0.2">
      <c r="B29" s="861" t="s">
        <v>633</v>
      </c>
      <c r="C29" s="836" t="s">
        <v>99</v>
      </c>
      <c r="D29" s="2121" t="s">
        <v>123</v>
      </c>
      <c r="E29" s="2242">
        <v>1</v>
      </c>
      <c r="F29" s="833">
        <v>0</v>
      </c>
      <c r="G29" s="834">
        <f>E29*F29</f>
        <v>0</v>
      </c>
    </row>
    <row r="30" spans="2:7" x14ac:dyDescent="0.2">
      <c r="B30" s="861"/>
      <c r="C30" s="887"/>
      <c r="D30" s="865"/>
      <c r="E30" s="2242"/>
      <c r="F30" s="834"/>
      <c r="G30" s="2522"/>
    </row>
    <row r="31" spans="2:7" ht="63.75" x14ac:dyDescent="0.2">
      <c r="B31" s="861" t="s">
        <v>641</v>
      </c>
      <c r="C31" s="887" t="s">
        <v>97</v>
      </c>
      <c r="D31" s="2121" t="s">
        <v>123</v>
      </c>
      <c r="E31" s="2242">
        <v>1</v>
      </c>
      <c r="F31" s="833">
        <v>0</v>
      </c>
      <c r="G31" s="834">
        <f>E31*F31</f>
        <v>0</v>
      </c>
    </row>
    <row r="32" spans="2:7" x14ac:dyDescent="0.2">
      <c r="B32" s="835"/>
      <c r="C32" s="887"/>
      <c r="D32" s="2521"/>
      <c r="E32" s="2242"/>
      <c r="F32" s="834"/>
      <c r="G32" s="2522"/>
    </row>
    <row r="33" spans="2:7" ht="25.5" x14ac:dyDescent="0.2">
      <c r="B33" s="861" t="s">
        <v>653</v>
      </c>
      <c r="C33" s="887" t="s">
        <v>1136</v>
      </c>
      <c r="D33" s="865" t="s">
        <v>123</v>
      </c>
      <c r="E33" s="2242">
        <v>1</v>
      </c>
      <c r="F33" s="833">
        <v>0</v>
      </c>
      <c r="G33" s="834">
        <f>E33*F33</f>
        <v>0</v>
      </c>
    </row>
    <row r="34" spans="2:7" x14ac:dyDescent="0.2">
      <c r="B34" s="861"/>
      <c r="C34" s="887"/>
      <c r="D34" s="865"/>
      <c r="E34" s="2242"/>
      <c r="F34" s="834"/>
      <c r="G34" s="2522"/>
    </row>
    <row r="35" spans="2:7" ht="38.25" x14ac:dyDescent="0.2">
      <c r="B35" s="861" t="s">
        <v>664</v>
      </c>
      <c r="C35" s="887" t="s">
        <v>100</v>
      </c>
      <c r="D35" s="865" t="s">
        <v>123</v>
      </c>
      <c r="E35" s="2242">
        <v>1</v>
      </c>
      <c r="F35" s="833">
        <v>0</v>
      </c>
      <c r="G35" s="834">
        <f>E35*F35</f>
        <v>0</v>
      </c>
    </row>
    <row r="36" spans="2:7" x14ac:dyDescent="0.2">
      <c r="B36" s="861"/>
      <c r="C36" s="887"/>
      <c r="D36" s="865"/>
      <c r="E36" s="2242"/>
      <c r="F36" s="834"/>
      <c r="G36" s="2522"/>
    </row>
    <row r="37" spans="2:7" ht="38.25" x14ac:dyDescent="0.2">
      <c r="B37" s="861" t="s">
        <v>678</v>
      </c>
      <c r="C37" s="862" t="s">
        <v>1137</v>
      </c>
      <c r="D37" s="865" t="s">
        <v>123</v>
      </c>
      <c r="E37" s="2242">
        <v>1</v>
      </c>
      <c r="F37" s="833">
        <v>0</v>
      </c>
      <c r="G37" s="834">
        <f>E37*F37</f>
        <v>0</v>
      </c>
    </row>
    <row r="38" spans="2:7" x14ac:dyDescent="0.2">
      <c r="B38" s="861"/>
      <c r="C38" s="862"/>
      <c r="D38" s="865"/>
      <c r="E38" s="2242"/>
      <c r="F38" s="2523"/>
      <c r="G38" s="2522"/>
    </row>
    <row r="39" spans="2:7" ht="36" x14ac:dyDescent="0.2">
      <c r="B39" s="861" t="s">
        <v>688</v>
      </c>
      <c r="C39" s="3165" t="s">
        <v>2590</v>
      </c>
      <c r="D39" s="865" t="s">
        <v>95</v>
      </c>
      <c r="E39" s="832">
        <v>2387</v>
      </c>
      <c r="F39" s="833">
        <v>0</v>
      </c>
      <c r="G39" s="834">
        <f>E39*F39</f>
        <v>0</v>
      </c>
    </row>
    <row r="40" spans="2:7" x14ac:dyDescent="0.2">
      <c r="B40" s="861"/>
      <c r="C40" s="864"/>
      <c r="D40" s="865"/>
      <c r="E40" s="832"/>
      <c r="F40" s="834"/>
      <c r="G40" s="2522"/>
    </row>
    <row r="41" spans="2:7" ht="36" x14ac:dyDescent="0.2">
      <c r="B41" s="861" t="s">
        <v>1199</v>
      </c>
      <c r="C41" s="3165" t="s">
        <v>2591</v>
      </c>
      <c r="D41" s="865" t="s">
        <v>98</v>
      </c>
      <c r="E41" s="832">
        <v>1</v>
      </c>
      <c r="F41" s="833">
        <v>0</v>
      </c>
      <c r="G41" s="834">
        <f>E41*F41</f>
        <v>0</v>
      </c>
    </row>
    <row r="42" spans="2:7" x14ac:dyDescent="0.2">
      <c r="B42" s="861"/>
      <c r="C42" s="864"/>
      <c r="D42" s="865"/>
      <c r="E42" s="832"/>
      <c r="F42" s="834"/>
      <c r="G42" s="2522"/>
    </row>
    <row r="43" spans="2:7" ht="25.5" x14ac:dyDescent="0.2">
      <c r="B43" s="861" t="s">
        <v>1201</v>
      </c>
      <c r="C43" s="864" t="s">
        <v>105</v>
      </c>
      <c r="D43" s="865" t="s">
        <v>98</v>
      </c>
      <c r="E43" s="832">
        <v>1</v>
      </c>
      <c r="F43" s="833">
        <v>0</v>
      </c>
      <c r="G43" s="834">
        <f>E43*F43</f>
        <v>0</v>
      </c>
    </row>
    <row r="44" spans="2:7" x14ac:dyDescent="0.2">
      <c r="B44" s="1242"/>
      <c r="C44" s="1243"/>
      <c r="D44" s="2550"/>
      <c r="E44" s="2551"/>
      <c r="F44" s="2552"/>
      <c r="G44" s="2553"/>
    </row>
    <row r="45" spans="2:7" x14ac:dyDescent="0.2">
      <c r="B45" s="872" t="s">
        <v>10</v>
      </c>
      <c r="C45" s="873" t="s">
        <v>108</v>
      </c>
      <c r="D45" s="873"/>
      <c r="E45" s="874"/>
      <c r="F45" s="875"/>
      <c r="G45" s="876">
        <f>SUM(G25:G43)</f>
        <v>0</v>
      </c>
    </row>
    <row r="49" spans="2:10" x14ac:dyDescent="0.2">
      <c r="B49" s="805" t="s">
        <v>83</v>
      </c>
      <c r="C49" s="806" t="s">
        <v>89</v>
      </c>
      <c r="D49" s="807" t="s">
        <v>90</v>
      </c>
      <c r="E49" s="808" t="s">
        <v>91</v>
      </c>
      <c r="F49" s="809" t="s">
        <v>92</v>
      </c>
      <c r="G49" s="810" t="s">
        <v>93</v>
      </c>
    </row>
    <row r="50" spans="2:10" x14ac:dyDescent="0.2">
      <c r="B50" s="811"/>
      <c r="C50" s="877"/>
      <c r="D50" s="878"/>
      <c r="E50" s="814"/>
      <c r="F50" s="815"/>
      <c r="G50" s="816"/>
    </row>
    <row r="51" spans="2:10" ht="20.25" x14ac:dyDescent="0.3">
      <c r="B51" s="817" t="s">
        <v>12</v>
      </c>
      <c r="C51" s="879" t="s">
        <v>109</v>
      </c>
      <c r="D51" s="880"/>
      <c r="E51" s="820"/>
      <c r="F51" s="821"/>
      <c r="G51" s="822"/>
    </row>
    <row r="52" spans="2:10" ht="76.5" customHeight="1" x14ac:dyDescent="0.2">
      <c r="B52" s="3233" t="s">
        <v>110</v>
      </c>
      <c r="C52" s="3234"/>
      <c r="D52" s="3234"/>
      <c r="E52" s="3234"/>
      <c r="F52" s="3234"/>
      <c r="G52" s="3235"/>
    </row>
    <row r="53" spans="2:10" x14ac:dyDescent="0.2">
      <c r="B53" s="1248"/>
      <c r="C53" s="1249"/>
      <c r="D53" s="2565"/>
      <c r="E53" s="2566"/>
      <c r="F53" s="2567"/>
      <c r="G53" s="2568"/>
    </row>
    <row r="54" spans="2:10" ht="51" x14ac:dyDescent="0.2">
      <c r="B54" s="835">
        <v>2.1</v>
      </c>
      <c r="C54" s="887" t="s">
        <v>1562</v>
      </c>
      <c r="D54" s="2521" t="s">
        <v>1207</v>
      </c>
      <c r="E54" s="2561">
        <v>350.89</v>
      </c>
      <c r="F54" s="833">
        <v>0</v>
      </c>
      <c r="G54" s="834">
        <f>E54*F54</f>
        <v>0</v>
      </c>
    </row>
    <row r="55" spans="2:10" ht="12.75" customHeight="1" x14ac:dyDescent="0.2">
      <c r="B55" s="829"/>
      <c r="C55" s="1253"/>
      <c r="D55" s="2521"/>
      <c r="E55" s="2242"/>
      <c r="F55" s="834"/>
      <c r="G55" s="2522"/>
    </row>
    <row r="56" spans="2:10" ht="51" x14ac:dyDescent="0.2">
      <c r="B56" s="835">
        <v>2.2000000000000002</v>
      </c>
      <c r="C56" s="887" t="s">
        <v>1563</v>
      </c>
      <c r="D56" s="865" t="s">
        <v>112</v>
      </c>
      <c r="E56" s="2569">
        <v>1988.37</v>
      </c>
      <c r="F56" s="833">
        <v>0</v>
      </c>
      <c r="G56" s="834">
        <f>E56*F56</f>
        <v>0</v>
      </c>
      <c r="I56" s="852"/>
      <c r="J56" s="923"/>
    </row>
    <row r="57" spans="2:10" ht="12.75" customHeight="1" x14ac:dyDescent="0.2">
      <c r="B57" s="829"/>
      <c r="C57" s="887"/>
      <c r="D57" s="865"/>
      <c r="E57" s="2242"/>
      <c r="F57" s="834"/>
      <c r="G57" s="2522"/>
      <c r="I57" s="852"/>
    </row>
    <row r="58" spans="2:10" ht="38.25" x14ac:dyDescent="0.2">
      <c r="B58" s="835" t="s">
        <v>1564</v>
      </c>
      <c r="C58" s="1254" t="s">
        <v>1211</v>
      </c>
      <c r="D58" s="2230" t="s">
        <v>117</v>
      </c>
      <c r="E58" s="2525">
        <v>2005.08</v>
      </c>
      <c r="F58" s="833">
        <v>0</v>
      </c>
      <c r="G58" s="834">
        <f>E58*F58</f>
        <v>0</v>
      </c>
      <c r="I58" s="1256"/>
    </row>
    <row r="59" spans="2:10" x14ac:dyDescent="0.2">
      <c r="B59" s="829"/>
      <c r="C59" s="887"/>
      <c r="D59" s="865"/>
      <c r="E59" s="2242"/>
      <c r="F59" s="833"/>
      <c r="G59" s="2522"/>
      <c r="I59" s="852"/>
    </row>
    <row r="60" spans="2:10" ht="25.5" x14ac:dyDescent="0.2">
      <c r="B60" s="835" t="s">
        <v>1565</v>
      </c>
      <c r="C60" s="887" t="s">
        <v>1212</v>
      </c>
      <c r="D60" s="865" t="s">
        <v>1213</v>
      </c>
      <c r="E60" s="2570">
        <v>1670.9</v>
      </c>
      <c r="F60" s="833">
        <v>0</v>
      </c>
      <c r="G60" s="834">
        <f>E60*F60</f>
        <v>0</v>
      </c>
      <c r="I60" s="852"/>
    </row>
    <row r="61" spans="2:10" x14ac:dyDescent="0.2">
      <c r="B61" s="835"/>
      <c r="C61" s="887"/>
      <c r="D61" s="2521"/>
      <c r="E61" s="2525"/>
      <c r="F61" s="834"/>
      <c r="G61" s="2522"/>
      <c r="I61" s="852"/>
    </row>
    <row r="62" spans="2:10" ht="38.25" x14ac:dyDescent="0.2">
      <c r="B62" s="883" t="s">
        <v>1566</v>
      </c>
      <c r="C62" s="887" t="s">
        <v>1215</v>
      </c>
      <c r="D62" s="865" t="s">
        <v>1207</v>
      </c>
      <c r="E62" s="2525">
        <v>167.09</v>
      </c>
      <c r="F62" s="833">
        <v>0</v>
      </c>
      <c r="G62" s="834">
        <f>E62*F62</f>
        <v>0</v>
      </c>
      <c r="I62" s="852"/>
    </row>
    <row r="63" spans="2:10" x14ac:dyDescent="0.2">
      <c r="B63" s="835"/>
      <c r="C63" s="887"/>
      <c r="D63" s="2521"/>
      <c r="E63" s="2525"/>
      <c r="F63" s="833"/>
      <c r="G63" s="2522"/>
      <c r="I63" s="852"/>
    </row>
    <row r="64" spans="2:10" ht="27.75" customHeight="1" x14ac:dyDescent="0.2">
      <c r="B64" s="835" t="s">
        <v>1567</v>
      </c>
      <c r="C64" s="887" t="s">
        <v>1568</v>
      </c>
      <c r="D64" s="865" t="s">
        <v>1207</v>
      </c>
      <c r="E64" s="2570">
        <v>1002</v>
      </c>
      <c r="F64" s="833">
        <v>0</v>
      </c>
      <c r="G64" s="834">
        <f>E64*F64</f>
        <v>0</v>
      </c>
      <c r="I64" s="852"/>
    </row>
    <row r="65" spans="2:12" x14ac:dyDescent="0.2">
      <c r="B65" s="835"/>
      <c r="C65" s="887"/>
      <c r="D65" s="865"/>
      <c r="E65" s="2525"/>
      <c r="F65" s="833"/>
      <c r="G65" s="2522"/>
      <c r="L65" s="1257"/>
    </row>
    <row r="66" spans="2:12" ht="27.75" customHeight="1" x14ac:dyDescent="0.2">
      <c r="B66" s="835" t="s">
        <v>1569</v>
      </c>
      <c r="C66" s="887" t="s">
        <v>1217</v>
      </c>
      <c r="D66" s="865" t="s">
        <v>1207</v>
      </c>
      <c r="E66" s="2525">
        <v>501.27</v>
      </c>
      <c r="F66" s="833">
        <v>0</v>
      </c>
      <c r="G66" s="834">
        <f>E66*F66</f>
        <v>0</v>
      </c>
    </row>
    <row r="67" spans="2:12" x14ac:dyDescent="0.2">
      <c r="B67" s="835"/>
      <c r="C67" s="887"/>
      <c r="D67" s="865"/>
      <c r="E67" s="2242"/>
      <c r="F67" s="834"/>
      <c r="G67" s="2522"/>
    </row>
    <row r="68" spans="2:12" ht="63.75" x14ac:dyDescent="0.2">
      <c r="B68" s="835" t="s">
        <v>1570</v>
      </c>
      <c r="C68" s="890" t="s">
        <v>1218</v>
      </c>
      <c r="D68" s="2100" t="s">
        <v>1219</v>
      </c>
      <c r="E68" s="2525">
        <v>835.45</v>
      </c>
      <c r="F68" s="833">
        <v>0</v>
      </c>
      <c r="G68" s="834">
        <f>E68*F68</f>
        <v>0</v>
      </c>
    </row>
    <row r="69" spans="2:12" x14ac:dyDescent="0.2">
      <c r="B69" s="835"/>
      <c r="C69" s="887"/>
      <c r="D69" s="865"/>
      <c r="E69" s="2525"/>
      <c r="F69" s="833"/>
      <c r="G69" s="2522"/>
    </row>
    <row r="70" spans="2:12" ht="25.5" x14ac:dyDescent="0.2">
      <c r="B70" s="835" t="s">
        <v>1571</v>
      </c>
      <c r="C70" s="887" t="s">
        <v>1225</v>
      </c>
      <c r="D70" s="865" t="s">
        <v>1226</v>
      </c>
      <c r="E70" s="2570">
        <v>473</v>
      </c>
      <c r="F70" s="833">
        <v>0</v>
      </c>
      <c r="G70" s="834">
        <f>E70*F70</f>
        <v>0</v>
      </c>
    </row>
    <row r="71" spans="2:12" x14ac:dyDescent="0.2">
      <c r="B71" s="835"/>
      <c r="C71" s="887"/>
      <c r="D71" s="865"/>
      <c r="E71" s="2525"/>
      <c r="F71" s="833"/>
      <c r="G71" s="2522"/>
    </row>
    <row r="72" spans="2:12" ht="25.5" x14ac:dyDescent="0.2">
      <c r="B72" s="835" t="s">
        <v>1572</v>
      </c>
      <c r="C72" s="887" t="s">
        <v>1228</v>
      </c>
      <c r="D72" s="2521" t="s">
        <v>1213</v>
      </c>
      <c r="E72" s="2570">
        <v>275.10000000000002</v>
      </c>
      <c r="F72" s="833">
        <v>0</v>
      </c>
      <c r="G72" s="834">
        <f>E72*F72</f>
        <v>0</v>
      </c>
    </row>
    <row r="73" spans="2:12" x14ac:dyDescent="0.2">
      <c r="B73" s="835"/>
      <c r="C73" s="835"/>
      <c r="D73" s="2525"/>
      <c r="E73" s="2242"/>
      <c r="F73" s="834"/>
      <c r="G73" s="2522"/>
    </row>
    <row r="74" spans="2:12" ht="76.5" x14ac:dyDescent="0.2">
      <c r="B74" s="861" t="s">
        <v>1222</v>
      </c>
      <c r="C74" s="1253" t="s">
        <v>1573</v>
      </c>
      <c r="D74" s="2521" t="s">
        <v>1213</v>
      </c>
      <c r="E74" s="2242">
        <v>275.10000000000002</v>
      </c>
      <c r="F74" s="833">
        <v>0</v>
      </c>
      <c r="G74" s="834">
        <f>E74*F74</f>
        <v>0</v>
      </c>
    </row>
    <row r="75" spans="2:12" x14ac:dyDescent="0.2">
      <c r="B75" s="829"/>
      <c r="C75" s="835"/>
      <c r="D75" s="2525"/>
      <c r="E75" s="2242"/>
      <c r="F75" s="833"/>
      <c r="G75" s="2522"/>
    </row>
    <row r="76" spans="2:12" ht="41.25" customHeight="1" x14ac:dyDescent="0.2">
      <c r="B76" s="861" t="s">
        <v>1224</v>
      </c>
      <c r="C76" s="887" t="s">
        <v>1574</v>
      </c>
      <c r="D76" s="865" t="s">
        <v>1213</v>
      </c>
      <c r="E76" s="2242">
        <v>275.10000000000002</v>
      </c>
      <c r="F76" s="833">
        <v>0</v>
      </c>
      <c r="G76" s="834">
        <f>E76*F76</f>
        <v>0</v>
      </c>
    </row>
    <row r="77" spans="2:12" x14ac:dyDescent="0.2">
      <c r="B77" s="829"/>
      <c r="C77" s="887"/>
      <c r="D77" s="865"/>
      <c r="E77" s="2242"/>
      <c r="F77" s="834"/>
      <c r="G77" s="2522"/>
    </row>
    <row r="78" spans="2:12" ht="63.75" x14ac:dyDescent="0.2">
      <c r="B78" s="861" t="s">
        <v>1227</v>
      </c>
      <c r="C78" s="887" t="s">
        <v>1575</v>
      </c>
      <c r="D78" s="2521" t="s">
        <v>1213</v>
      </c>
      <c r="E78" s="2242">
        <v>110.04</v>
      </c>
      <c r="F78" s="833">
        <v>0</v>
      </c>
      <c r="G78" s="834">
        <f>E78*F78</f>
        <v>0</v>
      </c>
    </row>
    <row r="79" spans="2:12" x14ac:dyDescent="0.2">
      <c r="B79" s="835"/>
      <c r="C79" s="835"/>
      <c r="D79" s="2525"/>
      <c r="E79" s="2242"/>
      <c r="F79" s="833"/>
      <c r="G79" s="2522"/>
    </row>
    <row r="80" spans="2:12" ht="63.75" x14ac:dyDescent="0.2">
      <c r="B80" s="861" t="s">
        <v>1229</v>
      </c>
      <c r="C80" s="887" t="s">
        <v>1576</v>
      </c>
      <c r="D80" s="865" t="s">
        <v>1213</v>
      </c>
      <c r="E80" s="2525">
        <v>385.14</v>
      </c>
      <c r="F80" s="833">
        <v>0</v>
      </c>
      <c r="G80" s="834">
        <f>E80*F80</f>
        <v>0</v>
      </c>
    </row>
    <row r="81" spans="2:7" x14ac:dyDescent="0.2">
      <c r="B81" s="829"/>
      <c r="C81" s="887"/>
      <c r="D81" s="2521"/>
      <c r="E81" s="2525"/>
      <c r="F81" s="833"/>
      <c r="G81" s="2522"/>
    </row>
    <row r="82" spans="2:7" x14ac:dyDescent="0.2">
      <c r="B82" s="861" t="s">
        <v>1231</v>
      </c>
      <c r="C82" s="887" t="s">
        <v>1577</v>
      </c>
      <c r="D82" s="865" t="s">
        <v>112</v>
      </c>
      <c r="E82" s="2570">
        <v>1340</v>
      </c>
      <c r="F82" s="833">
        <v>0</v>
      </c>
      <c r="G82" s="834">
        <f>E82*F82</f>
        <v>0</v>
      </c>
    </row>
    <row r="83" spans="2:7" x14ac:dyDescent="0.2">
      <c r="B83" s="835"/>
      <c r="C83" s="887"/>
      <c r="D83" s="865"/>
      <c r="E83" s="2525"/>
      <c r="F83" s="833"/>
      <c r="G83" s="2522"/>
    </row>
    <row r="84" spans="2:7" ht="25.5" x14ac:dyDescent="0.2">
      <c r="B84" s="861" t="s">
        <v>1233</v>
      </c>
      <c r="C84" s="887" t="s">
        <v>1223</v>
      </c>
      <c r="D84" s="865" t="s">
        <v>112</v>
      </c>
      <c r="E84" s="2525">
        <v>1503.81</v>
      </c>
      <c r="F84" s="833">
        <v>0</v>
      </c>
      <c r="G84" s="834">
        <f>E84*F84</f>
        <v>0</v>
      </c>
    </row>
    <row r="85" spans="2:7" x14ac:dyDescent="0.2">
      <c r="B85" s="835"/>
      <c r="C85" s="887"/>
      <c r="D85" s="865"/>
      <c r="E85" s="2525"/>
      <c r="F85" s="834"/>
      <c r="G85" s="2522"/>
    </row>
    <row r="86" spans="2:7" ht="25.5" x14ac:dyDescent="0.2">
      <c r="B86" s="861" t="s">
        <v>1235</v>
      </c>
      <c r="C86" s="887" t="s">
        <v>1578</v>
      </c>
      <c r="D86" s="865" t="s">
        <v>137</v>
      </c>
      <c r="E86" s="2525">
        <v>77.02</v>
      </c>
      <c r="F86" s="833">
        <v>0</v>
      </c>
      <c r="G86" s="834">
        <f>E86*F86</f>
        <v>0</v>
      </c>
    </row>
    <row r="87" spans="2:7" x14ac:dyDescent="0.2">
      <c r="B87" s="835"/>
      <c r="C87" s="887"/>
      <c r="D87" s="865"/>
      <c r="E87" s="2525"/>
      <c r="F87" s="833"/>
      <c r="G87" s="2522"/>
    </row>
    <row r="88" spans="2:7" ht="38.25" x14ac:dyDescent="0.2">
      <c r="B88" s="861" t="s">
        <v>1237</v>
      </c>
      <c r="C88" s="887" t="s">
        <v>1236</v>
      </c>
      <c r="D88" s="2521" t="s">
        <v>117</v>
      </c>
      <c r="E88" s="2525">
        <v>1251</v>
      </c>
      <c r="F88" s="833">
        <v>0</v>
      </c>
      <c r="G88" s="834">
        <f>E88*F88</f>
        <v>0</v>
      </c>
    </row>
    <row r="89" spans="2:7" x14ac:dyDescent="0.2">
      <c r="B89" s="835"/>
      <c r="C89" s="887"/>
      <c r="D89" s="2124"/>
      <c r="E89" s="2525"/>
      <c r="F89" s="834"/>
      <c r="G89" s="2522"/>
    </row>
    <row r="90" spans="2:7" ht="72.75" customHeight="1" x14ac:dyDescent="0.2">
      <c r="B90" s="861" t="s">
        <v>1239</v>
      </c>
      <c r="C90" s="911" t="s">
        <v>139</v>
      </c>
      <c r="D90" s="912"/>
      <c r="E90" s="913"/>
      <c r="F90" s="914"/>
      <c r="G90" s="915"/>
    </row>
    <row r="91" spans="2:7" ht="18" customHeight="1" x14ac:dyDescent="0.2">
      <c r="B91" s="861"/>
      <c r="C91" s="916" t="s">
        <v>1579</v>
      </c>
      <c r="D91" s="912" t="s">
        <v>95</v>
      </c>
      <c r="E91" s="913">
        <v>8</v>
      </c>
      <c r="F91" s="833">
        <v>0</v>
      </c>
      <c r="G91" s="834">
        <f>E91*F91</f>
        <v>0</v>
      </c>
    </row>
    <row r="92" spans="2:7" ht="15" customHeight="1" x14ac:dyDescent="0.2">
      <c r="B92" s="892"/>
      <c r="C92" s="942"/>
      <c r="D92" s="2521"/>
      <c r="E92" s="2525"/>
      <c r="F92" s="834"/>
      <c r="G92" s="2522"/>
    </row>
    <row r="93" spans="2:7" ht="67.5" customHeight="1" x14ac:dyDescent="0.2">
      <c r="B93" s="892" t="s">
        <v>1241</v>
      </c>
      <c r="C93" s="911" t="s">
        <v>309</v>
      </c>
      <c r="D93" s="912"/>
      <c r="E93" s="913"/>
      <c r="F93" s="914"/>
      <c r="G93" s="915"/>
    </row>
    <row r="94" spans="2:7" ht="15.75" customHeight="1" x14ac:dyDescent="0.2">
      <c r="B94" s="892"/>
      <c r="C94" s="916" t="s">
        <v>1579</v>
      </c>
      <c r="D94" s="912" t="s">
        <v>95</v>
      </c>
      <c r="E94" s="913">
        <v>16</v>
      </c>
      <c r="F94" s="833">
        <v>0</v>
      </c>
      <c r="G94" s="834">
        <f>E94*F94</f>
        <v>0</v>
      </c>
    </row>
    <row r="95" spans="2:7" ht="15" customHeight="1" x14ac:dyDescent="0.2">
      <c r="B95" s="892"/>
      <c r="C95" s="916" t="s">
        <v>1580</v>
      </c>
      <c r="D95" s="912" t="s">
        <v>95</v>
      </c>
      <c r="E95" s="913">
        <v>21</v>
      </c>
      <c r="F95" s="833">
        <v>0</v>
      </c>
      <c r="G95" s="834">
        <f>E95*F95</f>
        <v>0</v>
      </c>
    </row>
    <row r="96" spans="2:7" x14ac:dyDescent="0.2">
      <c r="B96" s="892"/>
      <c r="C96" s="887"/>
      <c r="D96" s="2124"/>
      <c r="E96" s="2525"/>
      <c r="F96" s="834"/>
      <c r="G96" s="2522"/>
    </row>
    <row r="97" spans="2:7" ht="37.5" customHeight="1" x14ac:dyDescent="0.2">
      <c r="B97" s="861" t="s">
        <v>1243</v>
      </c>
      <c r="C97" s="917" t="s">
        <v>1240</v>
      </c>
      <c r="D97" s="2235" t="s">
        <v>112</v>
      </c>
      <c r="E97" s="2570">
        <v>20</v>
      </c>
      <c r="F97" s="833">
        <v>0</v>
      </c>
      <c r="G97" s="834">
        <f>E97*F97</f>
        <v>0</v>
      </c>
    </row>
    <row r="98" spans="2:7" ht="14.25" customHeight="1" x14ac:dyDescent="0.2">
      <c r="B98" s="829"/>
      <c r="C98" s="887"/>
      <c r="D98" s="2521"/>
      <c r="E98" s="2525"/>
      <c r="F98" s="834"/>
      <c r="G98" s="2522"/>
    </row>
    <row r="99" spans="2:7" ht="44.25" customHeight="1" x14ac:dyDescent="0.2">
      <c r="B99" s="861" t="s">
        <v>1284</v>
      </c>
      <c r="C99" s="922" t="s">
        <v>1242</v>
      </c>
      <c r="D99" s="2235" t="s">
        <v>149</v>
      </c>
      <c r="E99" s="2570">
        <v>33</v>
      </c>
      <c r="F99" s="833">
        <v>0</v>
      </c>
      <c r="G99" s="834">
        <f>E99*F99</f>
        <v>0</v>
      </c>
    </row>
    <row r="100" spans="2:7" ht="11.25" customHeight="1" x14ac:dyDescent="0.2">
      <c r="B100" s="861"/>
      <c r="C100" s="922"/>
      <c r="D100" s="2235"/>
      <c r="E100" s="2570"/>
      <c r="F100" s="2546"/>
      <c r="G100" s="2522"/>
    </row>
    <row r="101" spans="2:7" ht="44.25" customHeight="1" x14ac:dyDescent="0.2">
      <c r="B101" s="861" t="s">
        <v>1285</v>
      </c>
      <c r="C101" s="922" t="s">
        <v>153</v>
      </c>
      <c r="D101" s="2235" t="s">
        <v>112</v>
      </c>
      <c r="E101" s="2526">
        <v>12</v>
      </c>
      <c r="F101" s="833">
        <v>0</v>
      </c>
      <c r="G101" s="834">
        <f>E101*F101</f>
        <v>0</v>
      </c>
    </row>
    <row r="102" spans="2:7" x14ac:dyDescent="0.2">
      <c r="B102" s="861"/>
      <c r="C102" s="1258"/>
      <c r="D102" s="2554"/>
      <c r="E102" s="2555"/>
      <c r="F102" s="2556"/>
      <c r="G102" s="2557"/>
    </row>
    <row r="103" spans="2:7" x14ac:dyDescent="0.2">
      <c r="B103" s="872" t="s">
        <v>12</v>
      </c>
      <c r="C103" s="873" t="s">
        <v>157</v>
      </c>
      <c r="D103" s="872"/>
      <c r="E103" s="874"/>
      <c r="F103" s="875"/>
      <c r="G103" s="876">
        <f>SUM(G54:G102)</f>
        <v>0</v>
      </c>
    </row>
    <row r="105" spans="2:7" x14ac:dyDescent="0.2">
      <c r="B105" s="2841" t="s">
        <v>83</v>
      </c>
      <c r="C105" s="2842" t="s">
        <v>89</v>
      </c>
      <c r="D105" s="2842" t="s">
        <v>90</v>
      </c>
      <c r="E105" s="2838" t="s">
        <v>91</v>
      </c>
      <c r="F105" s="2839" t="s">
        <v>92</v>
      </c>
      <c r="G105" s="2840" t="s">
        <v>93</v>
      </c>
    </row>
    <row r="106" spans="2:7" x14ac:dyDescent="0.2">
      <c r="B106" s="811"/>
      <c r="C106" s="812"/>
      <c r="D106" s="878"/>
      <c r="E106" s="814"/>
      <c r="F106" s="815"/>
      <c r="G106" s="816"/>
    </row>
    <row r="107" spans="2:7" ht="20.25" x14ac:dyDescent="0.2">
      <c r="B107" s="930" t="s">
        <v>17</v>
      </c>
      <c r="C107" s="931" t="s">
        <v>158</v>
      </c>
      <c r="D107" s="880"/>
      <c r="E107" s="820"/>
      <c r="F107" s="821"/>
      <c r="G107" s="822"/>
    </row>
    <row r="108" spans="2:7" x14ac:dyDescent="0.2">
      <c r="B108" s="2865" t="s">
        <v>1</v>
      </c>
      <c r="C108" s="2866"/>
      <c r="D108" s="2867"/>
      <c r="E108" s="2867"/>
      <c r="F108" s="2867"/>
      <c r="G108" s="2868"/>
    </row>
    <row r="109" spans="2:7" x14ac:dyDescent="0.2">
      <c r="B109" s="2869" t="s">
        <v>2</v>
      </c>
      <c r="C109" s="2870"/>
      <c r="D109" s="2871"/>
      <c r="E109" s="2872"/>
      <c r="F109" s="2872"/>
      <c r="G109" s="2871"/>
    </row>
    <row r="110" spans="2:7" x14ac:dyDescent="0.2">
      <c r="B110" s="2865" t="s">
        <v>3</v>
      </c>
      <c r="C110" s="2866"/>
      <c r="D110" s="2867"/>
      <c r="E110" s="2867"/>
      <c r="F110" s="2867"/>
      <c r="G110" s="2868"/>
    </row>
    <row r="111" spans="2:7" x14ac:dyDescent="0.2">
      <c r="B111" s="2869" t="s">
        <v>4</v>
      </c>
      <c r="C111" s="2870"/>
      <c r="D111" s="2872"/>
      <c r="E111" s="2872"/>
      <c r="F111" s="2872"/>
      <c r="G111" s="2871"/>
    </row>
    <row r="112" spans="2:7" x14ac:dyDescent="0.2">
      <c r="B112" s="3233" t="s">
        <v>159</v>
      </c>
      <c r="C112" s="3234"/>
      <c r="D112" s="3234"/>
      <c r="E112" s="3234"/>
      <c r="F112" s="3234"/>
      <c r="G112" s="3235"/>
    </row>
    <row r="113" spans="2:12" x14ac:dyDescent="0.2">
      <c r="B113" s="3233" t="s">
        <v>160</v>
      </c>
      <c r="C113" s="3234"/>
      <c r="D113" s="3234"/>
      <c r="E113" s="3234"/>
      <c r="F113" s="3234"/>
      <c r="G113" s="3235"/>
    </row>
    <row r="114" spans="2:12" x14ac:dyDescent="0.2">
      <c r="B114" s="3233" t="s">
        <v>161</v>
      </c>
      <c r="C114" s="3234"/>
      <c r="D114" s="3234"/>
      <c r="E114" s="3234"/>
      <c r="F114" s="3234"/>
      <c r="G114" s="3235"/>
    </row>
    <row r="115" spans="2:12" ht="38.25" x14ac:dyDescent="0.2">
      <c r="B115" s="829">
        <v>1</v>
      </c>
      <c r="C115" s="932" t="s">
        <v>162</v>
      </c>
      <c r="D115" s="2508"/>
      <c r="E115" s="2528"/>
      <c r="F115" s="2450"/>
      <c r="G115" s="2529"/>
    </row>
    <row r="116" spans="2:12" ht="25.5" x14ac:dyDescent="0.2">
      <c r="B116" s="829"/>
      <c r="C116" s="941" t="s">
        <v>1287</v>
      </c>
      <c r="D116" s="937" t="s">
        <v>95</v>
      </c>
      <c r="E116" s="832">
        <v>576</v>
      </c>
      <c r="F116" s="833">
        <v>0</v>
      </c>
      <c r="G116" s="834">
        <f>E116*F116</f>
        <v>0</v>
      </c>
      <c r="J116" s="1263"/>
      <c r="L116" s="1264"/>
    </row>
    <row r="117" spans="2:12" ht="38.25" x14ac:dyDescent="0.2">
      <c r="B117" s="829"/>
      <c r="C117" s="941" t="s">
        <v>1288</v>
      </c>
      <c r="D117" s="937" t="s">
        <v>95</v>
      </c>
      <c r="E117" s="832">
        <v>247</v>
      </c>
      <c r="F117" s="833">
        <v>0</v>
      </c>
      <c r="G117" s="834">
        <f>E117*F117</f>
        <v>0</v>
      </c>
      <c r="J117" s="1263"/>
    </row>
    <row r="118" spans="2:12" ht="25.5" x14ac:dyDescent="0.2">
      <c r="B118" s="829"/>
      <c r="C118" s="941" t="s">
        <v>1289</v>
      </c>
      <c r="D118" s="937" t="s">
        <v>95</v>
      </c>
      <c r="E118" s="832">
        <v>1095</v>
      </c>
      <c r="F118" s="833">
        <v>0</v>
      </c>
      <c r="G118" s="834">
        <f>E118*F118</f>
        <v>0</v>
      </c>
    </row>
    <row r="119" spans="2:12" ht="38.25" x14ac:dyDescent="0.2">
      <c r="B119" s="829"/>
      <c r="C119" s="941" t="s">
        <v>1290</v>
      </c>
      <c r="D119" s="937" t="s">
        <v>95</v>
      </c>
      <c r="E119" s="832">
        <v>469</v>
      </c>
      <c r="F119" s="833">
        <v>0</v>
      </c>
      <c r="G119" s="834">
        <f>E119*F119</f>
        <v>0</v>
      </c>
    </row>
    <row r="120" spans="2:12" x14ac:dyDescent="0.2">
      <c r="B120" s="829"/>
      <c r="C120" s="941"/>
      <c r="D120" s="937"/>
      <c r="E120" s="832"/>
      <c r="F120" s="2450"/>
      <c r="G120" s="2529"/>
    </row>
    <row r="121" spans="2:12" ht="63.75" x14ac:dyDescent="0.2">
      <c r="B121" s="945">
        <v>2</v>
      </c>
      <c r="C121" s="946" t="s">
        <v>172</v>
      </c>
      <c r="D121" s="2727" t="s">
        <v>95</v>
      </c>
      <c r="E121" s="947">
        <v>2387</v>
      </c>
      <c r="F121" s="833">
        <v>0</v>
      </c>
      <c r="G121" s="834">
        <f>E121*F121</f>
        <v>0</v>
      </c>
    </row>
    <row r="122" spans="2:12" ht="51" x14ac:dyDescent="0.2">
      <c r="B122" s="948" t="s">
        <v>173</v>
      </c>
      <c r="C122" s="946" t="s">
        <v>174</v>
      </c>
      <c r="D122" s="2727" t="s">
        <v>95</v>
      </c>
      <c r="E122" s="947">
        <v>2387</v>
      </c>
      <c r="F122" s="833">
        <v>0</v>
      </c>
      <c r="G122" s="834">
        <f>E122*F122</f>
        <v>0</v>
      </c>
    </row>
    <row r="123" spans="2:12" ht="25.5" x14ac:dyDescent="0.2">
      <c r="B123" s="948" t="s">
        <v>175</v>
      </c>
      <c r="C123" s="946" t="s">
        <v>176</v>
      </c>
      <c r="D123" s="2727" t="s">
        <v>95</v>
      </c>
      <c r="E123" s="947">
        <v>2387</v>
      </c>
      <c r="F123" s="833">
        <v>0</v>
      </c>
      <c r="G123" s="834">
        <f>E123*F123</f>
        <v>0</v>
      </c>
    </row>
    <row r="124" spans="2:12" ht="63.75" x14ac:dyDescent="0.2">
      <c r="B124" s="948" t="s">
        <v>177</v>
      </c>
      <c r="C124" s="946" t="s">
        <v>178</v>
      </c>
      <c r="D124" s="2727" t="s">
        <v>95</v>
      </c>
      <c r="E124" s="947">
        <v>2387</v>
      </c>
      <c r="F124" s="833">
        <v>0</v>
      </c>
      <c r="G124" s="834">
        <f>E124*F124</f>
        <v>0</v>
      </c>
    </row>
    <row r="125" spans="2:12" x14ac:dyDescent="0.2">
      <c r="B125" s="829"/>
      <c r="C125" s="1265"/>
      <c r="D125" s="2525"/>
      <c r="E125" s="2242"/>
      <c r="F125" s="834"/>
      <c r="G125" s="2522"/>
    </row>
    <row r="126" spans="2:12" x14ac:dyDescent="0.2">
      <c r="B126" s="2061" t="s">
        <v>1253</v>
      </c>
      <c r="C126" s="2412" t="s">
        <v>1581</v>
      </c>
      <c r="D126" s="2427"/>
      <c r="E126" s="2530"/>
      <c r="F126" s="2531"/>
      <c r="G126" s="2067"/>
    </row>
    <row r="127" spans="2:12" x14ac:dyDescent="0.2">
      <c r="B127" s="2061"/>
      <c r="C127" s="2408" t="s">
        <v>207</v>
      </c>
      <c r="D127" s="2068" t="s">
        <v>149</v>
      </c>
      <c r="E127" s="2069">
        <v>4</v>
      </c>
      <c r="F127" s="2066">
        <v>0</v>
      </c>
      <c r="G127" s="2067">
        <f t="shared" ref="G127:G137" si="0">E127*F127</f>
        <v>0</v>
      </c>
    </row>
    <row r="128" spans="2:12" ht="38.25" x14ac:dyDescent="0.2">
      <c r="B128" s="2061"/>
      <c r="C128" s="2409" t="s">
        <v>223</v>
      </c>
      <c r="D128" s="2068" t="s">
        <v>149</v>
      </c>
      <c r="E128" s="2069">
        <v>4</v>
      </c>
      <c r="F128" s="2066">
        <v>0</v>
      </c>
      <c r="G128" s="2067">
        <f t="shared" si="0"/>
        <v>0</v>
      </c>
    </row>
    <row r="129" spans="2:7" ht="25.5" x14ac:dyDescent="0.2">
      <c r="B129" s="2061"/>
      <c r="C129" s="2409" t="s">
        <v>213</v>
      </c>
      <c r="D129" s="2068" t="s">
        <v>149</v>
      </c>
      <c r="E129" s="2069">
        <v>4</v>
      </c>
      <c r="F129" s="2066">
        <v>0</v>
      </c>
      <c r="G129" s="2067">
        <f t="shared" si="0"/>
        <v>0</v>
      </c>
    </row>
    <row r="130" spans="2:7" x14ac:dyDescent="0.2">
      <c r="B130" s="2061"/>
      <c r="C130" s="2409" t="s">
        <v>224</v>
      </c>
      <c r="D130" s="2068" t="s">
        <v>149</v>
      </c>
      <c r="E130" s="2069">
        <v>4</v>
      </c>
      <c r="F130" s="2066">
        <v>0</v>
      </c>
      <c r="G130" s="2067">
        <f t="shared" si="0"/>
        <v>0</v>
      </c>
    </row>
    <row r="131" spans="2:7" x14ac:dyDescent="0.2">
      <c r="B131" s="2061"/>
      <c r="C131" s="2409" t="s">
        <v>225</v>
      </c>
      <c r="D131" s="2068" t="s">
        <v>149</v>
      </c>
      <c r="E131" s="2069">
        <v>4</v>
      </c>
      <c r="F131" s="2066">
        <v>0</v>
      </c>
      <c r="G131" s="2067">
        <f t="shared" si="0"/>
        <v>0</v>
      </c>
    </row>
    <row r="132" spans="2:7" x14ac:dyDescent="0.2">
      <c r="B132" s="2061"/>
      <c r="C132" s="2410" t="s">
        <v>226</v>
      </c>
      <c r="D132" s="2068" t="s">
        <v>149</v>
      </c>
      <c r="E132" s="2069">
        <v>4</v>
      </c>
      <c r="F132" s="2066">
        <v>0</v>
      </c>
      <c r="G132" s="2067">
        <f t="shared" si="0"/>
        <v>0</v>
      </c>
    </row>
    <row r="133" spans="2:7" x14ac:dyDescent="0.2">
      <c r="B133" s="2061"/>
      <c r="C133" s="2410" t="s">
        <v>217</v>
      </c>
      <c r="D133" s="2068" t="s">
        <v>149</v>
      </c>
      <c r="E133" s="2069">
        <v>4</v>
      </c>
      <c r="F133" s="2066">
        <v>0</v>
      </c>
      <c r="G133" s="2067">
        <f t="shared" si="0"/>
        <v>0</v>
      </c>
    </row>
    <row r="134" spans="2:7" ht="25.5" x14ac:dyDescent="0.2">
      <c r="B134" s="2061"/>
      <c r="C134" s="2410" t="s">
        <v>195</v>
      </c>
      <c r="D134" s="2068" t="s">
        <v>149</v>
      </c>
      <c r="E134" s="2069">
        <v>8</v>
      </c>
      <c r="F134" s="2066">
        <v>0</v>
      </c>
      <c r="G134" s="2067">
        <f t="shared" si="0"/>
        <v>0</v>
      </c>
    </row>
    <row r="135" spans="2:7" ht="25.5" x14ac:dyDescent="0.2">
      <c r="B135" s="2061"/>
      <c r="C135" s="2410" t="s">
        <v>1292</v>
      </c>
      <c r="D135" s="2068" t="s">
        <v>149</v>
      </c>
      <c r="E135" s="2069">
        <v>8</v>
      </c>
      <c r="F135" s="2066">
        <v>0</v>
      </c>
      <c r="G135" s="2067">
        <f t="shared" si="0"/>
        <v>0</v>
      </c>
    </row>
    <row r="136" spans="2:7" ht="25.5" x14ac:dyDescent="0.2">
      <c r="B136" s="2061"/>
      <c r="C136" s="2410" t="s">
        <v>227</v>
      </c>
      <c r="D136" s="2068" t="s">
        <v>149</v>
      </c>
      <c r="E136" s="2069">
        <v>4</v>
      </c>
      <c r="F136" s="2066">
        <v>0</v>
      </c>
      <c r="G136" s="2067">
        <f t="shared" si="0"/>
        <v>0</v>
      </c>
    </row>
    <row r="137" spans="2:7" ht="25.5" x14ac:dyDescent="0.2">
      <c r="B137" s="2061"/>
      <c r="C137" s="2411" t="s">
        <v>1196</v>
      </c>
      <c r="D137" s="2068" t="s">
        <v>149</v>
      </c>
      <c r="E137" s="2069">
        <v>4</v>
      </c>
      <c r="F137" s="2066">
        <v>0</v>
      </c>
      <c r="G137" s="2067">
        <f t="shared" si="0"/>
        <v>0</v>
      </c>
    </row>
    <row r="138" spans="2:7" x14ac:dyDescent="0.2">
      <c r="B138" s="950"/>
      <c r="C138" s="955"/>
      <c r="D138" s="2515"/>
      <c r="E138" s="2532"/>
      <c r="F138" s="2453"/>
      <c r="G138" s="2453"/>
    </row>
    <row r="139" spans="2:7" x14ac:dyDescent="0.2">
      <c r="B139" s="2061" t="s">
        <v>1249</v>
      </c>
      <c r="C139" s="2412" t="s">
        <v>1582</v>
      </c>
      <c r="D139" s="2427"/>
      <c r="E139" s="2530"/>
      <c r="F139" s="2531"/>
      <c r="G139" s="2067"/>
    </row>
    <row r="140" spans="2:7" x14ac:dyDescent="0.2">
      <c r="B140" s="2061"/>
      <c r="C140" s="2408" t="s">
        <v>207</v>
      </c>
      <c r="D140" s="2068" t="s">
        <v>149</v>
      </c>
      <c r="E140" s="2069">
        <v>5</v>
      </c>
      <c r="F140" s="2066">
        <v>0</v>
      </c>
      <c r="G140" s="2067">
        <f t="shared" ref="G140:G150" si="1">E140*F140</f>
        <v>0</v>
      </c>
    </row>
    <row r="141" spans="2:7" ht="38.25" x14ac:dyDescent="0.2">
      <c r="B141" s="2061"/>
      <c r="C141" s="2409" t="s">
        <v>223</v>
      </c>
      <c r="D141" s="2068" t="s">
        <v>149</v>
      </c>
      <c r="E141" s="2069">
        <v>5</v>
      </c>
      <c r="F141" s="2066">
        <v>0</v>
      </c>
      <c r="G141" s="2067">
        <f t="shared" si="1"/>
        <v>0</v>
      </c>
    </row>
    <row r="142" spans="2:7" ht="25.5" x14ac:dyDescent="0.2">
      <c r="B142" s="2061"/>
      <c r="C142" s="2409" t="s">
        <v>213</v>
      </c>
      <c r="D142" s="2068" t="s">
        <v>149</v>
      </c>
      <c r="E142" s="2069">
        <v>5</v>
      </c>
      <c r="F142" s="2066">
        <v>0</v>
      </c>
      <c r="G142" s="2067">
        <f t="shared" si="1"/>
        <v>0</v>
      </c>
    </row>
    <row r="143" spans="2:7" x14ac:dyDescent="0.2">
      <c r="B143" s="2061"/>
      <c r="C143" s="2409" t="s">
        <v>224</v>
      </c>
      <c r="D143" s="2068" t="s">
        <v>149</v>
      </c>
      <c r="E143" s="2069">
        <v>5</v>
      </c>
      <c r="F143" s="2066">
        <v>0</v>
      </c>
      <c r="G143" s="2067">
        <f t="shared" si="1"/>
        <v>0</v>
      </c>
    </row>
    <row r="144" spans="2:7" x14ac:dyDescent="0.2">
      <c r="B144" s="2061"/>
      <c r="C144" s="2409" t="s">
        <v>225</v>
      </c>
      <c r="D144" s="2068" t="s">
        <v>149</v>
      </c>
      <c r="E144" s="2069">
        <v>5</v>
      </c>
      <c r="F144" s="2066">
        <v>0</v>
      </c>
      <c r="G144" s="2067">
        <f t="shared" si="1"/>
        <v>0</v>
      </c>
    </row>
    <row r="145" spans="2:7" x14ac:dyDescent="0.2">
      <c r="B145" s="2061"/>
      <c r="C145" s="2410" t="s">
        <v>226</v>
      </c>
      <c r="D145" s="2068" t="s">
        <v>149</v>
      </c>
      <c r="E145" s="2069">
        <v>5</v>
      </c>
      <c r="F145" s="2066">
        <v>0</v>
      </c>
      <c r="G145" s="2067">
        <f t="shared" si="1"/>
        <v>0</v>
      </c>
    </row>
    <row r="146" spans="2:7" x14ac:dyDescent="0.2">
      <c r="B146" s="2061"/>
      <c r="C146" s="2410" t="s">
        <v>217</v>
      </c>
      <c r="D146" s="2068" t="s">
        <v>149</v>
      </c>
      <c r="E146" s="2069">
        <v>5</v>
      </c>
      <c r="F146" s="2066">
        <v>0</v>
      </c>
      <c r="G146" s="2067">
        <f t="shared" si="1"/>
        <v>0</v>
      </c>
    </row>
    <row r="147" spans="2:7" ht="25.5" x14ac:dyDescent="0.2">
      <c r="B147" s="2061"/>
      <c r="C147" s="2410" t="s">
        <v>235</v>
      </c>
      <c r="D147" s="2068" t="s">
        <v>149</v>
      </c>
      <c r="E147" s="2069">
        <v>10</v>
      </c>
      <c r="F147" s="2066">
        <v>0</v>
      </c>
      <c r="G147" s="2067">
        <f t="shared" si="1"/>
        <v>0</v>
      </c>
    </row>
    <row r="148" spans="2:7" ht="25.5" x14ac:dyDescent="0.2">
      <c r="B148" s="2061"/>
      <c r="C148" s="2410" t="s">
        <v>1294</v>
      </c>
      <c r="D148" s="2068" t="s">
        <v>149</v>
      </c>
      <c r="E148" s="2069">
        <v>10</v>
      </c>
      <c r="F148" s="2066">
        <v>0</v>
      </c>
      <c r="G148" s="2067">
        <f t="shared" si="1"/>
        <v>0</v>
      </c>
    </row>
    <row r="149" spans="2:7" ht="25.5" x14ac:dyDescent="0.2">
      <c r="B149" s="2061"/>
      <c r="C149" s="2410" t="s">
        <v>227</v>
      </c>
      <c r="D149" s="2068" t="s">
        <v>149</v>
      </c>
      <c r="E149" s="2069">
        <v>5</v>
      </c>
      <c r="F149" s="2066">
        <v>0</v>
      </c>
      <c r="G149" s="2067">
        <f t="shared" si="1"/>
        <v>0</v>
      </c>
    </row>
    <row r="150" spans="2:7" ht="25.5" x14ac:dyDescent="0.2">
      <c r="B150" s="2061"/>
      <c r="C150" s="2411" t="s">
        <v>1196</v>
      </c>
      <c r="D150" s="2068" t="s">
        <v>149</v>
      </c>
      <c r="E150" s="2069">
        <v>5</v>
      </c>
      <c r="F150" s="2066">
        <v>0</v>
      </c>
      <c r="G150" s="2067">
        <f t="shared" si="1"/>
        <v>0</v>
      </c>
    </row>
    <row r="151" spans="2:7" x14ac:dyDescent="0.2">
      <c r="B151" s="950"/>
      <c r="C151" s="955"/>
      <c r="D151" s="2515"/>
      <c r="E151" s="2532"/>
      <c r="F151" s="2453"/>
      <c r="G151" s="2453"/>
    </row>
    <row r="152" spans="2:7" ht="38.25" x14ac:dyDescent="0.2">
      <c r="B152" s="950" t="s">
        <v>1249</v>
      </c>
      <c r="C152" s="959" t="s">
        <v>229</v>
      </c>
      <c r="D152" s="813"/>
      <c r="E152" s="1090"/>
      <c r="F152" s="2453"/>
      <c r="G152" s="2453"/>
    </row>
    <row r="153" spans="2:7" x14ac:dyDescent="0.2">
      <c r="B153" s="950"/>
      <c r="C153" s="955" t="s">
        <v>1583</v>
      </c>
      <c r="D153" s="2515" t="s">
        <v>149</v>
      </c>
      <c r="E153" s="2532">
        <v>9</v>
      </c>
      <c r="F153" s="2010">
        <v>0</v>
      </c>
      <c r="G153" s="976">
        <f>E153*F153</f>
        <v>0</v>
      </c>
    </row>
    <row r="154" spans="2:7" x14ac:dyDescent="0.2">
      <c r="B154" s="950"/>
      <c r="C154" s="955"/>
      <c r="D154" s="2515"/>
      <c r="E154" s="2532"/>
      <c r="F154" s="2453"/>
      <c r="G154" s="2453"/>
    </row>
    <row r="155" spans="2:7" x14ac:dyDescent="0.2">
      <c r="B155" s="2061" t="s">
        <v>1253</v>
      </c>
      <c r="C155" s="2414" t="s">
        <v>1392</v>
      </c>
      <c r="D155" s="2427"/>
      <c r="E155" s="2535"/>
      <c r="F155" s="2536"/>
      <c r="G155" s="2537"/>
    </row>
    <row r="156" spans="2:7" x14ac:dyDescent="0.2">
      <c r="B156" s="2061"/>
      <c r="C156" s="2408" t="s">
        <v>191</v>
      </c>
      <c r="D156" s="2068" t="s">
        <v>149</v>
      </c>
      <c r="E156" s="2069">
        <v>1</v>
      </c>
      <c r="F156" s="2066">
        <v>0</v>
      </c>
      <c r="G156" s="2067">
        <f t="shared" ref="G156:G163" si="2">E156*F156</f>
        <v>0</v>
      </c>
    </row>
    <row r="157" spans="2:7" ht="51" x14ac:dyDescent="0.2">
      <c r="B157" s="2061"/>
      <c r="C157" s="2409" t="s">
        <v>192</v>
      </c>
      <c r="D157" s="2068" t="s">
        <v>149</v>
      </c>
      <c r="E157" s="2069">
        <v>1</v>
      </c>
      <c r="F157" s="2066">
        <v>0</v>
      </c>
      <c r="G157" s="2067">
        <f t="shared" si="2"/>
        <v>0</v>
      </c>
    </row>
    <row r="158" spans="2:7" x14ac:dyDescent="0.2">
      <c r="B158" s="2061"/>
      <c r="C158" s="2409" t="s">
        <v>193</v>
      </c>
      <c r="D158" s="2068" t="s">
        <v>149</v>
      </c>
      <c r="E158" s="2069">
        <v>1</v>
      </c>
      <c r="F158" s="2066">
        <v>0</v>
      </c>
      <c r="G158" s="2067">
        <f t="shared" si="2"/>
        <v>0</v>
      </c>
    </row>
    <row r="159" spans="2:7" x14ac:dyDescent="0.2">
      <c r="B159" s="2061"/>
      <c r="C159" s="2409" t="s">
        <v>194</v>
      </c>
      <c r="D159" s="2068" t="s">
        <v>149</v>
      </c>
      <c r="E159" s="2069">
        <v>1</v>
      </c>
      <c r="F159" s="2066">
        <v>0</v>
      </c>
      <c r="G159" s="2067">
        <f t="shared" si="2"/>
        <v>0</v>
      </c>
    </row>
    <row r="160" spans="2:7" ht="25.5" x14ac:dyDescent="0.2">
      <c r="B160" s="2061"/>
      <c r="C160" s="2409" t="s">
        <v>195</v>
      </c>
      <c r="D160" s="2068" t="s">
        <v>149</v>
      </c>
      <c r="E160" s="2069">
        <v>2</v>
      </c>
      <c r="F160" s="2066">
        <v>0</v>
      </c>
      <c r="G160" s="2067">
        <f t="shared" si="2"/>
        <v>0</v>
      </c>
    </row>
    <row r="161" spans="2:7" ht="25.5" x14ac:dyDescent="0.2">
      <c r="B161" s="2061"/>
      <c r="C161" s="2409" t="s">
        <v>1328</v>
      </c>
      <c r="D161" s="2068" t="s">
        <v>149</v>
      </c>
      <c r="E161" s="2069">
        <v>2</v>
      </c>
      <c r="F161" s="2066">
        <v>0</v>
      </c>
      <c r="G161" s="2067">
        <f t="shared" si="2"/>
        <v>0</v>
      </c>
    </row>
    <row r="162" spans="2:7" ht="25.5" x14ac:dyDescent="0.2">
      <c r="B162" s="2061"/>
      <c r="C162" s="2409" t="s">
        <v>197</v>
      </c>
      <c r="D162" s="2068" t="s">
        <v>149</v>
      </c>
      <c r="E162" s="2069">
        <v>1</v>
      </c>
      <c r="F162" s="2066">
        <v>0</v>
      </c>
      <c r="G162" s="2067">
        <f t="shared" si="2"/>
        <v>0</v>
      </c>
    </row>
    <row r="163" spans="2:7" ht="25.5" x14ac:dyDescent="0.2">
      <c r="B163" s="2061"/>
      <c r="C163" s="2409" t="s">
        <v>1196</v>
      </c>
      <c r="D163" s="2068" t="s">
        <v>149</v>
      </c>
      <c r="E163" s="2069">
        <v>1</v>
      </c>
      <c r="F163" s="2066">
        <v>0</v>
      </c>
      <c r="G163" s="2067">
        <f t="shared" si="2"/>
        <v>0</v>
      </c>
    </row>
    <row r="164" spans="2:7" x14ac:dyDescent="0.2">
      <c r="B164" s="950"/>
      <c r="C164" s="955"/>
      <c r="D164" s="2515"/>
      <c r="E164" s="2532"/>
      <c r="F164" s="2453"/>
      <c r="G164" s="2453"/>
    </row>
    <row r="165" spans="2:7" x14ac:dyDescent="0.2">
      <c r="B165" s="2061" t="s">
        <v>1256</v>
      </c>
      <c r="C165" s="2412" t="s">
        <v>1584</v>
      </c>
      <c r="D165" s="2427"/>
      <c r="E165" s="2530"/>
      <c r="F165" s="2531"/>
      <c r="G165" s="2067"/>
    </row>
    <row r="166" spans="2:7" ht="38.25" x14ac:dyDescent="0.2">
      <c r="B166" s="2061"/>
      <c r="C166" s="2409" t="s">
        <v>1388</v>
      </c>
      <c r="D166" s="2068" t="s">
        <v>149</v>
      </c>
      <c r="E166" s="2069">
        <v>1</v>
      </c>
      <c r="F166" s="2066">
        <v>0</v>
      </c>
      <c r="G166" s="2067">
        <f t="shared" ref="G166:G178" si="3">E166*F166</f>
        <v>0</v>
      </c>
    </row>
    <row r="167" spans="2:7" ht="25.5" x14ac:dyDescent="0.2">
      <c r="B167" s="2061"/>
      <c r="C167" s="2410" t="s">
        <v>1294</v>
      </c>
      <c r="D167" s="2068" t="s">
        <v>149</v>
      </c>
      <c r="E167" s="2069">
        <v>2</v>
      </c>
      <c r="F167" s="2066">
        <v>0</v>
      </c>
      <c r="G167" s="2067">
        <f t="shared" si="3"/>
        <v>0</v>
      </c>
    </row>
    <row r="168" spans="2:7" x14ac:dyDescent="0.2">
      <c r="B168" s="2061"/>
      <c r="C168" s="2410" t="s">
        <v>1302</v>
      </c>
      <c r="D168" s="2068" t="s">
        <v>149</v>
      </c>
      <c r="E168" s="2069">
        <v>2</v>
      </c>
      <c r="F168" s="2066">
        <v>0</v>
      </c>
      <c r="G168" s="2067">
        <f t="shared" si="3"/>
        <v>0</v>
      </c>
    </row>
    <row r="169" spans="2:7" ht="25.5" x14ac:dyDescent="0.2">
      <c r="B169" s="2061"/>
      <c r="C169" s="2410" t="s">
        <v>203</v>
      </c>
      <c r="D169" s="2068" t="s">
        <v>149</v>
      </c>
      <c r="E169" s="2069">
        <v>1</v>
      </c>
      <c r="F169" s="2066">
        <v>0</v>
      </c>
      <c r="G169" s="2067">
        <f t="shared" si="3"/>
        <v>0</v>
      </c>
    </row>
    <row r="170" spans="2:7" ht="25.5" x14ac:dyDescent="0.2">
      <c r="B170" s="2061"/>
      <c r="C170" s="2411" t="s">
        <v>1196</v>
      </c>
      <c r="D170" s="2068" t="s">
        <v>149</v>
      </c>
      <c r="E170" s="2069">
        <v>1</v>
      </c>
      <c r="F170" s="2066">
        <v>0</v>
      </c>
      <c r="G170" s="2067">
        <f t="shared" si="3"/>
        <v>0</v>
      </c>
    </row>
    <row r="171" spans="2:7" x14ac:dyDescent="0.2">
      <c r="B171" s="2061"/>
      <c r="C171" s="2408" t="s">
        <v>207</v>
      </c>
      <c r="D171" s="2068" t="s">
        <v>149</v>
      </c>
      <c r="E171" s="2069">
        <v>1</v>
      </c>
      <c r="F171" s="2066">
        <v>0</v>
      </c>
      <c r="G171" s="2067">
        <f t="shared" si="3"/>
        <v>0</v>
      </c>
    </row>
    <row r="172" spans="2:7" ht="51" x14ac:dyDescent="0.2">
      <c r="B172" s="2061"/>
      <c r="C172" s="2409" t="s">
        <v>192</v>
      </c>
      <c r="D172" s="2068" t="s">
        <v>149</v>
      </c>
      <c r="E172" s="2069">
        <v>1</v>
      </c>
      <c r="F172" s="2066">
        <v>0</v>
      </c>
      <c r="G172" s="2067">
        <f t="shared" si="3"/>
        <v>0</v>
      </c>
    </row>
    <row r="173" spans="2:7" x14ac:dyDescent="0.2">
      <c r="B173" s="2061"/>
      <c r="C173" s="2409" t="s">
        <v>193</v>
      </c>
      <c r="D173" s="2068" t="s">
        <v>149</v>
      </c>
      <c r="E173" s="2069">
        <v>1</v>
      </c>
      <c r="F173" s="2066">
        <v>0</v>
      </c>
      <c r="G173" s="2067">
        <f t="shared" si="3"/>
        <v>0</v>
      </c>
    </row>
    <row r="174" spans="2:7" x14ac:dyDescent="0.2">
      <c r="B174" s="2061"/>
      <c r="C174" s="2409" t="s">
        <v>194</v>
      </c>
      <c r="D174" s="2068" t="s">
        <v>149</v>
      </c>
      <c r="E174" s="2069">
        <v>1</v>
      </c>
      <c r="F174" s="2066">
        <v>0</v>
      </c>
      <c r="G174" s="2067">
        <f t="shared" si="3"/>
        <v>0</v>
      </c>
    </row>
    <row r="175" spans="2:7" ht="25.5" x14ac:dyDescent="0.2">
      <c r="B175" s="2061"/>
      <c r="C175" s="2409" t="s">
        <v>235</v>
      </c>
      <c r="D175" s="2068" t="s">
        <v>149</v>
      </c>
      <c r="E175" s="2069">
        <v>2</v>
      </c>
      <c r="F175" s="2066">
        <v>0</v>
      </c>
      <c r="G175" s="2067">
        <f t="shared" si="3"/>
        <v>0</v>
      </c>
    </row>
    <row r="176" spans="2:7" ht="25.5" x14ac:dyDescent="0.2">
      <c r="B176" s="2061"/>
      <c r="C176" s="2409" t="s">
        <v>1307</v>
      </c>
      <c r="D176" s="2068" t="s">
        <v>149</v>
      </c>
      <c r="E176" s="2069">
        <v>2</v>
      </c>
      <c r="F176" s="2066">
        <v>0</v>
      </c>
      <c r="G176" s="2067">
        <f t="shared" si="3"/>
        <v>0</v>
      </c>
    </row>
    <row r="177" spans="2:12" ht="25.5" x14ac:dyDescent="0.2">
      <c r="B177" s="2061"/>
      <c r="C177" s="2409" t="s">
        <v>197</v>
      </c>
      <c r="D177" s="2068" t="s">
        <v>149</v>
      </c>
      <c r="E177" s="2069">
        <v>1</v>
      </c>
      <c r="F177" s="2066">
        <v>0</v>
      </c>
      <c r="G177" s="2067">
        <f t="shared" si="3"/>
        <v>0</v>
      </c>
    </row>
    <row r="178" spans="2:12" ht="25.5" x14ac:dyDescent="0.2">
      <c r="B178" s="2061"/>
      <c r="C178" s="2409" t="s">
        <v>1196</v>
      </c>
      <c r="D178" s="2068" t="s">
        <v>149</v>
      </c>
      <c r="E178" s="2069">
        <v>1</v>
      </c>
      <c r="F178" s="2066">
        <v>0</v>
      </c>
      <c r="G178" s="2067">
        <f t="shared" si="3"/>
        <v>0</v>
      </c>
    </row>
    <row r="179" spans="2:12" ht="25.5" x14ac:dyDescent="0.2">
      <c r="B179" s="2061"/>
      <c r="C179" s="2410" t="s">
        <v>1585</v>
      </c>
      <c r="D179" s="2422" t="s">
        <v>149</v>
      </c>
      <c r="E179" s="2069">
        <v>4</v>
      </c>
      <c r="F179" s="2066">
        <v>0</v>
      </c>
      <c r="G179" s="2067">
        <f t="shared" ref="G179" si="4">E179*F179</f>
        <v>0</v>
      </c>
    </row>
    <row r="180" spans="2:12" x14ac:dyDescent="0.2">
      <c r="B180" s="950"/>
      <c r="C180" s="955"/>
      <c r="D180" s="2515"/>
      <c r="E180" s="2532"/>
      <c r="F180" s="2453"/>
      <c r="G180" s="2453"/>
    </row>
    <row r="181" spans="2:12" x14ac:dyDescent="0.2">
      <c r="B181" s="2061" t="s">
        <v>1259</v>
      </c>
      <c r="C181" s="2412" t="s">
        <v>1586</v>
      </c>
      <c r="D181" s="2518"/>
      <c r="E181" s="2538"/>
      <c r="F181" s="2539"/>
      <c r="G181" s="2539"/>
    </row>
    <row r="182" spans="2:12" x14ac:dyDescent="0.2">
      <c r="B182" s="2061"/>
      <c r="C182" s="2404" t="s">
        <v>1587</v>
      </c>
      <c r="D182" s="2422" t="s">
        <v>149</v>
      </c>
      <c r="E182" s="2069">
        <v>1</v>
      </c>
      <c r="F182" s="2066">
        <v>0</v>
      </c>
      <c r="G182" s="2067">
        <f t="shared" ref="G182:G191" si="5">E182*F182</f>
        <v>0</v>
      </c>
      <c r="L182" s="2432"/>
    </row>
    <row r="183" spans="2:12" ht="38.25" x14ac:dyDescent="0.2">
      <c r="B183" s="2061"/>
      <c r="C183" s="2404" t="s">
        <v>1588</v>
      </c>
      <c r="D183" s="2422" t="s">
        <v>149</v>
      </c>
      <c r="E183" s="2069">
        <v>2</v>
      </c>
      <c r="F183" s="2066">
        <v>0</v>
      </c>
      <c r="G183" s="2067">
        <f>E183*F183</f>
        <v>0</v>
      </c>
      <c r="L183" s="2431"/>
    </row>
    <row r="184" spans="2:12" ht="29.25" customHeight="1" x14ac:dyDescent="0.2">
      <c r="B184" s="2061"/>
      <c r="C184" s="2428" t="s">
        <v>195</v>
      </c>
      <c r="D184" s="2422" t="s">
        <v>149</v>
      </c>
      <c r="E184" s="2069">
        <v>3</v>
      </c>
      <c r="F184" s="2066">
        <v>0</v>
      </c>
      <c r="G184" s="2067">
        <f t="shared" ref="G184" si="6">E184*F184</f>
        <v>0</v>
      </c>
      <c r="L184" s="2432"/>
    </row>
    <row r="185" spans="2:12" ht="25.5" x14ac:dyDescent="0.2">
      <c r="B185" s="2061"/>
      <c r="C185" s="2410" t="s">
        <v>1292</v>
      </c>
      <c r="D185" s="2422" t="s">
        <v>149</v>
      </c>
      <c r="E185" s="2069">
        <v>3</v>
      </c>
      <c r="F185" s="2066">
        <v>0</v>
      </c>
      <c r="G185" s="2067">
        <f t="shared" si="5"/>
        <v>0</v>
      </c>
      <c r="L185" s="2431"/>
    </row>
    <row r="186" spans="2:12" ht="25.5" x14ac:dyDescent="0.2">
      <c r="B186" s="2061"/>
      <c r="C186" s="2410" t="s">
        <v>1294</v>
      </c>
      <c r="D186" s="2422" t="s">
        <v>149</v>
      </c>
      <c r="E186" s="2069">
        <v>2</v>
      </c>
      <c r="F186" s="2066">
        <v>0</v>
      </c>
      <c r="G186" s="2067">
        <f t="shared" si="5"/>
        <v>0</v>
      </c>
      <c r="L186" s="2431"/>
    </row>
    <row r="187" spans="2:12" ht="24.75" x14ac:dyDescent="0.2">
      <c r="B187" s="2061"/>
      <c r="C187" s="2410" t="s">
        <v>242</v>
      </c>
      <c r="D187" s="2422" t="s">
        <v>149</v>
      </c>
      <c r="E187" s="2069">
        <v>1</v>
      </c>
      <c r="F187" s="2066">
        <v>0</v>
      </c>
      <c r="G187" s="2067">
        <f>E187*F187</f>
        <v>0</v>
      </c>
    </row>
    <row r="188" spans="2:12" x14ac:dyDescent="0.2">
      <c r="B188" s="2061"/>
      <c r="C188" s="2410" t="s">
        <v>1589</v>
      </c>
      <c r="D188" s="2422" t="s">
        <v>149</v>
      </c>
      <c r="E188" s="2069">
        <v>2</v>
      </c>
      <c r="F188" s="2066">
        <v>0</v>
      </c>
      <c r="G188" s="2067">
        <f t="shared" si="5"/>
        <v>0</v>
      </c>
    </row>
    <row r="189" spans="2:12" x14ac:dyDescent="0.2">
      <c r="B189" s="2061"/>
      <c r="C189" s="2410" t="s">
        <v>1590</v>
      </c>
      <c r="D189" s="2422" t="s">
        <v>149</v>
      </c>
      <c r="E189" s="2069">
        <v>1</v>
      </c>
      <c r="F189" s="2066">
        <v>0</v>
      </c>
      <c r="G189" s="2067">
        <f t="shared" si="5"/>
        <v>0</v>
      </c>
    </row>
    <row r="190" spans="2:12" ht="25.5" x14ac:dyDescent="0.2">
      <c r="B190" s="2061"/>
      <c r="C190" s="2410" t="s">
        <v>227</v>
      </c>
      <c r="D190" s="2068" t="s">
        <v>149</v>
      </c>
      <c r="E190" s="2069">
        <v>1</v>
      </c>
      <c r="F190" s="2066">
        <v>0</v>
      </c>
      <c r="G190" s="2067">
        <f t="shared" si="5"/>
        <v>0</v>
      </c>
    </row>
    <row r="191" spans="2:12" ht="25.5" x14ac:dyDescent="0.2">
      <c r="B191" s="2061"/>
      <c r="C191" s="2411" t="s">
        <v>1196</v>
      </c>
      <c r="D191" s="2068" t="s">
        <v>149</v>
      </c>
      <c r="E191" s="2069">
        <v>1</v>
      </c>
      <c r="F191" s="2066">
        <v>0</v>
      </c>
      <c r="G191" s="2067">
        <f t="shared" si="5"/>
        <v>0</v>
      </c>
    </row>
    <row r="192" spans="2:12" x14ac:dyDescent="0.2">
      <c r="B192" s="950"/>
      <c r="C192" s="955"/>
      <c r="D192" s="2515"/>
      <c r="E192" s="2532"/>
      <c r="F192" s="2453"/>
      <c r="G192" s="2453"/>
    </row>
    <row r="193" spans="2:7" x14ac:dyDescent="0.2">
      <c r="B193" s="2061" t="s">
        <v>1261</v>
      </c>
      <c r="C193" s="2412" t="s">
        <v>1591</v>
      </c>
      <c r="D193" s="2518"/>
      <c r="E193" s="2538"/>
      <c r="F193" s="2539"/>
      <c r="G193" s="2539"/>
    </row>
    <row r="194" spans="2:7" ht="25.5" x14ac:dyDescent="0.2">
      <c r="B194" s="2061"/>
      <c r="C194" s="2408" t="s">
        <v>238</v>
      </c>
      <c r="D194" s="2068" t="s">
        <v>149</v>
      </c>
      <c r="E194" s="2069">
        <v>1</v>
      </c>
      <c r="F194" s="2066">
        <v>0</v>
      </c>
      <c r="G194" s="2067">
        <f t="shared" ref="G194:G202" si="7">E194*F194</f>
        <v>0</v>
      </c>
    </row>
    <row r="195" spans="2:7" ht="25.5" x14ac:dyDescent="0.2">
      <c r="B195" s="2061"/>
      <c r="C195" s="2410" t="s">
        <v>235</v>
      </c>
      <c r="D195" s="2068" t="s">
        <v>149</v>
      </c>
      <c r="E195" s="2069">
        <v>2</v>
      </c>
      <c r="F195" s="2066">
        <v>0</v>
      </c>
      <c r="G195" s="2067">
        <f t="shared" si="7"/>
        <v>0</v>
      </c>
    </row>
    <row r="196" spans="2:7" ht="25.5" x14ac:dyDescent="0.2">
      <c r="B196" s="2061"/>
      <c r="C196" s="2410" t="s">
        <v>239</v>
      </c>
      <c r="D196" s="2068" t="s">
        <v>149</v>
      </c>
      <c r="E196" s="2069">
        <v>1</v>
      </c>
      <c r="F196" s="2066">
        <v>0</v>
      </c>
      <c r="G196" s="2067">
        <f t="shared" si="7"/>
        <v>0</v>
      </c>
    </row>
    <row r="197" spans="2:7" ht="25.5" x14ac:dyDescent="0.2">
      <c r="B197" s="2061"/>
      <c r="C197" s="2410" t="s">
        <v>1294</v>
      </c>
      <c r="D197" s="2068" t="s">
        <v>149</v>
      </c>
      <c r="E197" s="2069">
        <v>2</v>
      </c>
      <c r="F197" s="2066">
        <v>0</v>
      </c>
      <c r="G197" s="2067">
        <f t="shared" si="7"/>
        <v>0</v>
      </c>
    </row>
    <row r="198" spans="2:7" ht="25.5" x14ac:dyDescent="0.2">
      <c r="B198" s="2061"/>
      <c r="C198" s="2410" t="s">
        <v>1267</v>
      </c>
      <c r="D198" s="2068" t="s">
        <v>149</v>
      </c>
      <c r="E198" s="2069">
        <v>1</v>
      </c>
      <c r="F198" s="2066">
        <v>0</v>
      </c>
      <c r="G198" s="2067">
        <f t="shared" si="7"/>
        <v>0</v>
      </c>
    </row>
    <row r="199" spans="2:7" x14ac:dyDescent="0.2">
      <c r="B199" s="2061"/>
      <c r="C199" s="2410" t="s">
        <v>1268</v>
      </c>
      <c r="D199" s="2068" t="s">
        <v>149</v>
      </c>
      <c r="E199" s="2069">
        <v>1</v>
      </c>
      <c r="F199" s="2066">
        <v>0</v>
      </c>
      <c r="G199" s="2067">
        <f t="shared" si="7"/>
        <v>0</v>
      </c>
    </row>
    <row r="200" spans="2:7" ht="25.5" x14ac:dyDescent="0.2">
      <c r="B200" s="2061"/>
      <c r="C200" s="2410" t="s">
        <v>1269</v>
      </c>
      <c r="D200" s="2068" t="s">
        <v>149</v>
      </c>
      <c r="E200" s="2069">
        <v>1</v>
      </c>
      <c r="F200" s="2066">
        <v>0</v>
      </c>
      <c r="G200" s="2067">
        <f t="shared" si="7"/>
        <v>0</v>
      </c>
    </row>
    <row r="201" spans="2:7" ht="25.5" x14ac:dyDescent="0.2">
      <c r="B201" s="2061"/>
      <c r="C201" s="2410" t="s">
        <v>227</v>
      </c>
      <c r="D201" s="2068" t="s">
        <v>149</v>
      </c>
      <c r="E201" s="2069">
        <v>1</v>
      </c>
      <c r="F201" s="2066">
        <v>0</v>
      </c>
      <c r="G201" s="2067">
        <f t="shared" si="7"/>
        <v>0</v>
      </c>
    </row>
    <row r="202" spans="2:7" ht="25.5" x14ac:dyDescent="0.2">
      <c r="B202" s="2061"/>
      <c r="C202" s="2411" t="s">
        <v>1196</v>
      </c>
      <c r="D202" s="2068" t="s">
        <v>149</v>
      </c>
      <c r="E202" s="2069">
        <v>1</v>
      </c>
      <c r="F202" s="2066">
        <v>0</v>
      </c>
      <c r="G202" s="2067">
        <f t="shared" si="7"/>
        <v>0</v>
      </c>
    </row>
    <row r="203" spans="2:7" x14ac:dyDescent="0.2">
      <c r="B203" s="950"/>
      <c r="C203" s="955"/>
      <c r="D203" s="2515"/>
      <c r="E203" s="2532"/>
      <c r="F203" s="2453"/>
      <c r="G203" s="2453"/>
    </row>
    <row r="204" spans="2:7" x14ac:dyDescent="0.2">
      <c r="B204" s="2061" t="s">
        <v>1264</v>
      </c>
      <c r="C204" s="2412" t="s">
        <v>1592</v>
      </c>
      <c r="D204" s="2518"/>
      <c r="E204" s="2538"/>
      <c r="F204" s="2539"/>
      <c r="G204" s="2539"/>
    </row>
    <row r="205" spans="2:7" ht="25.5" x14ac:dyDescent="0.2">
      <c r="B205" s="2061"/>
      <c r="C205" s="2408" t="s">
        <v>238</v>
      </c>
      <c r="D205" s="2068" t="s">
        <v>149</v>
      </c>
      <c r="E205" s="2069">
        <v>2</v>
      </c>
      <c r="F205" s="2066">
        <v>0</v>
      </c>
      <c r="G205" s="2067">
        <f t="shared" ref="G205:G213" si="8">E205*F205</f>
        <v>0</v>
      </c>
    </row>
    <row r="206" spans="2:7" ht="25.5" x14ac:dyDescent="0.2">
      <c r="B206" s="2061"/>
      <c r="C206" s="2410" t="s">
        <v>235</v>
      </c>
      <c r="D206" s="2068" t="s">
        <v>149</v>
      </c>
      <c r="E206" s="2069">
        <v>4</v>
      </c>
      <c r="F206" s="2066">
        <v>0</v>
      </c>
      <c r="G206" s="2067">
        <f t="shared" si="8"/>
        <v>0</v>
      </c>
    </row>
    <row r="207" spans="2:7" ht="25.5" x14ac:dyDescent="0.2">
      <c r="B207" s="2061"/>
      <c r="C207" s="2410" t="s">
        <v>239</v>
      </c>
      <c r="D207" s="2068" t="s">
        <v>149</v>
      </c>
      <c r="E207" s="2069">
        <v>2</v>
      </c>
      <c r="F207" s="2066">
        <v>0</v>
      </c>
      <c r="G207" s="2067">
        <f t="shared" si="8"/>
        <v>0</v>
      </c>
    </row>
    <row r="208" spans="2:7" ht="25.5" x14ac:dyDescent="0.2">
      <c r="B208" s="2061"/>
      <c r="C208" s="2410" t="s">
        <v>1294</v>
      </c>
      <c r="D208" s="2068" t="s">
        <v>149</v>
      </c>
      <c r="E208" s="2069">
        <v>4</v>
      </c>
      <c r="F208" s="2066">
        <v>0</v>
      </c>
      <c r="G208" s="2067">
        <f t="shared" si="8"/>
        <v>0</v>
      </c>
    </row>
    <row r="209" spans="2:7" ht="25.5" x14ac:dyDescent="0.2">
      <c r="B209" s="2061"/>
      <c r="C209" s="2410" t="s">
        <v>1267</v>
      </c>
      <c r="D209" s="2068" t="s">
        <v>149</v>
      </c>
      <c r="E209" s="2069">
        <v>2</v>
      </c>
      <c r="F209" s="2066">
        <v>0</v>
      </c>
      <c r="G209" s="2067">
        <f t="shared" si="8"/>
        <v>0</v>
      </c>
    </row>
    <row r="210" spans="2:7" x14ac:dyDescent="0.2">
      <c r="B210" s="2061"/>
      <c r="C210" s="2410" t="s">
        <v>1268</v>
      </c>
      <c r="D210" s="2068" t="s">
        <v>149</v>
      </c>
      <c r="E210" s="2069">
        <v>2</v>
      </c>
      <c r="F210" s="2066">
        <v>0</v>
      </c>
      <c r="G210" s="2067">
        <f t="shared" si="8"/>
        <v>0</v>
      </c>
    </row>
    <row r="211" spans="2:7" ht="25.5" x14ac:dyDescent="0.2">
      <c r="B211" s="2061"/>
      <c r="C211" s="2410" t="s">
        <v>1269</v>
      </c>
      <c r="D211" s="2068" t="s">
        <v>149</v>
      </c>
      <c r="E211" s="2069">
        <v>2</v>
      </c>
      <c r="F211" s="2066">
        <v>0</v>
      </c>
      <c r="G211" s="2067">
        <f t="shared" si="8"/>
        <v>0</v>
      </c>
    </row>
    <row r="212" spans="2:7" ht="25.5" x14ac:dyDescent="0.2">
      <c r="B212" s="2061"/>
      <c r="C212" s="2410" t="s">
        <v>227</v>
      </c>
      <c r="D212" s="2068" t="s">
        <v>149</v>
      </c>
      <c r="E212" s="2069">
        <v>2</v>
      </c>
      <c r="F212" s="2066">
        <v>0</v>
      </c>
      <c r="G212" s="2067">
        <f t="shared" si="8"/>
        <v>0</v>
      </c>
    </row>
    <row r="213" spans="2:7" ht="25.5" x14ac:dyDescent="0.2">
      <c r="B213" s="2061"/>
      <c r="C213" s="2411" t="s">
        <v>1196</v>
      </c>
      <c r="D213" s="2068" t="s">
        <v>149</v>
      </c>
      <c r="E213" s="2069">
        <v>2</v>
      </c>
      <c r="F213" s="2066">
        <v>0</v>
      </c>
      <c r="G213" s="2067">
        <f t="shared" si="8"/>
        <v>0</v>
      </c>
    </row>
    <row r="214" spans="2:7" x14ac:dyDescent="0.2">
      <c r="B214" s="950"/>
      <c r="C214" s="955"/>
      <c r="D214" s="2515"/>
      <c r="E214" s="2532"/>
      <c r="F214" s="2453"/>
      <c r="G214" s="2453"/>
    </row>
    <row r="215" spans="2:7" x14ac:dyDescent="0.2">
      <c r="B215" s="2061" t="s">
        <v>1270</v>
      </c>
      <c r="C215" s="2412" t="s">
        <v>1593</v>
      </c>
      <c r="D215" s="2518"/>
      <c r="E215" s="2538"/>
      <c r="F215" s="2539"/>
      <c r="G215" s="2539"/>
    </row>
    <row r="216" spans="2:7" ht="25.5" x14ac:dyDescent="0.2">
      <c r="B216" s="2061"/>
      <c r="C216" s="2408" t="s">
        <v>233</v>
      </c>
      <c r="D216" s="2068" t="s">
        <v>149</v>
      </c>
      <c r="E216" s="2069">
        <v>1</v>
      </c>
      <c r="F216" s="2066">
        <v>0</v>
      </c>
      <c r="G216" s="2067">
        <f t="shared" ref="G216:G223" si="9">E216*F216</f>
        <v>0</v>
      </c>
    </row>
    <row r="217" spans="2:7" ht="25.5" x14ac:dyDescent="0.2">
      <c r="B217" s="2061"/>
      <c r="C217" s="2410" t="s">
        <v>235</v>
      </c>
      <c r="D217" s="2068" t="s">
        <v>149</v>
      </c>
      <c r="E217" s="2069">
        <v>3</v>
      </c>
      <c r="F217" s="2066">
        <v>0</v>
      </c>
      <c r="G217" s="2067">
        <f t="shared" si="9"/>
        <v>0</v>
      </c>
    </row>
    <row r="218" spans="2:7" ht="25.5" x14ac:dyDescent="0.2">
      <c r="B218" s="2061"/>
      <c r="C218" s="2410" t="s">
        <v>1294</v>
      </c>
      <c r="D218" s="2068" t="s">
        <v>149</v>
      </c>
      <c r="E218" s="2069">
        <v>3</v>
      </c>
      <c r="F218" s="2066">
        <v>0</v>
      </c>
      <c r="G218" s="2067">
        <f t="shared" si="9"/>
        <v>0</v>
      </c>
    </row>
    <row r="219" spans="2:7" ht="25.5" x14ac:dyDescent="0.2">
      <c r="B219" s="2061"/>
      <c r="C219" s="2410" t="s">
        <v>227</v>
      </c>
      <c r="D219" s="2068" t="s">
        <v>149</v>
      </c>
      <c r="E219" s="2069">
        <v>1</v>
      </c>
      <c r="F219" s="2066">
        <v>0</v>
      </c>
      <c r="G219" s="2067">
        <f t="shared" si="9"/>
        <v>0</v>
      </c>
    </row>
    <row r="220" spans="2:7" ht="25.5" x14ac:dyDescent="0.2">
      <c r="B220" s="2061"/>
      <c r="C220" s="2411" t="s">
        <v>1196</v>
      </c>
      <c r="D220" s="2068" t="s">
        <v>149</v>
      </c>
      <c r="E220" s="2069">
        <v>1</v>
      </c>
      <c r="F220" s="2066">
        <v>0</v>
      </c>
      <c r="G220" s="2067">
        <f t="shared" si="9"/>
        <v>0</v>
      </c>
    </row>
    <row r="221" spans="2:7" x14ac:dyDescent="0.2">
      <c r="B221" s="2061"/>
      <c r="C221" s="2404" t="s">
        <v>1594</v>
      </c>
      <c r="D221" s="2422" t="s">
        <v>149</v>
      </c>
      <c r="E221" s="2069">
        <v>1</v>
      </c>
      <c r="F221" s="2066">
        <v>0</v>
      </c>
      <c r="G221" s="2067">
        <f t="shared" si="9"/>
        <v>0</v>
      </c>
    </row>
    <row r="222" spans="2:7" ht="25.5" x14ac:dyDescent="0.2">
      <c r="B222" s="2061"/>
      <c r="C222" s="2410" t="s">
        <v>227</v>
      </c>
      <c r="D222" s="2068" t="s">
        <v>149</v>
      </c>
      <c r="E222" s="2069">
        <v>1</v>
      </c>
      <c r="F222" s="2066">
        <v>0</v>
      </c>
      <c r="G222" s="2067">
        <f t="shared" si="9"/>
        <v>0</v>
      </c>
    </row>
    <row r="223" spans="2:7" ht="25.5" x14ac:dyDescent="0.2">
      <c r="B223" s="2061"/>
      <c r="C223" s="2411" t="s">
        <v>1196</v>
      </c>
      <c r="D223" s="2068" t="s">
        <v>149</v>
      </c>
      <c r="E223" s="2069">
        <v>1</v>
      </c>
      <c r="F223" s="2066">
        <v>0</v>
      </c>
      <c r="G223" s="2067">
        <f t="shared" si="9"/>
        <v>0</v>
      </c>
    </row>
    <row r="224" spans="2:7" x14ac:dyDescent="0.2">
      <c r="B224" s="950"/>
      <c r="C224" s="955"/>
      <c r="D224" s="2515"/>
      <c r="E224" s="2532"/>
      <c r="F224" s="2453"/>
      <c r="G224" s="2453"/>
    </row>
    <row r="225" spans="2:13" x14ac:dyDescent="0.2">
      <c r="B225" s="2061" t="s">
        <v>1275</v>
      </c>
      <c r="C225" s="2412" t="s">
        <v>1595</v>
      </c>
      <c r="D225" s="2518"/>
      <c r="E225" s="2538"/>
      <c r="F225" s="2539"/>
      <c r="G225" s="2539"/>
    </row>
    <row r="226" spans="2:13" ht="25.5" x14ac:dyDescent="0.2">
      <c r="B226" s="2061"/>
      <c r="C226" s="2408" t="s">
        <v>233</v>
      </c>
      <c r="D226" s="2068" t="s">
        <v>149</v>
      </c>
      <c r="E226" s="2069">
        <v>1</v>
      </c>
      <c r="F226" s="2066">
        <v>0</v>
      </c>
      <c r="G226" s="2067">
        <f t="shared" ref="G226:G233" si="10">E226*F226</f>
        <v>0</v>
      </c>
    </row>
    <row r="227" spans="2:13" ht="25.5" x14ac:dyDescent="0.2">
      <c r="B227" s="2061"/>
      <c r="C227" s="2410" t="s">
        <v>235</v>
      </c>
      <c r="D227" s="2068" t="s">
        <v>149</v>
      </c>
      <c r="E227" s="2069">
        <v>3</v>
      </c>
      <c r="F227" s="2066">
        <v>0</v>
      </c>
      <c r="G227" s="2067">
        <f t="shared" si="10"/>
        <v>0</v>
      </c>
    </row>
    <row r="228" spans="2:13" ht="25.5" x14ac:dyDescent="0.2">
      <c r="B228" s="2061"/>
      <c r="C228" s="2410" t="s">
        <v>1294</v>
      </c>
      <c r="D228" s="2068" t="s">
        <v>149</v>
      </c>
      <c r="E228" s="2069">
        <v>3</v>
      </c>
      <c r="F228" s="2066">
        <v>0</v>
      </c>
      <c r="G228" s="2067">
        <f t="shared" si="10"/>
        <v>0</v>
      </c>
    </row>
    <row r="229" spans="2:13" ht="25.5" x14ac:dyDescent="0.2">
      <c r="B229" s="2061"/>
      <c r="C229" s="2410" t="s">
        <v>227</v>
      </c>
      <c r="D229" s="2068" t="s">
        <v>149</v>
      </c>
      <c r="E229" s="2069">
        <v>1</v>
      </c>
      <c r="F229" s="2066">
        <v>0</v>
      </c>
      <c r="G229" s="2067">
        <f t="shared" si="10"/>
        <v>0</v>
      </c>
    </row>
    <row r="230" spans="2:13" ht="25.5" x14ac:dyDescent="0.2">
      <c r="B230" s="2061"/>
      <c r="C230" s="2411" t="s">
        <v>1196</v>
      </c>
      <c r="D230" s="2068" t="s">
        <v>149</v>
      </c>
      <c r="E230" s="2069">
        <v>1</v>
      </c>
      <c r="F230" s="2066">
        <v>0</v>
      </c>
      <c r="G230" s="2067">
        <f t="shared" si="10"/>
        <v>0</v>
      </c>
    </row>
    <row r="231" spans="2:13" x14ac:dyDescent="0.2">
      <c r="B231" s="2061"/>
      <c r="C231" s="2404" t="s">
        <v>1596</v>
      </c>
      <c r="D231" s="2422" t="s">
        <v>149</v>
      </c>
      <c r="E231" s="2069">
        <v>1</v>
      </c>
      <c r="F231" s="2066">
        <v>0</v>
      </c>
      <c r="G231" s="2067">
        <f t="shared" si="10"/>
        <v>0</v>
      </c>
    </row>
    <row r="232" spans="2:13" x14ac:dyDescent="0.2">
      <c r="B232" s="2061"/>
      <c r="C232" s="2404" t="s">
        <v>1597</v>
      </c>
      <c r="D232" s="2422" t="s">
        <v>149</v>
      </c>
      <c r="E232" s="2069">
        <v>1</v>
      </c>
      <c r="F232" s="2066">
        <v>0</v>
      </c>
      <c r="G232" s="2067">
        <f t="shared" si="10"/>
        <v>0</v>
      </c>
      <c r="K232" s="2432"/>
      <c r="L232" s="2432"/>
      <c r="M232" s="2432"/>
    </row>
    <row r="233" spans="2:13" ht="25.5" x14ac:dyDescent="0.2">
      <c r="B233" s="2061"/>
      <c r="C233" s="2410" t="s">
        <v>1269</v>
      </c>
      <c r="D233" s="2422" t="s">
        <v>149</v>
      </c>
      <c r="E233" s="2069">
        <v>1</v>
      </c>
      <c r="F233" s="2066">
        <v>0</v>
      </c>
      <c r="G233" s="2067">
        <f t="shared" si="10"/>
        <v>0</v>
      </c>
      <c r="K233" s="2432"/>
      <c r="L233" s="2466"/>
      <c r="M233" s="2432"/>
    </row>
    <row r="234" spans="2:13" x14ac:dyDescent="0.2">
      <c r="B234" s="950"/>
      <c r="C234" s="955"/>
      <c r="D234" s="2515"/>
      <c r="E234" s="2532"/>
      <c r="F234" s="2453"/>
      <c r="G234" s="2453"/>
      <c r="K234" s="2432"/>
      <c r="L234" s="2466"/>
      <c r="M234" s="2432"/>
    </row>
    <row r="235" spans="2:13" x14ac:dyDescent="0.2">
      <c r="B235" s="2061" t="s">
        <v>1303</v>
      </c>
      <c r="C235" s="2412" t="s">
        <v>1598</v>
      </c>
      <c r="D235" s="2518"/>
      <c r="E235" s="2538"/>
      <c r="F235" s="2539"/>
      <c r="G235" s="2539"/>
      <c r="K235" s="2432"/>
      <c r="L235" s="2466"/>
      <c r="M235" s="2432"/>
    </row>
    <row r="236" spans="2:13" ht="25.5" x14ac:dyDescent="0.2">
      <c r="B236" s="2061"/>
      <c r="C236" s="2408" t="s">
        <v>233</v>
      </c>
      <c r="D236" s="2068" t="s">
        <v>149</v>
      </c>
      <c r="E236" s="2069">
        <v>1</v>
      </c>
      <c r="F236" s="2066">
        <v>0</v>
      </c>
      <c r="G236" s="2067">
        <f t="shared" ref="G236:G243" si="11">E236*F236</f>
        <v>0</v>
      </c>
      <c r="K236" s="2432"/>
      <c r="L236" s="2432"/>
      <c r="M236" s="2432"/>
    </row>
    <row r="237" spans="2:13" ht="25.5" x14ac:dyDescent="0.2">
      <c r="B237" s="2061"/>
      <c r="C237" s="2410" t="s">
        <v>235</v>
      </c>
      <c r="D237" s="2068" t="s">
        <v>149</v>
      </c>
      <c r="E237" s="2069">
        <v>3</v>
      </c>
      <c r="F237" s="2066">
        <v>0</v>
      </c>
      <c r="G237" s="2067">
        <f t="shared" si="11"/>
        <v>0</v>
      </c>
    </row>
    <row r="238" spans="2:13" ht="25.5" x14ac:dyDescent="0.2">
      <c r="B238" s="2061"/>
      <c r="C238" s="2410" t="s">
        <v>1294</v>
      </c>
      <c r="D238" s="2068" t="s">
        <v>149</v>
      </c>
      <c r="E238" s="2069">
        <v>3</v>
      </c>
      <c r="F238" s="2066">
        <v>0</v>
      </c>
      <c r="G238" s="2067">
        <f t="shared" si="11"/>
        <v>0</v>
      </c>
    </row>
    <row r="239" spans="2:13" ht="25.5" x14ac:dyDescent="0.2">
      <c r="B239" s="2061"/>
      <c r="C239" s="2410" t="s">
        <v>227</v>
      </c>
      <c r="D239" s="2068" t="s">
        <v>149</v>
      </c>
      <c r="E239" s="2069">
        <v>1</v>
      </c>
      <c r="F239" s="2066">
        <v>0</v>
      </c>
      <c r="G239" s="2067">
        <f t="shared" si="11"/>
        <v>0</v>
      </c>
    </row>
    <row r="240" spans="2:13" ht="25.5" x14ac:dyDescent="0.2">
      <c r="B240" s="2061"/>
      <c r="C240" s="2411" t="s">
        <v>1196</v>
      </c>
      <c r="D240" s="2068" t="s">
        <v>149</v>
      </c>
      <c r="E240" s="2069">
        <v>1</v>
      </c>
      <c r="F240" s="2066">
        <v>0</v>
      </c>
      <c r="G240" s="2067">
        <f t="shared" si="11"/>
        <v>0</v>
      </c>
    </row>
    <row r="241" spans="2:8" ht="16.5" customHeight="1" x14ac:dyDescent="0.2">
      <c r="B241" s="2061"/>
      <c r="C241" s="2404" t="s">
        <v>1594</v>
      </c>
      <c r="D241" s="2422" t="s">
        <v>149</v>
      </c>
      <c r="E241" s="2069">
        <v>1</v>
      </c>
      <c r="F241" s="2066">
        <v>0</v>
      </c>
      <c r="G241" s="2067">
        <f t="shared" si="11"/>
        <v>0</v>
      </c>
    </row>
    <row r="242" spans="2:8" ht="25.5" x14ac:dyDescent="0.2">
      <c r="B242" s="2061"/>
      <c r="C242" s="2410" t="s">
        <v>227</v>
      </c>
      <c r="D242" s="2068" t="s">
        <v>149</v>
      </c>
      <c r="E242" s="2069">
        <v>1</v>
      </c>
      <c r="F242" s="2066">
        <v>0</v>
      </c>
      <c r="G242" s="2067">
        <f t="shared" si="11"/>
        <v>0</v>
      </c>
    </row>
    <row r="243" spans="2:8" ht="25.5" x14ac:dyDescent="0.2">
      <c r="B243" s="2061"/>
      <c r="C243" s="2411" t="s">
        <v>1196</v>
      </c>
      <c r="D243" s="2068" t="s">
        <v>149</v>
      </c>
      <c r="E243" s="2069">
        <v>1</v>
      </c>
      <c r="F243" s="2066">
        <v>0</v>
      </c>
      <c r="G243" s="2067">
        <f t="shared" si="11"/>
        <v>0</v>
      </c>
    </row>
    <row r="244" spans="2:8" x14ac:dyDescent="0.2">
      <c r="B244" s="950"/>
      <c r="C244" s="955"/>
      <c r="D244" s="2515"/>
      <c r="E244" s="2532"/>
      <c r="F244" s="2453"/>
      <c r="G244" s="2453"/>
    </row>
    <row r="245" spans="2:8" x14ac:dyDescent="0.2">
      <c r="B245" s="950" t="s">
        <v>1305</v>
      </c>
      <c r="C245" s="963" t="s">
        <v>1599</v>
      </c>
      <c r="D245" s="2540"/>
      <c r="E245" s="2541"/>
      <c r="F245" s="2452"/>
      <c r="G245" s="2452"/>
      <c r="H245" s="741"/>
    </row>
    <row r="246" spans="2:8" ht="25.5" x14ac:dyDescent="0.2">
      <c r="B246" s="950"/>
      <c r="C246" s="962" t="s">
        <v>1600</v>
      </c>
      <c r="D246" s="2540" t="s">
        <v>149</v>
      </c>
      <c r="E246" s="2541">
        <v>15</v>
      </c>
      <c r="F246" s="2010">
        <v>0</v>
      </c>
      <c r="G246" s="976">
        <f>E246*F246</f>
        <v>0</v>
      </c>
      <c r="H246" s="741"/>
    </row>
    <row r="247" spans="2:8" ht="25.5" x14ac:dyDescent="0.2">
      <c r="B247" s="950"/>
      <c r="C247" s="962" t="s">
        <v>1585</v>
      </c>
      <c r="D247" s="2540" t="s">
        <v>149</v>
      </c>
      <c r="E247" s="2541">
        <v>20</v>
      </c>
      <c r="F247" s="2010">
        <v>0</v>
      </c>
      <c r="G247" s="976">
        <f>E247*F247</f>
        <v>0</v>
      </c>
      <c r="H247" s="741"/>
    </row>
    <row r="248" spans="2:8" ht="25.5" x14ac:dyDescent="0.2">
      <c r="B248" s="950"/>
      <c r="C248" s="962" t="s">
        <v>900</v>
      </c>
      <c r="D248" s="2540" t="s">
        <v>149</v>
      </c>
      <c r="E248" s="2541">
        <v>1</v>
      </c>
      <c r="F248" s="2010">
        <v>0</v>
      </c>
      <c r="G248" s="976">
        <f>E248*F248</f>
        <v>0</v>
      </c>
      <c r="H248" s="741"/>
    </row>
    <row r="250" spans="2:8" x14ac:dyDescent="0.2">
      <c r="B250" s="984" t="s">
        <v>17</v>
      </c>
      <c r="C250" s="985" t="s">
        <v>302</v>
      </c>
      <c r="D250" s="986"/>
      <c r="E250" s="987"/>
      <c r="F250" s="988"/>
      <c r="G250" s="876">
        <f>SUM(G115:G248)</f>
        <v>0</v>
      </c>
    </row>
  </sheetData>
  <mergeCells count="4">
    <mergeCell ref="B52:G52"/>
    <mergeCell ref="B112:G112"/>
    <mergeCell ref="B113:G113"/>
    <mergeCell ref="B114:G114"/>
  </mergeCells>
  <pageMargins left="0.7" right="0.7" top="0.75" bottom="0.75" header="0.3" footer="0.3"/>
  <pageSetup paperSize="9" scale="73" orientation="portrait" r:id="rId1"/>
  <headerFooter alignWithMargins="0"/>
  <rowBreaks count="3" manualBreakCount="3">
    <brk id="48" max="16383" man="1"/>
    <brk id="77" min="1" max="6" man="1"/>
    <brk id="11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5D8AF-2108-4D20-93D6-BEAC586CA56A}">
  <sheetPr codeName="Sheet72">
    <tabColor rgb="FF0070C0"/>
  </sheetPr>
  <dimension ref="B2:AA303"/>
  <sheetViews>
    <sheetView topLeftCell="A84" zoomScaleNormal="100" workbookViewId="0">
      <selection activeCell="C99" sqref="C99"/>
    </sheetView>
  </sheetViews>
  <sheetFormatPr defaultColWidth="10.42578125" defaultRowHeight="12.75" x14ac:dyDescent="0.2"/>
  <cols>
    <col min="1" max="1" width="4.140625" style="130" customWidth="1"/>
    <col min="2" max="2" width="10.42578125" style="745" customWidth="1"/>
    <col min="3" max="3" width="36.28515625" style="746" customWidth="1"/>
    <col min="4" max="4" width="10.42578125" style="130" customWidth="1"/>
    <col min="5" max="5" width="17.140625" style="747" customWidth="1"/>
    <col min="6" max="6" width="15.140625" style="748" customWidth="1"/>
    <col min="7" max="7" width="14.85546875" style="749" customWidth="1"/>
    <col min="8" max="8" width="10.42578125" style="2430" customWidth="1"/>
    <col min="9" max="9" width="12.85546875" style="2430" customWidth="1"/>
    <col min="10" max="10" width="15.42578125" style="2430" customWidth="1"/>
    <col min="11" max="11" width="32.7109375" style="2430" customWidth="1"/>
    <col min="12" max="12" width="14.28515625" style="2430" customWidth="1"/>
    <col min="13" max="13" width="11.7109375" style="2430" customWidth="1"/>
    <col min="14" max="27" width="10.42578125" style="2430"/>
    <col min="28" max="258" width="10.42578125" style="130"/>
    <col min="259" max="259" width="36.28515625" style="130" customWidth="1"/>
    <col min="260" max="260" width="10.42578125" style="130"/>
    <col min="261" max="261" width="17.140625" style="130" customWidth="1"/>
    <col min="262" max="262" width="15.140625" style="130" customWidth="1"/>
    <col min="263" max="263" width="14.85546875" style="130" customWidth="1"/>
    <col min="264" max="264" width="10.42578125" style="130"/>
    <col min="265" max="265" width="12.85546875" style="130" customWidth="1"/>
    <col min="266" max="266" width="15.42578125" style="130" customWidth="1"/>
    <col min="267" max="267" width="32.7109375" style="130" customWidth="1"/>
    <col min="268" max="268" width="14.28515625" style="130" customWidth="1"/>
    <col min="269" max="269" width="11.7109375" style="130" customWidth="1"/>
    <col min="270" max="514" width="10.42578125" style="130"/>
    <col min="515" max="515" width="36.28515625" style="130" customWidth="1"/>
    <col min="516" max="516" width="10.42578125" style="130"/>
    <col min="517" max="517" width="17.140625" style="130" customWidth="1"/>
    <col min="518" max="518" width="15.140625" style="130" customWidth="1"/>
    <col min="519" max="519" width="14.85546875" style="130" customWidth="1"/>
    <col min="520" max="520" width="10.42578125" style="130"/>
    <col min="521" max="521" width="12.85546875" style="130" customWidth="1"/>
    <col min="522" max="522" width="15.42578125" style="130" customWidth="1"/>
    <col min="523" max="523" width="32.7109375" style="130" customWidth="1"/>
    <col min="524" max="524" width="14.28515625" style="130" customWidth="1"/>
    <col min="525" max="525" width="11.7109375" style="130" customWidth="1"/>
    <col min="526" max="770" width="10.42578125" style="130"/>
    <col min="771" max="771" width="36.28515625" style="130" customWidth="1"/>
    <col min="772" max="772" width="10.42578125" style="130"/>
    <col min="773" max="773" width="17.140625" style="130" customWidth="1"/>
    <col min="774" max="774" width="15.140625" style="130" customWidth="1"/>
    <col min="775" max="775" width="14.85546875" style="130" customWidth="1"/>
    <col min="776" max="776" width="10.42578125" style="130"/>
    <col min="777" max="777" width="12.85546875" style="130" customWidth="1"/>
    <col min="778" max="778" width="15.42578125" style="130" customWidth="1"/>
    <col min="779" max="779" width="32.7109375" style="130" customWidth="1"/>
    <col min="780" max="780" width="14.28515625" style="130" customWidth="1"/>
    <col min="781" max="781" width="11.7109375" style="130" customWidth="1"/>
    <col min="782" max="1026" width="10.42578125" style="130"/>
    <col min="1027" max="1027" width="36.28515625" style="130" customWidth="1"/>
    <col min="1028" max="1028" width="10.42578125" style="130"/>
    <col min="1029" max="1029" width="17.140625" style="130" customWidth="1"/>
    <col min="1030" max="1030" width="15.140625" style="130" customWidth="1"/>
    <col min="1031" max="1031" width="14.85546875" style="130" customWidth="1"/>
    <col min="1032" max="1032" width="10.42578125" style="130"/>
    <col min="1033" max="1033" width="12.85546875" style="130" customWidth="1"/>
    <col min="1034" max="1034" width="15.42578125" style="130" customWidth="1"/>
    <col min="1035" max="1035" width="32.7109375" style="130" customWidth="1"/>
    <col min="1036" max="1036" width="14.28515625" style="130" customWidth="1"/>
    <col min="1037" max="1037" width="11.7109375" style="130" customWidth="1"/>
    <col min="1038" max="1282" width="10.42578125" style="130"/>
    <col min="1283" max="1283" width="36.28515625" style="130" customWidth="1"/>
    <col min="1284" max="1284" width="10.42578125" style="130"/>
    <col min="1285" max="1285" width="17.140625" style="130" customWidth="1"/>
    <col min="1286" max="1286" width="15.140625" style="130" customWidth="1"/>
    <col min="1287" max="1287" width="14.85546875" style="130" customWidth="1"/>
    <col min="1288" max="1288" width="10.42578125" style="130"/>
    <col min="1289" max="1289" width="12.85546875" style="130" customWidth="1"/>
    <col min="1290" max="1290" width="15.42578125" style="130" customWidth="1"/>
    <col min="1291" max="1291" width="32.7109375" style="130" customWidth="1"/>
    <col min="1292" max="1292" width="14.28515625" style="130" customWidth="1"/>
    <col min="1293" max="1293" width="11.7109375" style="130" customWidth="1"/>
    <col min="1294" max="1538" width="10.42578125" style="130"/>
    <col min="1539" max="1539" width="36.28515625" style="130" customWidth="1"/>
    <col min="1540" max="1540" width="10.42578125" style="130"/>
    <col min="1541" max="1541" width="17.140625" style="130" customWidth="1"/>
    <col min="1542" max="1542" width="15.140625" style="130" customWidth="1"/>
    <col min="1543" max="1543" width="14.85546875" style="130" customWidth="1"/>
    <col min="1544" max="1544" width="10.42578125" style="130"/>
    <col min="1545" max="1545" width="12.85546875" style="130" customWidth="1"/>
    <col min="1546" max="1546" width="15.42578125" style="130" customWidth="1"/>
    <col min="1547" max="1547" width="32.7109375" style="130" customWidth="1"/>
    <col min="1548" max="1548" width="14.28515625" style="130" customWidth="1"/>
    <col min="1549" max="1549" width="11.7109375" style="130" customWidth="1"/>
    <col min="1550" max="1794" width="10.42578125" style="130"/>
    <col min="1795" max="1795" width="36.28515625" style="130" customWidth="1"/>
    <col min="1796" max="1796" width="10.42578125" style="130"/>
    <col min="1797" max="1797" width="17.140625" style="130" customWidth="1"/>
    <col min="1798" max="1798" width="15.140625" style="130" customWidth="1"/>
    <col min="1799" max="1799" width="14.85546875" style="130" customWidth="1"/>
    <col min="1800" max="1800" width="10.42578125" style="130"/>
    <col min="1801" max="1801" width="12.85546875" style="130" customWidth="1"/>
    <col min="1802" max="1802" width="15.42578125" style="130" customWidth="1"/>
    <col min="1803" max="1803" width="32.7109375" style="130" customWidth="1"/>
    <col min="1804" max="1804" width="14.28515625" style="130" customWidth="1"/>
    <col min="1805" max="1805" width="11.7109375" style="130" customWidth="1"/>
    <col min="1806" max="2050" width="10.42578125" style="130"/>
    <col min="2051" max="2051" width="36.28515625" style="130" customWidth="1"/>
    <col min="2052" max="2052" width="10.42578125" style="130"/>
    <col min="2053" max="2053" width="17.140625" style="130" customWidth="1"/>
    <col min="2054" max="2054" width="15.140625" style="130" customWidth="1"/>
    <col min="2055" max="2055" width="14.85546875" style="130" customWidth="1"/>
    <col min="2056" max="2056" width="10.42578125" style="130"/>
    <col min="2057" max="2057" width="12.85546875" style="130" customWidth="1"/>
    <col min="2058" max="2058" width="15.42578125" style="130" customWidth="1"/>
    <col min="2059" max="2059" width="32.7109375" style="130" customWidth="1"/>
    <col min="2060" max="2060" width="14.28515625" style="130" customWidth="1"/>
    <col min="2061" max="2061" width="11.7109375" style="130" customWidth="1"/>
    <col min="2062" max="2306" width="10.42578125" style="130"/>
    <col min="2307" max="2307" width="36.28515625" style="130" customWidth="1"/>
    <col min="2308" max="2308" width="10.42578125" style="130"/>
    <col min="2309" max="2309" width="17.140625" style="130" customWidth="1"/>
    <col min="2310" max="2310" width="15.140625" style="130" customWidth="1"/>
    <col min="2311" max="2311" width="14.85546875" style="130" customWidth="1"/>
    <col min="2312" max="2312" width="10.42578125" style="130"/>
    <col min="2313" max="2313" width="12.85546875" style="130" customWidth="1"/>
    <col min="2314" max="2314" width="15.42578125" style="130" customWidth="1"/>
    <col min="2315" max="2315" width="32.7109375" style="130" customWidth="1"/>
    <col min="2316" max="2316" width="14.28515625" style="130" customWidth="1"/>
    <col min="2317" max="2317" width="11.7109375" style="130" customWidth="1"/>
    <col min="2318" max="2562" width="10.42578125" style="130"/>
    <col min="2563" max="2563" width="36.28515625" style="130" customWidth="1"/>
    <col min="2564" max="2564" width="10.42578125" style="130"/>
    <col min="2565" max="2565" width="17.140625" style="130" customWidth="1"/>
    <col min="2566" max="2566" width="15.140625" style="130" customWidth="1"/>
    <col min="2567" max="2567" width="14.85546875" style="130" customWidth="1"/>
    <col min="2568" max="2568" width="10.42578125" style="130"/>
    <col min="2569" max="2569" width="12.85546875" style="130" customWidth="1"/>
    <col min="2570" max="2570" width="15.42578125" style="130" customWidth="1"/>
    <col min="2571" max="2571" width="32.7109375" style="130" customWidth="1"/>
    <col min="2572" max="2572" width="14.28515625" style="130" customWidth="1"/>
    <col min="2573" max="2573" width="11.7109375" style="130" customWidth="1"/>
    <col min="2574" max="2818" width="10.42578125" style="130"/>
    <col min="2819" max="2819" width="36.28515625" style="130" customWidth="1"/>
    <col min="2820" max="2820" width="10.42578125" style="130"/>
    <col min="2821" max="2821" width="17.140625" style="130" customWidth="1"/>
    <col min="2822" max="2822" width="15.140625" style="130" customWidth="1"/>
    <col min="2823" max="2823" width="14.85546875" style="130" customWidth="1"/>
    <col min="2824" max="2824" width="10.42578125" style="130"/>
    <col min="2825" max="2825" width="12.85546875" style="130" customWidth="1"/>
    <col min="2826" max="2826" width="15.42578125" style="130" customWidth="1"/>
    <col min="2827" max="2827" width="32.7109375" style="130" customWidth="1"/>
    <col min="2828" max="2828" width="14.28515625" style="130" customWidth="1"/>
    <col min="2829" max="2829" width="11.7109375" style="130" customWidth="1"/>
    <col min="2830" max="3074" width="10.42578125" style="130"/>
    <col min="3075" max="3075" width="36.28515625" style="130" customWidth="1"/>
    <col min="3076" max="3076" width="10.42578125" style="130"/>
    <col min="3077" max="3077" width="17.140625" style="130" customWidth="1"/>
    <col min="3078" max="3078" width="15.140625" style="130" customWidth="1"/>
    <col min="3079" max="3079" width="14.85546875" style="130" customWidth="1"/>
    <col min="3080" max="3080" width="10.42578125" style="130"/>
    <col min="3081" max="3081" width="12.85546875" style="130" customWidth="1"/>
    <col min="3082" max="3082" width="15.42578125" style="130" customWidth="1"/>
    <col min="3083" max="3083" width="32.7109375" style="130" customWidth="1"/>
    <col min="3084" max="3084" width="14.28515625" style="130" customWidth="1"/>
    <col min="3085" max="3085" width="11.7109375" style="130" customWidth="1"/>
    <col min="3086" max="3330" width="10.42578125" style="130"/>
    <col min="3331" max="3331" width="36.28515625" style="130" customWidth="1"/>
    <col min="3332" max="3332" width="10.42578125" style="130"/>
    <col min="3333" max="3333" width="17.140625" style="130" customWidth="1"/>
    <col min="3334" max="3334" width="15.140625" style="130" customWidth="1"/>
    <col min="3335" max="3335" width="14.85546875" style="130" customWidth="1"/>
    <col min="3336" max="3336" width="10.42578125" style="130"/>
    <col min="3337" max="3337" width="12.85546875" style="130" customWidth="1"/>
    <col min="3338" max="3338" width="15.42578125" style="130" customWidth="1"/>
    <col min="3339" max="3339" width="32.7109375" style="130" customWidth="1"/>
    <col min="3340" max="3340" width="14.28515625" style="130" customWidth="1"/>
    <col min="3341" max="3341" width="11.7109375" style="130" customWidth="1"/>
    <col min="3342" max="3586" width="10.42578125" style="130"/>
    <col min="3587" max="3587" width="36.28515625" style="130" customWidth="1"/>
    <col min="3588" max="3588" width="10.42578125" style="130"/>
    <col min="3589" max="3589" width="17.140625" style="130" customWidth="1"/>
    <col min="3590" max="3590" width="15.140625" style="130" customWidth="1"/>
    <col min="3591" max="3591" width="14.85546875" style="130" customWidth="1"/>
    <col min="3592" max="3592" width="10.42578125" style="130"/>
    <col min="3593" max="3593" width="12.85546875" style="130" customWidth="1"/>
    <col min="3594" max="3594" width="15.42578125" style="130" customWidth="1"/>
    <col min="3595" max="3595" width="32.7109375" style="130" customWidth="1"/>
    <col min="3596" max="3596" width="14.28515625" style="130" customWidth="1"/>
    <col min="3597" max="3597" width="11.7109375" style="130" customWidth="1"/>
    <col min="3598" max="3842" width="10.42578125" style="130"/>
    <col min="3843" max="3843" width="36.28515625" style="130" customWidth="1"/>
    <col min="3844" max="3844" width="10.42578125" style="130"/>
    <col min="3845" max="3845" width="17.140625" style="130" customWidth="1"/>
    <col min="3846" max="3846" width="15.140625" style="130" customWidth="1"/>
    <col min="3847" max="3847" width="14.85546875" style="130" customWidth="1"/>
    <col min="3848" max="3848" width="10.42578125" style="130"/>
    <col min="3849" max="3849" width="12.85546875" style="130" customWidth="1"/>
    <col min="3850" max="3850" width="15.42578125" style="130" customWidth="1"/>
    <col min="3851" max="3851" width="32.7109375" style="130" customWidth="1"/>
    <col min="3852" max="3852" width="14.28515625" style="130" customWidth="1"/>
    <col min="3853" max="3853" width="11.7109375" style="130" customWidth="1"/>
    <col min="3854" max="4098" width="10.42578125" style="130"/>
    <col min="4099" max="4099" width="36.28515625" style="130" customWidth="1"/>
    <col min="4100" max="4100" width="10.42578125" style="130"/>
    <col min="4101" max="4101" width="17.140625" style="130" customWidth="1"/>
    <col min="4102" max="4102" width="15.140625" style="130" customWidth="1"/>
    <col min="4103" max="4103" width="14.85546875" style="130" customWidth="1"/>
    <col min="4104" max="4104" width="10.42578125" style="130"/>
    <col min="4105" max="4105" width="12.85546875" style="130" customWidth="1"/>
    <col min="4106" max="4106" width="15.42578125" style="130" customWidth="1"/>
    <col min="4107" max="4107" width="32.7109375" style="130" customWidth="1"/>
    <col min="4108" max="4108" width="14.28515625" style="130" customWidth="1"/>
    <col min="4109" max="4109" width="11.7109375" style="130" customWidth="1"/>
    <col min="4110" max="4354" width="10.42578125" style="130"/>
    <col min="4355" max="4355" width="36.28515625" style="130" customWidth="1"/>
    <col min="4356" max="4356" width="10.42578125" style="130"/>
    <col min="4357" max="4357" width="17.140625" style="130" customWidth="1"/>
    <col min="4358" max="4358" width="15.140625" style="130" customWidth="1"/>
    <col min="4359" max="4359" width="14.85546875" style="130" customWidth="1"/>
    <col min="4360" max="4360" width="10.42578125" style="130"/>
    <col min="4361" max="4361" width="12.85546875" style="130" customWidth="1"/>
    <col min="4362" max="4362" width="15.42578125" style="130" customWidth="1"/>
    <col min="4363" max="4363" width="32.7109375" style="130" customWidth="1"/>
    <col min="4364" max="4364" width="14.28515625" style="130" customWidth="1"/>
    <col min="4365" max="4365" width="11.7109375" style="130" customWidth="1"/>
    <col min="4366" max="4610" width="10.42578125" style="130"/>
    <col min="4611" max="4611" width="36.28515625" style="130" customWidth="1"/>
    <col min="4612" max="4612" width="10.42578125" style="130"/>
    <col min="4613" max="4613" width="17.140625" style="130" customWidth="1"/>
    <col min="4614" max="4614" width="15.140625" style="130" customWidth="1"/>
    <col min="4615" max="4615" width="14.85546875" style="130" customWidth="1"/>
    <col min="4616" max="4616" width="10.42578125" style="130"/>
    <col min="4617" max="4617" width="12.85546875" style="130" customWidth="1"/>
    <col min="4618" max="4618" width="15.42578125" style="130" customWidth="1"/>
    <col min="4619" max="4619" width="32.7109375" style="130" customWidth="1"/>
    <col min="4620" max="4620" width="14.28515625" style="130" customWidth="1"/>
    <col min="4621" max="4621" width="11.7109375" style="130" customWidth="1"/>
    <col min="4622" max="4866" width="10.42578125" style="130"/>
    <col min="4867" max="4867" width="36.28515625" style="130" customWidth="1"/>
    <col min="4868" max="4868" width="10.42578125" style="130"/>
    <col min="4869" max="4869" width="17.140625" style="130" customWidth="1"/>
    <col min="4870" max="4870" width="15.140625" style="130" customWidth="1"/>
    <col min="4871" max="4871" width="14.85546875" style="130" customWidth="1"/>
    <col min="4872" max="4872" width="10.42578125" style="130"/>
    <col min="4873" max="4873" width="12.85546875" style="130" customWidth="1"/>
    <col min="4874" max="4874" width="15.42578125" style="130" customWidth="1"/>
    <col min="4875" max="4875" width="32.7109375" style="130" customWidth="1"/>
    <col min="4876" max="4876" width="14.28515625" style="130" customWidth="1"/>
    <col min="4877" max="4877" width="11.7109375" style="130" customWidth="1"/>
    <col min="4878" max="5122" width="10.42578125" style="130"/>
    <col min="5123" max="5123" width="36.28515625" style="130" customWidth="1"/>
    <col min="5124" max="5124" width="10.42578125" style="130"/>
    <col min="5125" max="5125" width="17.140625" style="130" customWidth="1"/>
    <col min="5126" max="5126" width="15.140625" style="130" customWidth="1"/>
    <col min="5127" max="5127" width="14.85546875" style="130" customWidth="1"/>
    <col min="5128" max="5128" width="10.42578125" style="130"/>
    <col min="5129" max="5129" width="12.85546875" style="130" customWidth="1"/>
    <col min="5130" max="5130" width="15.42578125" style="130" customWidth="1"/>
    <col min="5131" max="5131" width="32.7109375" style="130" customWidth="1"/>
    <col min="5132" max="5132" width="14.28515625" style="130" customWidth="1"/>
    <col min="5133" max="5133" width="11.7109375" style="130" customWidth="1"/>
    <col min="5134" max="5378" width="10.42578125" style="130"/>
    <col min="5379" max="5379" width="36.28515625" style="130" customWidth="1"/>
    <col min="5380" max="5380" width="10.42578125" style="130"/>
    <col min="5381" max="5381" width="17.140625" style="130" customWidth="1"/>
    <col min="5382" max="5382" width="15.140625" style="130" customWidth="1"/>
    <col min="5383" max="5383" width="14.85546875" style="130" customWidth="1"/>
    <col min="5384" max="5384" width="10.42578125" style="130"/>
    <col min="5385" max="5385" width="12.85546875" style="130" customWidth="1"/>
    <col min="5386" max="5386" width="15.42578125" style="130" customWidth="1"/>
    <col min="5387" max="5387" width="32.7109375" style="130" customWidth="1"/>
    <col min="5388" max="5388" width="14.28515625" style="130" customWidth="1"/>
    <col min="5389" max="5389" width="11.7109375" style="130" customWidth="1"/>
    <col min="5390" max="5634" width="10.42578125" style="130"/>
    <col min="5635" max="5635" width="36.28515625" style="130" customWidth="1"/>
    <col min="5636" max="5636" width="10.42578125" style="130"/>
    <col min="5637" max="5637" width="17.140625" style="130" customWidth="1"/>
    <col min="5638" max="5638" width="15.140625" style="130" customWidth="1"/>
    <col min="5639" max="5639" width="14.85546875" style="130" customWidth="1"/>
    <col min="5640" max="5640" width="10.42578125" style="130"/>
    <col min="5641" max="5641" width="12.85546875" style="130" customWidth="1"/>
    <col min="5642" max="5642" width="15.42578125" style="130" customWidth="1"/>
    <col min="5643" max="5643" width="32.7109375" style="130" customWidth="1"/>
    <col min="5644" max="5644" width="14.28515625" style="130" customWidth="1"/>
    <col min="5645" max="5645" width="11.7109375" style="130" customWidth="1"/>
    <col min="5646" max="5890" width="10.42578125" style="130"/>
    <col min="5891" max="5891" width="36.28515625" style="130" customWidth="1"/>
    <col min="5892" max="5892" width="10.42578125" style="130"/>
    <col min="5893" max="5893" width="17.140625" style="130" customWidth="1"/>
    <col min="5894" max="5894" width="15.140625" style="130" customWidth="1"/>
    <col min="5895" max="5895" width="14.85546875" style="130" customWidth="1"/>
    <col min="5896" max="5896" width="10.42578125" style="130"/>
    <col min="5897" max="5897" width="12.85546875" style="130" customWidth="1"/>
    <col min="5898" max="5898" width="15.42578125" style="130" customWidth="1"/>
    <col min="5899" max="5899" width="32.7109375" style="130" customWidth="1"/>
    <col min="5900" max="5900" width="14.28515625" style="130" customWidth="1"/>
    <col min="5901" max="5901" width="11.7109375" style="130" customWidth="1"/>
    <col min="5902" max="6146" width="10.42578125" style="130"/>
    <col min="6147" max="6147" width="36.28515625" style="130" customWidth="1"/>
    <col min="6148" max="6148" width="10.42578125" style="130"/>
    <col min="6149" max="6149" width="17.140625" style="130" customWidth="1"/>
    <col min="6150" max="6150" width="15.140625" style="130" customWidth="1"/>
    <col min="6151" max="6151" width="14.85546875" style="130" customWidth="1"/>
    <col min="6152" max="6152" width="10.42578125" style="130"/>
    <col min="6153" max="6153" width="12.85546875" style="130" customWidth="1"/>
    <col min="6154" max="6154" width="15.42578125" style="130" customWidth="1"/>
    <col min="6155" max="6155" width="32.7109375" style="130" customWidth="1"/>
    <col min="6156" max="6156" width="14.28515625" style="130" customWidth="1"/>
    <col min="6157" max="6157" width="11.7109375" style="130" customWidth="1"/>
    <col min="6158" max="6402" width="10.42578125" style="130"/>
    <col min="6403" max="6403" width="36.28515625" style="130" customWidth="1"/>
    <col min="6404" max="6404" width="10.42578125" style="130"/>
    <col min="6405" max="6405" width="17.140625" style="130" customWidth="1"/>
    <col min="6406" max="6406" width="15.140625" style="130" customWidth="1"/>
    <col min="6407" max="6407" width="14.85546875" style="130" customWidth="1"/>
    <col min="6408" max="6408" width="10.42578125" style="130"/>
    <col min="6409" max="6409" width="12.85546875" style="130" customWidth="1"/>
    <col min="6410" max="6410" width="15.42578125" style="130" customWidth="1"/>
    <col min="6411" max="6411" width="32.7109375" style="130" customWidth="1"/>
    <col min="6412" max="6412" width="14.28515625" style="130" customWidth="1"/>
    <col min="6413" max="6413" width="11.7109375" style="130" customWidth="1"/>
    <col min="6414" max="6658" width="10.42578125" style="130"/>
    <col min="6659" max="6659" width="36.28515625" style="130" customWidth="1"/>
    <col min="6660" max="6660" width="10.42578125" style="130"/>
    <col min="6661" max="6661" width="17.140625" style="130" customWidth="1"/>
    <col min="6662" max="6662" width="15.140625" style="130" customWidth="1"/>
    <col min="6663" max="6663" width="14.85546875" style="130" customWidth="1"/>
    <col min="6664" max="6664" width="10.42578125" style="130"/>
    <col min="6665" max="6665" width="12.85546875" style="130" customWidth="1"/>
    <col min="6666" max="6666" width="15.42578125" style="130" customWidth="1"/>
    <col min="6667" max="6667" width="32.7109375" style="130" customWidth="1"/>
    <col min="6668" max="6668" width="14.28515625" style="130" customWidth="1"/>
    <col min="6669" max="6669" width="11.7109375" style="130" customWidth="1"/>
    <col min="6670" max="6914" width="10.42578125" style="130"/>
    <col min="6915" max="6915" width="36.28515625" style="130" customWidth="1"/>
    <col min="6916" max="6916" width="10.42578125" style="130"/>
    <col min="6917" max="6917" width="17.140625" style="130" customWidth="1"/>
    <col min="6918" max="6918" width="15.140625" style="130" customWidth="1"/>
    <col min="6919" max="6919" width="14.85546875" style="130" customWidth="1"/>
    <col min="6920" max="6920" width="10.42578125" style="130"/>
    <col min="6921" max="6921" width="12.85546875" style="130" customWidth="1"/>
    <col min="6922" max="6922" width="15.42578125" style="130" customWidth="1"/>
    <col min="6923" max="6923" width="32.7109375" style="130" customWidth="1"/>
    <col min="6924" max="6924" width="14.28515625" style="130" customWidth="1"/>
    <col min="6925" max="6925" width="11.7109375" style="130" customWidth="1"/>
    <col min="6926" max="7170" width="10.42578125" style="130"/>
    <col min="7171" max="7171" width="36.28515625" style="130" customWidth="1"/>
    <col min="7172" max="7172" width="10.42578125" style="130"/>
    <col min="7173" max="7173" width="17.140625" style="130" customWidth="1"/>
    <col min="7174" max="7174" width="15.140625" style="130" customWidth="1"/>
    <col min="7175" max="7175" width="14.85546875" style="130" customWidth="1"/>
    <col min="7176" max="7176" width="10.42578125" style="130"/>
    <col min="7177" max="7177" width="12.85546875" style="130" customWidth="1"/>
    <col min="7178" max="7178" width="15.42578125" style="130" customWidth="1"/>
    <col min="7179" max="7179" width="32.7109375" style="130" customWidth="1"/>
    <col min="7180" max="7180" width="14.28515625" style="130" customWidth="1"/>
    <col min="7181" max="7181" width="11.7109375" style="130" customWidth="1"/>
    <col min="7182" max="7426" width="10.42578125" style="130"/>
    <col min="7427" max="7427" width="36.28515625" style="130" customWidth="1"/>
    <col min="7428" max="7428" width="10.42578125" style="130"/>
    <col min="7429" max="7429" width="17.140625" style="130" customWidth="1"/>
    <col min="7430" max="7430" width="15.140625" style="130" customWidth="1"/>
    <col min="7431" max="7431" width="14.85546875" style="130" customWidth="1"/>
    <col min="7432" max="7432" width="10.42578125" style="130"/>
    <col min="7433" max="7433" width="12.85546875" style="130" customWidth="1"/>
    <col min="7434" max="7434" width="15.42578125" style="130" customWidth="1"/>
    <col min="7435" max="7435" width="32.7109375" style="130" customWidth="1"/>
    <col min="7436" max="7436" width="14.28515625" style="130" customWidth="1"/>
    <col min="7437" max="7437" width="11.7109375" style="130" customWidth="1"/>
    <col min="7438" max="7682" width="10.42578125" style="130"/>
    <col min="7683" max="7683" width="36.28515625" style="130" customWidth="1"/>
    <col min="7684" max="7684" width="10.42578125" style="130"/>
    <col min="7685" max="7685" width="17.140625" style="130" customWidth="1"/>
    <col min="7686" max="7686" width="15.140625" style="130" customWidth="1"/>
    <col min="7687" max="7687" width="14.85546875" style="130" customWidth="1"/>
    <col min="7688" max="7688" width="10.42578125" style="130"/>
    <col min="7689" max="7689" width="12.85546875" style="130" customWidth="1"/>
    <col min="7690" max="7690" width="15.42578125" style="130" customWidth="1"/>
    <col min="7691" max="7691" width="32.7109375" style="130" customWidth="1"/>
    <col min="7692" max="7692" width="14.28515625" style="130" customWidth="1"/>
    <col min="7693" max="7693" width="11.7109375" style="130" customWidth="1"/>
    <col min="7694" max="7938" width="10.42578125" style="130"/>
    <col min="7939" max="7939" width="36.28515625" style="130" customWidth="1"/>
    <col min="7940" max="7940" width="10.42578125" style="130"/>
    <col min="7941" max="7941" width="17.140625" style="130" customWidth="1"/>
    <col min="7942" max="7942" width="15.140625" style="130" customWidth="1"/>
    <col min="7943" max="7943" width="14.85546875" style="130" customWidth="1"/>
    <col min="7944" max="7944" width="10.42578125" style="130"/>
    <col min="7945" max="7945" width="12.85546875" style="130" customWidth="1"/>
    <col min="7946" max="7946" width="15.42578125" style="130" customWidth="1"/>
    <col min="7947" max="7947" width="32.7109375" style="130" customWidth="1"/>
    <col min="7948" max="7948" width="14.28515625" style="130" customWidth="1"/>
    <col min="7949" max="7949" width="11.7109375" style="130" customWidth="1"/>
    <col min="7950" max="8194" width="10.42578125" style="130"/>
    <col min="8195" max="8195" width="36.28515625" style="130" customWidth="1"/>
    <col min="8196" max="8196" width="10.42578125" style="130"/>
    <col min="8197" max="8197" width="17.140625" style="130" customWidth="1"/>
    <col min="8198" max="8198" width="15.140625" style="130" customWidth="1"/>
    <col min="8199" max="8199" width="14.85546875" style="130" customWidth="1"/>
    <col min="8200" max="8200" width="10.42578125" style="130"/>
    <col min="8201" max="8201" width="12.85546875" style="130" customWidth="1"/>
    <col min="8202" max="8202" width="15.42578125" style="130" customWidth="1"/>
    <col min="8203" max="8203" width="32.7109375" style="130" customWidth="1"/>
    <col min="8204" max="8204" width="14.28515625" style="130" customWidth="1"/>
    <col min="8205" max="8205" width="11.7109375" style="130" customWidth="1"/>
    <col min="8206" max="8450" width="10.42578125" style="130"/>
    <col min="8451" max="8451" width="36.28515625" style="130" customWidth="1"/>
    <col min="8452" max="8452" width="10.42578125" style="130"/>
    <col min="8453" max="8453" width="17.140625" style="130" customWidth="1"/>
    <col min="8454" max="8454" width="15.140625" style="130" customWidth="1"/>
    <col min="8455" max="8455" width="14.85546875" style="130" customWidth="1"/>
    <col min="8456" max="8456" width="10.42578125" style="130"/>
    <col min="8457" max="8457" width="12.85546875" style="130" customWidth="1"/>
    <col min="8458" max="8458" width="15.42578125" style="130" customWidth="1"/>
    <col min="8459" max="8459" width="32.7109375" style="130" customWidth="1"/>
    <col min="8460" max="8460" width="14.28515625" style="130" customWidth="1"/>
    <col min="8461" max="8461" width="11.7109375" style="130" customWidth="1"/>
    <col min="8462" max="8706" width="10.42578125" style="130"/>
    <col min="8707" max="8707" width="36.28515625" style="130" customWidth="1"/>
    <col min="8708" max="8708" width="10.42578125" style="130"/>
    <col min="8709" max="8709" width="17.140625" style="130" customWidth="1"/>
    <col min="8710" max="8710" width="15.140625" style="130" customWidth="1"/>
    <col min="8711" max="8711" width="14.85546875" style="130" customWidth="1"/>
    <col min="8712" max="8712" width="10.42578125" style="130"/>
    <col min="8713" max="8713" width="12.85546875" style="130" customWidth="1"/>
    <col min="8714" max="8714" width="15.42578125" style="130" customWidth="1"/>
    <col min="8715" max="8715" width="32.7109375" style="130" customWidth="1"/>
    <col min="8716" max="8716" width="14.28515625" style="130" customWidth="1"/>
    <col min="8717" max="8717" width="11.7109375" style="130" customWidth="1"/>
    <col min="8718" max="8962" width="10.42578125" style="130"/>
    <col min="8963" max="8963" width="36.28515625" style="130" customWidth="1"/>
    <col min="8964" max="8964" width="10.42578125" style="130"/>
    <col min="8965" max="8965" width="17.140625" style="130" customWidth="1"/>
    <col min="8966" max="8966" width="15.140625" style="130" customWidth="1"/>
    <col min="8967" max="8967" width="14.85546875" style="130" customWidth="1"/>
    <col min="8968" max="8968" width="10.42578125" style="130"/>
    <col min="8969" max="8969" width="12.85546875" style="130" customWidth="1"/>
    <col min="8970" max="8970" width="15.42578125" style="130" customWidth="1"/>
    <col min="8971" max="8971" width="32.7109375" style="130" customWidth="1"/>
    <col min="8972" max="8972" width="14.28515625" style="130" customWidth="1"/>
    <col min="8973" max="8973" width="11.7109375" style="130" customWidth="1"/>
    <col min="8974" max="9218" width="10.42578125" style="130"/>
    <col min="9219" max="9219" width="36.28515625" style="130" customWidth="1"/>
    <col min="9220" max="9220" width="10.42578125" style="130"/>
    <col min="9221" max="9221" width="17.140625" style="130" customWidth="1"/>
    <col min="9222" max="9222" width="15.140625" style="130" customWidth="1"/>
    <col min="9223" max="9223" width="14.85546875" style="130" customWidth="1"/>
    <col min="9224" max="9224" width="10.42578125" style="130"/>
    <col min="9225" max="9225" width="12.85546875" style="130" customWidth="1"/>
    <col min="9226" max="9226" width="15.42578125" style="130" customWidth="1"/>
    <col min="9227" max="9227" width="32.7109375" style="130" customWidth="1"/>
    <col min="9228" max="9228" width="14.28515625" style="130" customWidth="1"/>
    <col min="9229" max="9229" width="11.7109375" style="130" customWidth="1"/>
    <col min="9230" max="9474" width="10.42578125" style="130"/>
    <col min="9475" max="9475" width="36.28515625" style="130" customWidth="1"/>
    <col min="9476" max="9476" width="10.42578125" style="130"/>
    <col min="9477" max="9477" width="17.140625" style="130" customWidth="1"/>
    <col min="9478" max="9478" width="15.140625" style="130" customWidth="1"/>
    <col min="9479" max="9479" width="14.85546875" style="130" customWidth="1"/>
    <col min="9480" max="9480" width="10.42578125" style="130"/>
    <col min="9481" max="9481" width="12.85546875" style="130" customWidth="1"/>
    <col min="9482" max="9482" width="15.42578125" style="130" customWidth="1"/>
    <col min="9483" max="9483" width="32.7109375" style="130" customWidth="1"/>
    <col min="9484" max="9484" width="14.28515625" style="130" customWidth="1"/>
    <col min="9485" max="9485" width="11.7109375" style="130" customWidth="1"/>
    <col min="9486" max="9730" width="10.42578125" style="130"/>
    <col min="9731" max="9731" width="36.28515625" style="130" customWidth="1"/>
    <col min="9732" max="9732" width="10.42578125" style="130"/>
    <col min="9733" max="9733" width="17.140625" style="130" customWidth="1"/>
    <col min="9734" max="9734" width="15.140625" style="130" customWidth="1"/>
    <col min="9735" max="9735" width="14.85546875" style="130" customWidth="1"/>
    <col min="9736" max="9736" width="10.42578125" style="130"/>
    <col min="9737" max="9737" width="12.85546875" style="130" customWidth="1"/>
    <col min="9738" max="9738" width="15.42578125" style="130" customWidth="1"/>
    <col min="9739" max="9739" width="32.7109375" style="130" customWidth="1"/>
    <col min="9740" max="9740" width="14.28515625" style="130" customWidth="1"/>
    <col min="9741" max="9741" width="11.7109375" style="130" customWidth="1"/>
    <col min="9742" max="9986" width="10.42578125" style="130"/>
    <col min="9987" max="9987" width="36.28515625" style="130" customWidth="1"/>
    <col min="9988" max="9988" width="10.42578125" style="130"/>
    <col min="9989" max="9989" width="17.140625" style="130" customWidth="1"/>
    <col min="9990" max="9990" width="15.140625" style="130" customWidth="1"/>
    <col min="9991" max="9991" width="14.85546875" style="130" customWidth="1"/>
    <col min="9992" max="9992" width="10.42578125" style="130"/>
    <col min="9993" max="9993" width="12.85546875" style="130" customWidth="1"/>
    <col min="9994" max="9994" width="15.42578125" style="130" customWidth="1"/>
    <col min="9995" max="9995" width="32.7109375" style="130" customWidth="1"/>
    <col min="9996" max="9996" width="14.28515625" style="130" customWidth="1"/>
    <col min="9997" max="9997" width="11.7109375" style="130" customWidth="1"/>
    <col min="9998" max="10242" width="10.42578125" style="130"/>
    <col min="10243" max="10243" width="36.28515625" style="130" customWidth="1"/>
    <col min="10244" max="10244" width="10.42578125" style="130"/>
    <col min="10245" max="10245" width="17.140625" style="130" customWidth="1"/>
    <col min="10246" max="10246" width="15.140625" style="130" customWidth="1"/>
    <col min="10247" max="10247" width="14.85546875" style="130" customWidth="1"/>
    <col min="10248" max="10248" width="10.42578125" style="130"/>
    <col min="10249" max="10249" width="12.85546875" style="130" customWidth="1"/>
    <col min="10250" max="10250" width="15.42578125" style="130" customWidth="1"/>
    <col min="10251" max="10251" width="32.7109375" style="130" customWidth="1"/>
    <col min="10252" max="10252" width="14.28515625" style="130" customWidth="1"/>
    <col min="10253" max="10253" width="11.7109375" style="130" customWidth="1"/>
    <col min="10254" max="10498" width="10.42578125" style="130"/>
    <col min="10499" max="10499" width="36.28515625" style="130" customWidth="1"/>
    <col min="10500" max="10500" width="10.42578125" style="130"/>
    <col min="10501" max="10501" width="17.140625" style="130" customWidth="1"/>
    <col min="10502" max="10502" width="15.140625" style="130" customWidth="1"/>
    <col min="10503" max="10503" width="14.85546875" style="130" customWidth="1"/>
    <col min="10504" max="10504" width="10.42578125" style="130"/>
    <col min="10505" max="10505" width="12.85546875" style="130" customWidth="1"/>
    <col min="10506" max="10506" width="15.42578125" style="130" customWidth="1"/>
    <col min="10507" max="10507" width="32.7109375" style="130" customWidth="1"/>
    <col min="10508" max="10508" width="14.28515625" style="130" customWidth="1"/>
    <col min="10509" max="10509" width="11.7109375" style="130" customWidth="1"/>
    <col min="10510" max="10754" width="10.42578125" style="130"/>
    <col min="10755" max="10755" width="36.28515625" style="130" customWidth="1"/>
    <col min="10756" max="10756" width="10.42578125" style="130"/>
    <col min="10757" max="10757" width="17.140625" style="130" customWidth="1"/>
    <col min="10758" max="10758" width="15.140625" style="130" customWidth="1"/>
    <col min="10759" max="10759" width="14.85546875" style="130" customWidth="1"/>
    <col min="10760" max="10760" width="10.42578125" style="130"/>
    <col min="10761" max="10761" width="12.85546875" style="130" customWidth="1"/>
    <col min="10762" max="10762" width="15.42578125" style="130" customWidth="1"/>
    <col min="10763" max="10763" width="32.7109375" style="130" customWidth="1"/>
    <col min="10764" max="10764" width="14.28515625" style="130" customWidth="1"/>
    <col min="10765" max="10765" width="11.7109375" style="130" customWidth="1"/>
    <col min="10766" max="11010" width="10.42578125" style="130"/>
    <col min="11011" max="11011" width="36.28515625" style="130" customWidth="1"/>
    <col min="11012" max="11012" width="10.42578125" style="130"/>
    <col min="11013" max="11013" width="17.140625" style="130" customWidth="1"/>
    <col min="11014" max="11014" width="15.140625" style="130" customWidth="1"/>
    <col min="11015" max="11015" width="14.85546875" style="130" customWidth="1"/>
    <col min="11016" max="11016" width="10.42578125" style="130"/>
    <col min="11017" max="11017" width="12.85546875" style="130" customWidth="1"/>
    <col min="11018" max="11018" width="15.42578125" style="130" customWidth="1"/>
    <col min="11019" max="11019" width="32.7109375" style="130" customWidth="1"/>
    <col min="11020" max="11020" width="14.28515625" style="130" customWidth="1"/>
    <col min="11021" max="11021" width="11.7109375" style="130" customWidth="1"/>
    <col min="11022" max="11266" width="10.42578125" style="130"/>
    <col min="11267" max="11267" width="36.28515625" style="130" customWidth="1"/>
    <col min="11268" max="11268" width="10.42578125" style="130"/>
    <col min="11269" max="11269" width="17.140625" style="130" customWidth="1"/>
    <col min="11270" max="11270" width="15.140625" style="130" customWidth="1"/>
    <col min="11271" max="11271" width="14.85546875" style="130" customWidth="1"/>
    <col min="11272" max="11272" width="10.42578125" style="130"/>
    <col min="11273" max="11273" width="12.85546875" style="130" customWidth="1"/>
    <col min="11274" max="11274" width="15.42578125" style="130" customWidth="1"/>
    <col min="11275" max="11275" width="32.7109375" style="130" customWidth="1"/>
    <col min="11276" max="11276" width="14.28515625" style="130" customWidth="1"/>
    <col min="11277" max="11277" width="11.7109375" style="130" customWidth="1"/>
    <col min="11278" max="11522" width="10.42578125" style="130"/>
    <col min="11523" max="11523" width="36.28515625" style="130" customWidth="1"/>
    <col min="11524" max="11524" width="10.42578125" style="130"/>
    <col min="11525" max="11525" width="17.140625" style="130" customWidth="1"/>
    <col min="11526" max="11526" width="15.140625" style="130" customWidth="1"/>
    <col min="11527" max="11527" width="14.85546875" style="130" customWidth="1"/>
    <col min="11528" max="11528" width="10.42578125" style="130"/>
    <col min="11529" max="11529" width="12.85546875" style="130" customWidth="1"/>
    <col min="11530" max="11530" width="15.42578125" style="130" customWidth="1"/>
    <col min="11531" max="11531" width="32.7109375" style="130" customWidth="1"/>
    <col min="11532" max="11532" width="14.28515625" style="130" customWidth="1"/>
    <col min="11533" max="11533" width="11.7109375" style="130" customWidth="1"/>
    <col min="11534" max="11778" width="10.42578125" style="130"/>
    <col min="11779" max="11779" width="36.28515625" style="130" customWidth="1"/>
    <col min="11780" max="11780" width="10.42578125" style="130"/>
    <col min="11781" max="11781" width="17.140625" style="130" customWidth="1"/>
    <col min="11782" max="11782" width="15.140625" style="130" customWidth="1"/>
    <col min="11783" max="11783" width="14.85546875" style="130" customWidth="1"/>
    <col min="11784" max="11784" width="10.42578125" style="130"/>
    <col min="11785" max="11785" width="12.85546875" style="130" customWidth="1"/>
    <col min="11786" max="11786" width="15.42578125" style="130" customWidth="1"/>
    <col min="11787" max="11787" width="32.7109375" style="130" customWidth="1"/>
    <col min="11788" max="11788" width="14.28515625" style="130" customWidth="1"/>
    <col min="11789" max="11789" width="11.7109375" style="130" customWidth="1"/>
    <col min="11790" max="12034" width="10.42578125" style="130"/>
    <col min="12035" max="12035" width="36.28515625" style="130" customWidth="1"/>
    <col min="12036" max="12036" width="10.42578125" style="130"/>
    <col min="12037" max="12037" width="17.140625" style="130" customWidth="1"/>
    <col min="12038" max="12038" width="15.140625" style="130" customWidth="1"/>
    <col min="12039" max="12039" width="14.85546875" style="130" customWidth="1"/>
    <col min="12040" max="12040" width="10.42578125" style="130"/>
    <col min="12041" max="12041" width="12.85546875" style="130" customWidth="1"/>
    <col min="12042" max="12042" width="15.42578125" style="130" customWidth="1"/>
    <col min="12043" max="12043" width="32.7109375" style="130" customWidth="1"/>
    <col min="12044" max="12044" width="14.28515625" style="130" customWidth="1"/>
    <col min="12045" max="12045" width="11.7109375" style="130" customWidth="1"/>
    <col min="12046" max="12290" width="10.42578125" style="130"/>
    <col min="12291" max="12291" width="36.28515625" style="130" customWidth="1"/>
    <col min="12292" max="12292" width="10.42578125" style="130"/>
    <col min="12293" max="12293" width="17.140625" style="130" customWidth="1"/>
    <col min="12294" max="12294" width="15.140625" style="130" customWidth="1"/>
    <col min="12295" max="12295" width="14.85546875" style="130" customWidth="1"/>
    <col min="12296" max="12296" width="10.42578125" style="130"/>
    <col min="12297" max="12297" width="12.85546875" style="130" customWidth="1"/>
    <col min="12298" max="12298" width="15.42578125" style="130" customWidth="1"/>
    <col min="12299" max="12299" width="32.7109375" style="130" customWidth="1"/>
    <col min="12300" max="12300" width="14.28515625" style="130" customWidth="1"/>
    <col min="12301" max="12301" width="11.7109375" style="130" customWidth="1"/>
    <col min="12302" max="12546" width="10.42578125" style="130"/>
    <col min="12547" max="12547" width="36.28515625" style="130" customWidth="1"/>
    <col min="12548" max="12548" width="10.42578125" style="130"/>
    <col min="12549" max="12549" width="17.140625" style="130" customWidth="1"/>
    <col min="12550" max="12550" width="15.140625" style="130" customWidth="1"/>
    <col min="12551" max="12551" width="14.85546875" style="130" customWidth="1"/>
    <col min="12552" max="12552" width="10.42578125" style="130"/>
    <col min="12553" max="12553" width="12.85546875" style="130" customWidth="1"/>
    <col min="12554" max="12554" width="15.42578125" style="130" customWidth="1"/>
    <col min="12555" max="12555" width="32.7109375" style="130" customWidth="1"/>
    <col min="12556" max="12556" width="14.28515625" style="130" customWidth="1"/>
    <col min="12557" max="12557" width="11.7109375" style="130" customWidth="1"/>
    <col min="12558" max="12802" width="10.42578125" style="130"/>
    <col min="12803" max="12803" width="36.28515625" style="130" customWidth="1"/>
    <col min="12804" max="12804" width="10.42578125" style="130"/>
    <col min="12805" max="12805" width="17.140625" style="130" customWidth="1"/>
    <col min="12806" max="12806" width="15.140625" style="130" customWidth="1"/>
    <col min="12807" max="12807" width="14.85546875" style="130" customWidth="1"/>
    <col min="12808" max="12808" width="10.42578125" style="130"/>
    <col min="12809" max="12809" width="12.85546875" style="130" customWidth="1"/>
    <col min="12810" max="12810" width="15.42578125" style="130" customWidth="1"/>
    <col min="12811" max="12811" width="32.7109375" style="130" customWidth="1"/>
    <col min="12812" max="12812" width="14.28515625" style="130" customWidth="1"/>
    <col min="12813" max="12813" width="11.7109375" style="130" customWidth="1"/>
    <col min="12814" max="13058" width="10.42578125" style="130"/>
    <col min="13059" max="13059" width="36.28515625" style="130" customWidth="1"/>
    <col min="13060" max="13060" width="10.42578125" style="130"/>
    <col min="13061" max="13061" width="17.140625" style="130" customWidth="1"/>
    <col min="13062" max="13062" width="15.140625" style="130" customWidth="1"/>
    <col min="13063" max="13063" width="14.85546875" style="130" customWidth="1"/>
    <col min="13064" max="13064" width="10.42578125" style="130"/>
    <col min="13065" max="13065" width="12.85546875" style="130" customWidth="1"/>
    <col min="13066" max="13066" width="15.42578125" style="130" customWidth="1"/>
    <col min="13067" max="13067" width="32.7109375" style="130" customWidth="1"/>
    <col min="13068" max="13068" width="14.28515625" style="130" customWidth="1"/>
    <col min="13069" max="13069" width="11.7109375" style="130" customWidth="1"/>
    <col min="13070" max="13314" width="10.42578125" style="130"/>
    <col min="13315" max="13315" width="36.28515625" style="130" customWidth="1"/>
    <col min="13316" max="13316" width="10.42578125" style="130"/>
    <col min="13317" max="13317" width="17.140625" style="130" customWidth="1"/>
    <col min="13318" max="13318" width="15.140625" style="130" customWidth="1"/>
    <col min="13319" max="13319" width="14.85546875" style="130" customWidth="1"/>
    <col min="13320" max="13320" width="10.42578125" style="130"/>
    <col min="13321" max="13321" width="12.85546875" style="130" customWidth="1"/>
    <col min="13322" max="13322" width="15.42578125" style="130" customWidth="1"/>
    <col min="13323" max="13323" width="32.7109375" style="130" customWidth="1"/>
    <col min="13324" max="13324" width="14.28515625" style="130" customWidth="1"/>
    <col min="13325" max="13325" width="11.7109375" style="130" customWidth="1"/>
    <col min="13326" max="13570" width="10.42578125" style="130"/>
    <col min="13571" max="13571" width="36.28515625" style="130" customWidth="1"/>
    <col min="13572" max="13572" width="10.42578125" style="130"/>
    <col min="13573" max="13573" width="17.140625" style="130" customWidth="1"/>
    <col min="13574" max="13574" width="15.140625" style="130" customWidth="1"/>
    <col min="13575" max="13575" width="14.85546875" style="130" customWidth="1"/>
    <col min="13576" max="13576" width="10.42578125" style="130"/>
    <col min="13577" max="13577" width="12.85546875" style="130" customWidth="1"/>
    <col min="13578" max="13578" width="15.42578125" style="130" customWidth="1"/>
    <col min="13579" max="13579" width="32.7109375" style="130" customWidth="1"/>
    <col min="13580" max="13580" width="14.28515625" style="130" customWidth="1"/>
    <col min="13581" max="13581" width="11.7109375" style="130" customWidth="1"/>
    <col min="13582" max="13826" width="10.42578125" style="130"/>
    <col min="13827" max="13827" width="36.28515625" style="130" customWidth="1"/>
    <col min="13828" max="13828" width="10.42578125" style="130"/>
    <col min="13829" max="13829" width="17.140625" style="130" customWidth="1"/>
    <col min="13830" max="13830" width="15.140625" style="130" customWidth="1"/>
    <col min="13831" max="13831" width="14.85546875" style="130" customWidth="1"/>
    <col min="13832" max="13832" width="10.42578125" style="130"/>
    <col min="13833" max="13833" width="12.85546875" style="130" customWidth="1"/>
    <col min="13834" max="13834" width="15.42578125" style="130" customWidth="1"/>
    <col min="13835" max="13835" width="32.7109375" style="130" customWidth="1"/>
    <col min="13836" max="13836" width="14.28515625" style="130" customWidth="1"/>
    <col min="13837" max="13837" width="11.7109375" style="130" customWidth="1"/>
    <col min="13838" max="14082" width="10.42578125" style="130"/>
    <col min="14083" max="14083" width="36.28515625" style="130" customWidth="1"/>
    <col min="14084" max="14084" width="10.42578125" style="130"/>
    <col min="14085" max="14085" width="17.140625" style="130" customWidth="1"/>
    <col min="14086" max="14086" width="15.140625" style="130" customWidth="1"/>
    <col min="14087" max="14087" width="14.85546875" style="130" customWidth="1"/>
    <col min="14088" max="14088" width="10.42578125" style="130"/>
    <col min="14089" max="14089" width="12.85546875" style="130" customWidth="1"/>
    <col min="14090" max="14090" width="15.42578125" style="130" customWidth="1"/>
    <col min="14091" max="14091" width="32.7109375" style="130" customWidth="1"/>
    <col min="14092" max="14092" width="14.28515625" style="130" customWidth="1"/>
    <col min="14093" max="14093" width="11.7109375" style="130" customWidth="1"/>
    <col min="14094" max="14338" width="10.42578125" style="130"/>
    <col min="14339" max="14339" width="36.28515625" style="130" customWidth="1"/>
    <col min="14340" max="14340" width="10.42578125" style="130"/>
    <col min="14341" max="14341" width="17.140625" style="130" customWidth="1"/>
    <col min="14342" max="14342" width="15.140625" style="130" customWidth="1"/>
    <col min="14343" max="14343" width="14.85546875" style="130" customWidth="1"/>
    <col min="14344" max="14344" width="10.42578125" style="130"/>
    <col min="14345" max="14345" width="12.85546875" style="130" customWidth="1"/>
    <col min="14346" max="14346" width="15.42578125" style="130" customWidth="1"/>
    <col min="14347" max="14347" width="32.7109375" style="130" customWidth="1"/>
    <col min="14348" max="14348" width="14.28515625" style="130" customWidth="1"/>
    <col min="14349" max="14349" width="11.7109375" style="130" customWidth="1"/>
    <col min="14350" max="14594" width="10.42578125" style="130"/>
    <col min="14595" max="14595" width="36.28515625" style="130" customWidth="1"/>
    <col min="14596" max="14596" width="10.42578125" style="130"/>
    <col min="14597" max="14597" width="17.140625" style="130" customWidth="1"/>
    <col min="14598" max="14598" width="15.140625" style="130" customWidth="1"/>
    <col min="14599" max="14599" width="14.85546875" style="130" customWidth="1"/>
    <col min="14600" max="14600" width="10.42578125" style="130"/>
    <col min="14601" max="14601" width="12.85546875" style="130" customWidth="1"/>
    <col min="14602" max="14602" width="15.42578125" style="130" customWidth="1"/>
    <col min="14603" max="14603" width="32.7109375" style="130" customWidth="1"/>
    <col min="14604" max="14604" width="14.28515625" style="130" customWidth="1"/>
    <col min="14605" max="14605" width="11.7109375" style="130" customWidth="1"/>
    <col min="14606" max="14850" width="10.42578125" style="130"/>
    <col min="14851" max="14851" width="36.28515625" style="130" customWidth="1"/>
    <col min="14852" max="14852" width="10.42578125" style="130"/>
    <col min="14853" max="14853" width="17.140625" style="130" customWidth="1"/>
    <col min="14854" max="14854" width="15.140625" style="130" customWidth="1"/>
    <col min="14855" max="14855" width="14.85546875" style="130" customWidth="1"/>
    <col min="14856" max="14856" width="10.42578125" style="130"/>
    <col min="14857" max="14857" width="12.85546875" style="130" customWidth="1"/>
    <col min="14858" max="14858" width="15.42578125" style="130" customWidth="1"/>
    <col min="14859" max="14859" width="32.7109375" style="130" customWidth="1"/>
    <col min="14860" max="14860" width="14.28515625" style="130" customWidth="1"/>
    <col min="14861" max="14861" width="11.7109375" style="130" customWidth="1"/>
    <col min="14862" max="15106" width="10.42578125" style="130"/>
    <col min="15107" max="15107" width="36.28515625" style="130" customWidth="1"/>
    <col min="15108" max="15108" width="10.42578125" style="130"/>
    <col min="15109" max="15109" width="17.140625" style="130" customWidth="1"/>
    <col min="15110" max="15110" width="15.140625" style="130" customWidth="1"/>
    <col min="15111" max="15111" width="14.85546875" style="130" customWidth="1"/>
    <col min="15112" max="15112" width="10.42578125" style="130"/>
    <col min="15113" max="15113" width="12.85546875" style="130" customWidth="1"/>
    <col min="15114" max="15114" width="15.42578125" style="130" customWidth="1"/>
    <col min="15115" max="15115" width="32.7109375" style="130" customWidth="1"/>
    <col min="15116" max="15116" width="14.28515625" style="130" customWidth="1"/>
    <col min="15117" max="15117" width="11.7109375" style="130" customWidth="1"/>
    <col min="15118" max="15362" width="10.42578125" style="130"/>
    <col min="15363" max="15363" width="36.28515625" style="130" customWidth="1"/>
    <col min="15364" max="15364" width="10.42578125" style="130"/>
    <col min="15365" max="15365" width="17.140625" style="130" customWidth="1"/>
    <col min="15366" max="15366" width="15.140625" style="130" customWidth="1"/>
    <col min="15367" max="15367" width="14.85546875" style="130" customWidth="1"/>
    <col min="15368" max="15368" width="10.42578125" style="130"/>
    <col min="15369" max="15369" width="12.85546875" style="130" customWidth="1"/>
    <col min="15370" max="15370" width="15.42578125" style="130" customWidth="1"/>
    <col min="15371" max="15371" width="32.7109375" style="130" customWidth="1"/>
    <col min="15372" max="15372" width="14.28515625" style="130" customWidth="1"/>
    <col min="15373" max="15373" width="11.7109375" style="130" customWidth="1"/>
    <col min="15374" max="15618" width="10.42578125" style="130"/>
    <col min="15619" max="15619" width="36.28515625" style="130" customWidth="1"/>
    <col min="15620" max="15620" width="10.42578125" style="130"/>
    <col min="15621" max="15621" width="17.140625" style="130" customWidth="1"/>
    <col min="15622" max="15622" width="15.140625" style="130" customWidth="1"/>
    <col min="15623" max="15623" width="14.85546875" style="130" customWidth="1"/>
    <col min="15624" max="15624" width="10.42578125" style="130"/>
    <col min="15625" max="15625" width="12.85546875" style="130" customWidth="1"/>
    <col min="15626" max="15626" width="15.42578125" style="130" customWidth="1"/>
    <col min="15627" max="15627" width="32.7109375" style="130" customWidth="1"/>
    <col min="15628" max="15628" width="14.28515625" style="130" customWidth="1"/>
    <col min="15629" max="15629" width="11.7109375" style="130" customWidth="1"/>
    <col min="15630" max="15874" width="10.42578125" style="130"/>
    <col min="15875" max="15875" width="36.28515625" style="130" customWidth="1"/>
    <col min="15876" max="15876" width="10.42578125" style="130"/>
    <col min="15877" max="15877" width="17.140625" style="130" customWidth="1"/>
    <col min="15878" max="15878" width="15.140625" style="130" customWidth="1"/>
    <col min="15879" max="15879" width="14.85546875" style="130" customWidth="1"/>
    <col min="15880" max="15880" width="10.42578125" style="130"/>
    <col min="15881" max="15881" width="12.85546875" style="130" customWidth="1"/>
    <col min="15882" max="15882" width="15.42578125" style="130" customWidth="1"/>
    <col min="15883" max="15883" width="32.7109375" style="130" customWidth="1"/>
    <col min="15884" max="15884" width="14.28515625" style="130" customWidth="1"/>
    <col min="15885" max="15885" width="11.7109375" style="130" customWidth="1"/>
    <col min="15886" max="16130" width="10.42578125" style="130"/>
    <col min="16131" max="16131" width="36.28515625" style="130" customWidth="1"/>
    <col min="16132" max="16132" width="10.42578125" style="130"/>
    <col min="16133" max="16133" width="17.140625" style="130" customWidth="1"/>
    <col min="16134" max="16134" width="15.140625" style="130" customWidth="1"/>
    <col min="16135" max="16135" width="14.85546875" style="130" customWidth="1"/>
    <col min="16136" max="16136" width="10.42578125" style="130"/>
    <col min="16137" max="16137" width="12.85546875" style="130" customWidth="1"/>
    <col min="16138" max="16138" width="15.42578125" style="130" customWidth="1"/>
    <col min="16139" max="16139" width="32.7109375" style="130" customWidth="1"/>
    <col min="16140" max="16140" width="14.28515625" style="130" customWidth="1"/>
    <col min="16141" max="16141" width="11.7109375" style="130" customWidth="1"/>
    <col min="16142" max="16384" width="10.42578125" style="130"/>
  </cols>
  <sheetData>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1235"/>
      <c r="E4" s="1236"/>
      <c r="F4" s="1237"/>
      <c r="G4" s="760"/>
    </row>
    <row r="5" spans="2:8" x14ac:dyDescent="0.2">
      <c r="B5" s="761"/>
      <c r="C5" s="767"/>
      <c r="D5" s="768"/>
      <c r="E5" s="769"/>
      <c r="F5" s="770"/>
      <c r="G5" s="766"/>
    </row>
    <row r="6" spans="2:8" ht="15" x14ac:dyDescent="0.2">
      <c r="B6" s="1238" t="s">
        <v>80</v>
      </c>
      <c r="C6" s="3231" t="s">
        <v>1601</v>
      </c>
      <c r="D6" s="3281"/>
      <c r="E6" s="3281"/>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G44</f>
        <v>0</v>
      </c>
    </row>
    <row r="16" spans="2:8" x14ac:dyDescent="0.2">
      <c r="B16" s="792" t="s">
        <v>12</v>
      </c>
      <c r="C16" s="793" t="s">
        <v>86</v>
      </c>
      <c r="D16" s="794"/>
      <c r="E16" s="795"/>
      <c r="F16" s="796"/>
      <c r="G16" s="797">
        <f>G107</f>
        <v>0</v>
      </c>
    </row>
    <row r="17" spans="2:8" x14ac:dyDescent="0.2">
      <c r="B17" s="792" t="s">
        <v>17</v>
      </c>
      <c r="C17" s="793" t="s">
        <v>87</v>
      </c>
      <c r="D17" s="794"/>
      <c r="E17" s="795"/>
      <c r="F17" s="796"/>
      <c r="G17" s="797">
        <f>G302</f>
        <v>0</v>
      </c>
    </row>
    <row r="18" spans="2:8" x14ac:dyDescent="0.2">
      <c r="B18" s="2830"/>
      <c r="C18" s="2831" t="s">
        <v>88</v>
      </c>
      <c r="D18" s="2832"/>
      <c r="E18" s="2833"/>
      <c r="F18" s="2834"/>
      <c r="G18" s="2844">
        <f>SUM(G15:G17)</f>
        <v>0</v>
      </c>
    </row>
    <row r="19" spans="2:8" x14ac:dyDescent="0.2">
      <c r="B19" s="1267"/>
      <c r="C19" s="1268"/>
      <c r="D19" s="1269"/>
      <c r="E19" s="1270"/>
      <c r="F19" s="1271"/>
      <c r="G19" s="1272"/>
    </row>
    <row r="20" spans="2:8" x14ac:dyDescent="0.2">
      <c r="B20" s="2841" t="s">
        <v>83</v>
      </c>
      <c r="C20" s="2842" t="s">
        <v>89</v>
      </c>
      <c r="D20" s="2843" t="s">
        <v>90</v>
      </c>
      <c r="E20" s="2838" t="s">
        <v>91</v>
      </c>
      <c r="F20" s="2839" t="s">
        <v>92</v>
      </c>
      <c r="G20" s="2840" t="s">
        <v>93</v>
      </c>
    </row>
    <row r="21" spans="2:8" x14ac:dyDescent="0.2">
      <c r="B21" s="811"/>
      <c r="C21" s="812"/>
      <c r="D21" s="813"/>
      <c r="E21" s="814"/>
      <c r="F21" s="815"/>
      <c r="G21" s="816"/>
    </row>
    <row r="22" spans="2:8" ht="20.25" x14ac:dyDescent="0.2">
      <c r="B22" s="817" t="s">
        <v>10</v>
      </c>
      <c r="C22" s="818" t="s">
        <v>85</v>
      </c>
      <c r="D22" s="819"/>
      <c r="E22" s="820"/>
      <c r="F22" s="821"/>
      <c r="G22" s="822"/>
    </row>
    <row r="23" spans="2:8" x14ac:dyDescent="0.2">
      <c r="B23" s="829"/>
      <c r="C23" s="1265"/>
      <c r="D23" s="1255"/>
      <c r="E23" s="838"/>
      <c r="F23" s="844"/>
      <c r="G23" s="839"/>
    </row>
    <row r="24" spans="2:8" ht="38.25" x14ac:dyDescent="0.2">
      <c r="B24" s="829">
        <v>1.1000000000000001</v>
      </c>
      <c r="C24" s="830" t="s">
        <v>94</v>
      </c>
      <c r="D24" s="831" t="s">
        <v>95</v>
      </c>
      <c r="E24" s="832">
        <v>4355</v>
      </c>
      <c r="F24" s="833">
        <v>0</v>
      </c>
      <c r="G24" s="834">
        <f>E24*F24</f>
        <v>0</v>
      </c>
    </row>
    <row r="25" spans="2:8" x14ac:dyDescent="0.2">
      <c r="B25" s="835"/>
      <c r="C25" s="887"/>
      <c r="D25" s="865"/>
      <c r="E25" s="2242"/>
      <c r="F25" s="834"/>
      <c r="G25" s="2522"/>
    </row>
    <row r="26" spans="2:8" ht="171" customHeight="1" x14ac:dyDescent="0.2">
      <c r="B26" s="829">
        <v>1.2</v>
      </c>
      <c r="C26" s="836" t="s">
        <v>99</v>
      </c>
      <c r="D26" s="2121" t="s">
        <v>123</v>
      </c>
      <c r="E26" s="2242">
        <v>1</v>
      </c>
      <c r="F26" s="833">
        <v>0</v>
      </c>
      <c r="G26" s="834">
        <f>E26*F26</f>
        <v>0</v>
      </c>
    </row>
    <row r="27" spans="2:8" x14ac:dyDescent="0.2">
      <c r="B27" s="829"/>
      <c r="C27" s="1265"/>
      <c r="D27" s="2521"/>
      <c r="E27" s="2242"/>
      <c r="F27" s="834"/>
      <c r="G27" s="2522"/>
    </row>
    <row r="28" spans="2:8" x14ac:dyDescent="0.2">
      <c r="B28" s="1273">
        <v>1.3</v>
      </c>
      <c r="C28" s="887" t="s">
        <v>96</v>
      </c>
      <c r="D28" s="2521" t="s">
        <v>123</v>
      </c>
      <c r="E28" s="2242">
        <v>120</v>
      </c>
      <c r="F28" s="833">
        <v>0</v>
      </c>
      <c r="G28" s="834">
        <f>E28*F28</f>
        <v>0</v>
      </c>
    </row>
    <row r="29" spans="2:8" x14ac:dyDescent="0.2">
      <c r="B29" s="1273"/>
      <c r="C29" s="887"/>
      <c r="D29" s="865"/>
      <c r="E29" s="2242"/>
      <c r="F29" s="834"/>
      <c r="G29" s="2522"/>
    </row>
    <row r="30" spans="2:8" ht="63.75" x14ac:dyDescent="0.2">
      <c r="B30" s="861" t="s">
        <v>641</v>
      </c>
      <c r="C30" s="887" t="s">
        <v>97</v>
      </c>
      <c r="D30" s="2121" t="s">
        <v>123</v>
      </c>
      <c r="E30" s="2242">
        <v>1</v>
      </c>
      <c r="F30" s="833">
        <v>0</v>
      </c>
      <c r="G30" s="834">
        <f>E30*F30</f>
        <v>0</v>
      </c>
    </row>
    <row r="31" spans="2:8" x14ac:dyDescent="0.2">
      <c r="B31" s="835"/>
      <c r="C31" s="1274"/>
      <c r="D31" s="2547"/>
      <c r="E31" s="2522"/>
      <c r="F31" s="834"/>
      <c r="G31" s="2522"/>
      <c r="H31" s="903"/>
    </row>
    <row r="32" spans="2:8" ht="25.5" x14ac:dyDescent="0.2">
      <c r="B32" s="861" t="s">
        <v>653</v>
      </c>
      <c r="C32" s="887" t="s">
        <v>1136</v>
      </c>
      <c r="D32" s="865" t="s">
        <v>123</v>
      </c>
      <c r="E32" s="2242">
        <v>1</v>
      </c>
      <c r="F32" s="833">
        <v>0</v>
      </c>
      <c r="G32" s="834">
        <f>E32*F32</f>
        <v>0</v>
      </c>
    </row>
    <row r="33" spans="2:7" x14ac:dyDescent="0.2">
      <c r="B33" s="861"/>
      <c r="C33" s="887"/>
      <c r="D33" s="865"/>
      <c r="E33" s="2242"/>
      <c r="F33" s="834"/>
      <c r="G33" s="2522"/>
    </row>
    <row r="34" spans="2:7" ht="38.25" x14ac:dyDescent="0.2">
      <c r="B34" s="861" t="s">
        <v>664</v>
      </c>
      <c r="C34" s="887" t="s">
        <v>100</v>
      </c>
      <c r="D34" s="865" t="s">
        <v>123</v>
      </c>
      <c r="E34" s="2242">
        <v>1</v>
      </c>
      <c r="F34" s="833">
        <v>0</v>
      </c>
      <c r="G34" s="834">
        <f>E34*F34</f>
        <v>0</v>
      </c>
    </row>
    <row r="35" spans="2:7" x14ac:dyDescent="0.2">
      <c r="B35" s="861"/>
      <c r="C35" s="887"/>
      <c r="D35" s="865"/>
      <c r="E35" s="2242"/>
      <c r="F35" s="834"/>
      <c r="G35" s="2522"/>
    </row>
    <row r="36" spans="2:7" ht="38.25" x14ac:dyDescent="0.2">
      <c r="B36" s="861" t="s">
        <v>678</v>
      </c>
      <c r="C36" s="862" t="s">
        <v>1137</v>
      </c>
      <c r="D36" s="865" t="s">
        <v>123</v>
      </c>
      <c r="E36" s="2242">
        <v>1</v>
      </c>
      <c r="F36" s="833">
        <v>0</v>
      </c>
      <c r="G36" s="834">
        <f>E36*F36</f>
        <v>0</v>
      </c>
    </row>
    <row r="37" spans="2:7" x14ac:dyDescent="0.2">
      <c r="B37" s="861"/>
      <c r="C37" s="862"/>
      <c r="D37" s="865"/>
      <c r="E37" s="2242"/>
      <c r="F37" s="2523"/>
      <c r="G37" s="2522"/>
    </row>
    <row r="38" spans="2:7" ht="36" x14ac:dyDescent="0.2">
      <c r="B38" s="861" t="s">
        <v>688</v>
      </c>
      <c r="C38" s="3165" t="s">
        <v>2590</v>
      </c>
      <c r="D38" s="865" t="s">
        <v>95</v>
      </c>
      <c r="E38" s="832">
        <v>5488</v>
      </c>
      <c r="F38" s="833">
        <v>0</v>
      </c>
      <c r="G38" s="834">
        <f>E38*F38</f>
        <v>0</v>
      </c>
    </row>
    <row r="39" spans="2:7" x14ac:dyDescent="0.2">
      <c r="B39" s="861"/>
      <c r="C39" s="864"/>
      <c r="D39" s="865"/>
      <c r="E39" s="832"/>
      <c r="F39" s="834"/>
      <c r="G39" s="2522"/>
    </row>
    <row r="40" spans="2:7" ht="36" x14ac:dyDescent="0.2">
      <c r="B40" s="861" t="s">
        <v>1199</v>
      </c>
      <c r="C40" s="3165" t="s">
        <v>2591</v>
      </c>
      <c r="D40" s="865" t="s">
        <v>98</v>
      </c>
      <c r="E40" s="832">
        <v>1</v>
      </c>
      <c r="F40" s="833">
        <v>0</v>
      </c>
      <c r="G40" s="834">
        <f>E40*F40</f>
        <v>0</v>
      </c>
    </row>
    <row r="41" spans="2:7" x14ac:dyDescent="0.2">
      <c r="B41" s="861"/>
      <c r="C41" s="864"/>
      <c r="D41" s="865"/>
      <c r="E41" s="832"/>
      <c r="F41" s="834"/>
      <c r="G41" s="2522"/>
    </row>
    <row r="42" spans="2:7" x14ac:dyDescent="0.2">
      <c r="B42" s="861" t="s">
        <v>1201</v>
      </c>
      <c r="C42" s="864" t="s">
        <v>105</v>
      </c>
      <c r="D42" s="865" t="s">
        <v>98</v>
      </c>
      <c r="E42" s="832">
        <v>1</v>
      </c>
      <c r="F42" s="833">
        <v>0</v>
      </c>
      <c r="G42" s="834">
        <f>E42*F42</f>
        <v>0</v>
      </c>
    </row>
    <row r="43" spans="2:7" x14ac:dyDescent="0.2">
      <c r="B43" s="1242"/>
      <c r="C43" s="1243"/>
      <c r="D43" s="1244"/>
      <c r="E43" s="1245"/>
      <c r="F43" s="1246"/>
      <c r="G43" s="1247"/>
    </row>
    <row r="44" spans="2:7" x14ac:dyDescent="0.2">
      <c r="B44" s="872" t="s">
        <v>10</v>
      </c>
      <c r="C44" s="873" t="s">
        <v>108</v>
      </c>
      <c r="D44" s="873"/>
      <c r="E44" s="874"/>
      <c r="F44" s="875"/>
      <c r="G44" s="876">
        <f>SUM(G24:G42)</f>
        <v>0</v>
      </c>
    </row>
    <row r="45" spans="2:7" x14ac:dyDescent="0.2">
      <c r="B45" s="861"/>
      <c r="C45" s="862"/>
      <c r="D45" s="863"/>
      <c r="E45" s="838"/>
      <c r="F45" s="1241"/>
      <c r="G45" s="839"/>
    </row>
    <row r="47" spans="2:7" x14ac:dyDescent="0.2">
      <c r="B47" s="805" t="s">
        <v>83</v>
      </c>
      <c r="C47" s="806" t="s">
        <v>89</v>
      </c>
      <c r="D47" s="807" t="s">
        <v>90</v>
      </c>
      <c r="E47" s="808" t="s">
        <v>91</v>
      </c>
      <c r="F47" s="809" t="s">
        <v>92</v>
      </c>
      <c r="G47" s="810" t="s">
        <v>93</v>
      </c>
    </row>
    <row r="48" spans="2:7" x14ac:dyDescent="0.2">
      <c r="B48" s="811"/>
      <c r="C48" s="877"/>
      <c r="D48" s="878"/>
      <c r="E48" s="814"/>
      <c r="F48" s="815"/>
      <c r="G48" s="816"/>
    </row>
    <row r="49" spans="2:12" ht="20.25" x14ac:dyDescent="0.3">
      <c r="B49" s="817" t="s">
        <v>12</v>
      </c>
      <c r="C49" s="879" t="s">
        <v>109</v>
      </c>
      <c r="D49" s="880"/>
      <c r="E49" s="820"/>
      <c r="F49" s="821"/>
      <c r="G49" s="822"/>
    </row>
    <row r="50" spans="2:12" ht="74.25" customHeight="1" x14ac:dyDescent="0.2">
      <c r="B50" s="3233" t="s">
        <v>110</v>
      </c>
      <c r="C50" s="3234"/>
      <c r="D50" s="3234"/>
      <c r="E50" s="3234"/>
      <c r="F50" s="3234"/>
      <c r="G50" s="3235"/>
    </row>
    <row r="51" spans="2:12" x14ac:dyDescent="0.2">
      <c r="B51" s="1276"/>
      <c r="C51" s="1277"/>
      <c r="D51" s="1255"/>
      <c r="E51" s="838"/>
      <c r="F51" s="844"/>
      <c r="G51" s="839"/>
    </row>
    <row r="52" spans="2:12" ht="27.75" customHeight="1" x14ac:dyDescent="0.2">
      <c r="B52" s="835" t="s">
        <v>1205</v>
      </c>
      <c r="C52" s="887" t="s">
        <v>1206</v>
      </c>
      <c r="D52" s="865" t="s">
        <v>1207</v>
      </c>
      <c r="E52" s="2244">
        <v>30</v>
      </c>
      <c r="F52" s="833">
        <v>0</v>
      </c>
      <c r="G52" s="834">
        <f>E52*F52</f>
        <v>0</v>
      </c>
    </row>
    <row r="53" spans="2:12" ht="12.75" customHeight="1" x14ac:dyDescent="0.2">
      <c r="B53" s="835"/>
      <c r="C53" s="887"/>
      <c r="D53" s="865"/>
      <c r="E53" s="2244"/>
      <c r="F53" s="834"/>
      <c r="G53" s="2522"/>
    </row>
    <row r="54" spans="2:12" ht="52.5" customHeight="1" x14ac:dyDescent="0.2">
      <c r="B54" s="835">
        <v>2.2000000000000002</v>
      </c>
      <c r="C54" s="887" t="s">
        <v>1602</v>
      </c>
      <c r="D54" s="2521" t="s">
        <v>95</v>
      </c>
      <c r="E54" s="2242">
        <v>280</v>
      </c>
      <c r="F54" s="833">
        <v>0</v>
      </c>
      <c r="G54" s="834">
        <f>E54*F54</f>
        <v>0</v>
      </c>
    </row>
    <row r="55" spans="2:12" ht="13.5" customHeight="1" x14ac:dyDescent="0.2">
      <c r="B55" s="835"/>
      <c r="C55" s="887"/>
      <c r="D55" s="865"/>
      <c r="E55" s="2244"/>
      <c r="F55" s="834"/>
      <c r="G55" s="2522"/>
    </row>
    <row r="56" spans="2:12" ht="53.25" customHeight="1" x14ac:dyDescent="0.2">
      <c r="B56" s="835" t="s">
        <v>1564</v>
      </c>
      <c r="C56" s="887" t="s">
        <v>1562</v>
      </c>
      <c r="D56" s="2521" t="s">
        <v>1207</v>
      </c>
      <c r="E56" s="2242">
        <v>615</v>
      </c>
      <c r="F56" s="833">
        <v>0</v>
      </c>
      <c r="G56" s="834">
        <f>E56*F56</f>
        <v>0</v>
      </c>
      <c r="I56" s="742"/>
      <c r="K56" s="2467"/>
    </row>
    <row r="57" spans="2:12" x14ac:dyDescent="0.2">
      <c r="B57" s="829"/>
      <c r="C57" s="1253"/>
      <c r="D57" s="2521"/>
      <c r="E57" s="2242"/>
      <c r="F57" s="834"/>
      <c r="G57" s="2522"/>
      <c r="I57" s="742"/>
    </row>
    <row r="58" spans="2:12" ht="53.25" customHeight="1" x14ac:dyDescent="0.2">
      <c r="B58" s="835" t="s">
        <v>1565</v>
      </c>
      <c r="C58" s="887" t="s">
        <v>1563</v>
      </c>
      <c r="D58" s="865" t="s">
        <v>112</v>
      </c>
      <c r="E58" s="2242">
        <v>3555</v>
      </c>
      <c r="F58" s="833">
        <v>0</v>
      </c>
      <c r="G58" s="834">
        <f>E58*F58</f>
        <v>0</v>
      </c>
      <c r="I58" s="742"/>
      <c r="J58" s="2468"/>
      <c r="K58" s="2469"/>
    </row>
    <row r="59" spans="2:12" x14ac:dyDescent="0.2">
      <c r="B59" s="835"/>
      <c r="C59" s="887"/>
      <c r="D59" s="865"/>
      <c r="E59" s="2242"/>
      <c r="F59" s="834"/>
      <c r="G59" s="2522"/>
    </row>
    <row r="60" spans="2:12" ht="38.25" x14ac:dyDescent="0.2">
      <c r="B60" s="883" t="s">
        <v>1566</v>
      </c>
      <c r="C60" s="1254" t="s">
        <v>1211</v>
      </c>
      <c r="D60" s="2230" t="s">
        <v>117</v>
      </c>
      <c r="E60" s="2524">
        <v>3539.76</v>
      </c>
      <c r="F60" s="833">
        <v>0</v>
      </c>
      <c r="G60" s="834">
        <f>E60*F60</f>
        <v>0</v>
      </c>
      <c r="I60" s="2470"/>
      <c r="L60" s="2470"/>
    </row>
    <row r="61" spans="2:12" x14ac:dyDescent="0.2">
      <c r="B61" s="835"/>
      <c r="C61" s="887"/>
      <c r="D61" s="865"/>
      <c r="E61" s="2242"/>
      <c r="F61" s="834"/>
      <c r="G61" s="2522"/>
    </row>
    <row r="62" spans="2:12" ht="25.5" x14ac:dyDescent="0.2">
      <c r="B62" s="835" t="s">
        <v>1567</v>
      </c>
      <c r="C62" s="887" t="s">
        <v>1212</v>
      </c>
      <c r="D62" s="865" t="s">
        <v>1213</v>
      </c>
      <c r="E62" s="2242">
        <v>3210</v>
      </c>
      <c r="F62" s="833">
        <v>0</v>
      </c>
      <c r="G62" s="834">
        <f>E62*F62</f>
        <v>0</v>
      </c>
      <c r="I62" s="742"/>
    </row>
    <row r="63" spans="2:12" x14ac:dyDescent="0.2">
      <c r="B63" s="835"/>
      <c r="C63" s="887"/>
      <c r="D63" s="2521"/>
      <c r="E63" s="2242"/>
      <c r="F63" s="834"/>
      <c r="G63" s="2522"/>
    </row>
    <row r="64" spans="2:12" ht="30" customHeight="1" x14ac:dyDescent="0.2">
      <c r="B64" s="835">
        <v>2.7</v>
      </c>
      <c r="C64" s="887" t="s">
        <v>1568</v>
      </c>
      <c r="D64" s="865" t="s">
        <v>1207</v>
      </c>
      <c r="E64" s="2242">
        <v>2420</v>
      </c>
      <c r="F64" s="833">
        <v>0</v>
      </c>
      <c r="G64" s="834">
        <f>E64*F64</f>
        <v>0</v>
      </c>
      <c r="I64" s="742"/>
    </row>
    <row r="65" spans="2:9" x14ac:dyDescent="0.2">
      <c r="B65" s="835"/>
      <c r="C65" s="887"/>
      <c r="D65" s="865"/>
      <c r="E65" s="2242"/>
      <c r="F65" s="834"/>
      <c r="G65" s="2522"/>
    </row>
    <row r="66" spans="2:9" ht="27" customHeight="1" x14ac:dyDescent="0.2">
      <c r="B66" s="835">
        <v>2.8</v>
      </c>
      <c r="C66" s="887" t="s">
        <v>1217</v>
      </c>
      <c r="D66" s="865" t="s">
        <v>1207</v>
      </c>
      <c r="E66" s="2242">
        <v>758.52</v>
      </c>
      <c r="F66" s="833">
        <v>0</v>
      </c>
      <c r="G66" s="834">
        <f>E66*F66</f>
        <v>0</v>
      </c>
    </row>
    <row r="67" spans="2:9" x14ac:dyDescent="0.2">
      <c r="B67" s="835"/>
      <c r="C67" s="887"/>
      <c r="D67" s="865"/>
      <c r="E67" s="2242"/>
      <c r="F67" s="834"/>
      <c r="G67" s="2522"/>
    </row>
    <row r="68" spans="2:9" ht="53.25" customHeight="1" x14ac:dyDescent="0.2">
      <c r="B68" s="835">
        <v>2.9</v>
      </c>
      <c r="C68" s="890" t="s">
        <v>1603</v>
      </c>
      <c r="D68" s="2100" t="s">
        <v>1219</v>
      </c>
      <c r="E68" s="2244">
        <v>1264.2</v>
      </c>
      <c r="F68" s="833">
        <v>0</v>
      </c>
      <c r="G68" s="834">
        <f>E68*F68</f>
        <v>0</v>
      </c>
    </row>
    <row r="69" spans="2:9" x14ac:dyDescent="0.2">
      <c r="B69" s="835"/>
      <c r="C69" s="887"/>
      <c r="D69" s="865"/>
      <c r="E69" s="2242"/>
      <c r="F69" s="833"/>
      <c r="G69" s="2522"/>
    </row>
    <row r="70" spans="2:9" ht="25.5" x14ac:dyDescent="0.2">
      <c r="B70" s="861" t="s">
        <v>1220</v>
      </c>
      <c r="C70" s="887" t="s">
        <v>1225</v>
      </c>
      <c r="D70" s="865" t="s">
        <v>1226</v>
      </c>
      <c r="E70" s="2244">
        <v>766</v>
      </c>
      <c r="F70" s="833">
        <v>0</v>
      </c>
      <c r="G70" s="834">
        <f>E70*F70</f>
        <v>0</v>
      </c>
    </row>
    <row r="71" spans="2:9" x14ac:dyDescent="0.2">
      <c r="B71" s="835"/>
      <c r="C71" s="887"/>
      <c r="D71" s="865"/>
      <c r="E71" s="2244"/>
      <c r="F71" s="834"/>
      <c r="G71" s="2522"/>
    </row>
    <row r="72" spans="2:9" ht="25.5" x14ac:dyDescent="0.2">
      <c r="B72" s="861" t="s">
        <v>1222</v>
      </c>
      <c r="C72" s="887" t="s">
        <v>1228</v>
      </c>
      <c r="D72" s="2521" t="s">
        <v>1213</v>
      </c>
      <c r="E72" s="2244">
        <v>432</v>
      </c>
      <c r="F72" s="833">
        <v>0</v>
      </c>
      <c r="G72" s="834">
        <f>E72*F72</f>
        <v>0</v>
      </c>
      <c r="I72" s="742"/>
    </row>
    <row r="73" spans="2:9" x14ac:dyDescent="0.2">
      <c r="B73" s="829"/>
      <c r="C73" s="835"/>
      <c r="D73" s="2525"/>
      <c r="E73" s="2242"/>
      <c r="F73" s="834"/>
      <c r="G73" s="2522"/>
    </row>
    <row r="74" spans="2:9" ht="76.5" x14ac:dyDescent="0.2">
      <c r="B74" s="861" t="s">
        <v>1224</v>
      </c>
      <c r="C74" s="1253" t="s">
        <v>1573</v>
      </c>
      <c r="D74" s="2521" t="s">
        <v>1213</v>
      </c>
      <c r="E74" s="2244">
        <v>432</v>
      </c>
      <c r="F74" s="833">
        <v>0</v>
      </c>
      <c r="G74" s="834">
        <f>E74*F74</f>
        <v>0</v>
      </c>
      <c r="I74" s="742"/>
    </row>
    <row r="75" spans="2:9" ht="13.5" customHeight="1" x14ac:dyDescent="0.2">
      <c r="B75" s="829"/>
      <c r="C75" s="835"/>
      <c r="D75" s="2525"/>
      <c r="E75" s="2244"/>
      <c r="F75" s="833"/>
      <c r="G75" s="2522"/>
      <c r="I75" s="742"/>
    </row>
    <row r="76" spans="2:9" ht="38.25" x14ac:dyDescent="0.2">
      <c r="B76" s="861" t="s">
        <v>1227</v>
      </c>
      <c r="C76" s="887" t="s">
        <v>1574</v>
      </c>
      <c r="D76" s="865" t="s">
        <v>1213</v>
      </c>
      <c r="E76" s="2244">
        <v>432</v>
      </c>
      <c r="F76" s="833">
        <v>0</v>
      </c>
      <c r="G76" s="834">
        <f>E76*F76</f>
        <v>0</v>
      </c>
      <c r="I76" s="742"/>
    </row>
    <row r="77" spans="2:9" x14ac:dyDescent="0.2">
      <c r="B77" s="835"/>
      <c r="C77" s="887"/>
      <c r="D77" s="865"/>
      <c r="E77" s="2244"/>
      <c r="F77" s="834"/>
      <c r="G77" s="2522"/>
    </row>
    <row r="78" spans="2:9" ht="63.75" x14ac:dyDescent="0.2">
      <c r="B78" s="861" t="s">
        <v>1229</v>
      </c>
      <c r="C78" s="887" t="s">
        <v>1575</v>
      </c>
      <c r="D78" s="2521" t="s">
        <v>1213</v>
      </c>
      <c r="E78" s="2244">
        <v>172.8</v>
      </c>
      <c r="F78" s="833">
        <v>0</v>
      </c>
      <c r="G78" s="834">
        <f>E78*F78</f>
        <v>0</v>
      </c>
      <c r="I78" s="742"/>
    </row>
    <row r="79" spans="2:9" x14ac:dyDescent="0.2">
      <c r="B79" s="829"/>
      <c r="C79" s="835"/>
      <c r="D79" s="2525"/>
      <c r="E79" s="2242"/>
      <c r="F79" s="833"/>
      <c r="G79" s="2522"/>
    </row>
    <row r="80" spans="2:9" ht="63.75" x14ac:dyDescent="0.2">
      <c r="B80" s="861" t="s">
        <v>1231</v>
      </c>
      <c r="C80" s="887" t="s">
        <v>1576</v>
      </c>
      <c r="D80" s="865" t="s">
        <v>1213</v>
      </c>
      <c r="E80" s="2242">
        <v>604.79999999999995</v>
      </c>
      <c r="F80" s="833">
        <v>0</v>
      </c>
      <c r="G80" s="834">
        <f>E80*F80</f>
        <v>0</v>
      </c>
      <c r="I80" s="742"/>
    </row>
    <row r="81" spans="2:9" x14ac:dyDescent="0.2">
      <c r="B81" s="835"/>
      <c r="C81" s="887"/>
      <c r="D81" s="2521"/>
      <c r="E81" s="2242"/>
      <c r="F81" s="833"/>
      <c r="G81" s="2545"/>
    </row>
    <row r="82" spans="2:9" ht="51.75" customHeight="1" x14ac:dyDescent="0.2">
      <c r="B82" s="861" t="s">
        <v>1233</v>
      </c>
      <c r="C82" s="1280" t="s">
        <v>1604</v>
      </c>
      <c r="D82" s="865" t="s">
        <v>1207</v>
      </c>
      <c r="E82" s="2242">
        <v>4.5</v>
      </c>
      <c r="F82" s="833">
        <v>0</v>
      </c>
      <c r="G82" s="834">
        <f>E82*F82</f>
        <v>0</v>
      </c>
      <c r="I82" s="742"/>
    </row>
    <row r="83" spans="2:9" x14ac:dyDescent="0.2">
      <c r="B83" s="835"/>
      <c r="C83" s="887"/>
      <c r="D83" s="2521"/>
      <c r="E83" s="2242"/>
      <c r="F83" s="834"/>
      <c r="G83" s="2522"/>
      <c r="I83" s="742"/>
    </row>
    <row r="84" spans="2:9" ht="15" customHeight="1" x14ac:dyDescent="0.2">
      <c r="B84" s="861" t="s">
        <v>1235</v>
      </c>
      <c r="C84" s="887" t="s">
        <v>1577</v>
      </c>
      <c r="D84" s="865" t="s">
        <v>112</v>
      </c>
      <c r="E84" s="2244">
        <v>2022.72</v>
      </c>
      <c r="F84" s="833">
        <v>0</v>
      </c>
      <c r="G84" s="834">
        <f>E84*F84</f>
        <v>0</v>
      </c>
      <c r="I84" s="742"/>
    </row>
    <row r="85" spans="2:9" x14ac:dyDescent="0.2">
      <c r="B85" s="835"/>
      <c r="C85" s="887"/>
      <c r="D85" s="865"/>
      <c r="E85" s="2242"/>
      <c r="F85" s="834"/>
      <c r="G85" s="2522"/>
      <c r="I85" s="742"/>
    </row>
    <row r="86" spans="2:9" ht="16.5" customHeight="1" x14ac:dyDescent="0.2">
      <c r="B86" s="861" t="s">
        <v>1237</v>
      </c>
      <c r="C86" s="887" t="s">
        <v>1223</v>
      </c>
      <c r="D86" s="865" t="s">
        <v>112</v>
      </c>
      <c r="E86" s="2242">
        <v>2022.72</v>
      </c>
      <c r="F86" s="833">
        <v>0</v>
      </c>
      <c r="G86" s="834">
        <f>E86*F86</f>
        <v>0</v>
      </c>
      <c r="I86" s="742"/>
    </row>
    <row r="87" spans="2:9" x14ac:dyDescent="0.2">
      <c r="B87" s="835"/>
      <c r="C87" s="887"/>
      <c r="D87" s="865"/>
      <c r="E87" s="2242"/>
      <c r="F87" s="834"/>
      <c r="G87" s="2522"/>
    </row>
    <row r="88" spans="2:9" ht="25.5" x14ac:dyDescent="0.2">
      <c r="B88" s="861" t="s">
        <v>1239</v>
      </c>
      <c r="C88" s="887" t="s">
        <v>1234</v>
      </c>
      <c r="D88" s="865" t="s">
        <v>137</v>
      </c>
      <c r="E88" s="2242">
        <v>120.96</v>
      </c>
      <c r="F88" s="833">
        <v>0</v>
      </c>
      <c r="G88" s="834">
        <f>E88*F88</f>
        <v>0</v>
      </c>
      <c r="I88" s="742"/>
    </row>
    <row r="89" spans="2:9" x14ac:dyDescent="0.2">
      <c r="B89" s="835"/>
      <c r="C89" s="887"/>
      <c r="D89" s="865"/>
      <c r="E89" s="2242"/>
      <c r="F89" s="833"/>
      <c r="G89" s="2522"/>
      <c r="I89" s="742"/>
    </row>
    <row r="90" spans="2:9" ht="27" customHeight="1" x14ac:dyDescent="0.2">
      <c r="B90" s="861" t="s">
        <v>1241</v>
      </c>
      <c r="C90" s="887" t="s">
        <v>1236</v>
      </c>
      <c r="D90" s="2521" t="s">
        <v>117</v>
      </c>
      <c r="E90" s="2242">
        <v>360</v>
      </c>
      <c r="F90" s="833">
        <v>0</v>
      </c>
      <c r="G90" s="834">
        <f>E90*F90</f>
        <v>0</v>
      </c>
      <c r="I90" s="742"/>
    </row>
    <row r="91" spans="2:9" ht="15.75" customHeight="1" x14ac:dyDescent="0.2">
      <c r="B91" s="861"/>
      <c r="C91" s="887"/>
      <c r="D91" s="2521"/>
      <c r="E91" s="2242"/>
      <c r="F91" s="833"/>
      <c r="G91" s="2522"/>
      <c r="I91" s="742"/>
    </row>
    <row r="92" spans="2:9" ht="69.75" customHeight="1" x14ac:dyDescent="0.2">
      <c r="B92" s="892" t="s">
        <v>1243</v>
      </c>
      <c r="C92" s="911" t="s">
        <v>139</v>
      </c>
      <c r="D92" s="912"/>
      <c r="E92" s="913"/>
      <c r="F92" s="914"/>
      <c r="G92" s="915"/>
      <c r="I92" s="742"/>
    </row>
    <row r="93" spans="2:9" ht="15.75" customHeight="1" x14ac:dyDescent="0.2">
      <c r="B93" s="861"/>
      <c r="C93" s="904" t="s">
        <v>1605</v>
      </c>
      <c r="D93" s="2124" t="s">
        <v>95</v>
      </c>
      <c r="E93" s="2244">
        <v>7</v>
      </c>
      <c r="F93" s="833">
        <v>0</v>
      </c>
      <c r="G93" s="834">
        <f>E93*F93</f>
        <v>0</v>
      </c>
      <c r="I93" s="742"/>
    </row>
    <row r="94" spans="2:9" ht="13.5" customHeight="1" x14ac:dyDescent="0.2">
      <c r="B94" s="845"/>
      <c r="C94" s="904"/>
      <c r="D94" s="2124"/>
      <c r="E94" s="2244"/>
      <c r="F94" s="834"/>
      <c r="G94" s="2522"/>
      <c r="I94" s="742"/>
    </row>
    <row r="95" spans="2:9" ht="81.75" customHeight="1" x14ac:dyDescent="0.2">
      <c r="B95" s="892" t="s">
        <v>1243</v>
      </c>
      <c r="C95" s="887" t="s">
        <v>1606</v>
      </c>
      <c r="D95" s="2124"/>
      <c r="E95" s="2242"/>
      <c r="F95" s="834"/>
      <c r="G95" s="2522"/>
      <c r="I95" s="742"/>
    </row>
    <row r="96" spans="2:9" ht="13.5" customHeight="1" x14ac:dyDescent="0.2">
      <c r="B96" s="892"/>
      <c r="C96" s="904" t="s">
        <v>1607</v>
      </c>
      <c r="D96" s="2124" t="s">
        <v>95</v>
      </c>
      <c r="E96" s="2244">
        <v>43</v>
      </c>
      <c r="F96" s="833">
        <v>0</v>
      </c>
      <c r="G96" s="834">
        <f>E96*F96</f>
        <v>0</v>
      </c>
      <c r="I96" s="742"/>
    </row>
    <row r="97" spans="2:9" ht="13.5" customHeight="1" x14ac:dyDescent="0.2">
      <c r="B97" s="845"/>
      <c r="C97" s="904" t="s">
        <v>1605</v>
      </c>
      <c r="D97" s="2124" t="s">
        <v>95</v>
      </c>
      <c r="E97" s="2244">
        <v>20</v>
      </c>
      <c r="F97" s="833">
        <v>0</v>
      </c>
      <c r="G97" s="834">
        <f>E97*F97</f>
        <v>0</v>
      </c>
      <c r="I97" s="742"/>
    </row>
    <row r="98" spans="2:9" ht="13.5" customHeight="1" x14ac:dyDescent="0.2">
      <c r="B98" s="845"/>
      <c r="C98" s="904"/>
      <c r="D98" s="2124"/>
      <c r="E98" s="2244"/>
      <c r="F98" s="834"/>
      <c r="G98" s="2522"/>
      <c r="I98" s="742"/>
    </row>
    <row r="99" spans="2:9" ht="104.25" customHeight="1" x14ac:dyDescent="0.2">
      <c r="B99" s="861" t="s">
        <v>1243</v>
      </c>
      <c r="C99" s="942" t="s">
        <v>1608</v>
      </c>
      <c r="D99" s="2521" t="s">
        <v>95</v>
      </c>
      <c r="E99" s="2242">
        <v>9</v>
      </c>
      <c r="F99" s="833">
        <v>0</v>
      </c>
      <c r="G99" s="834">
        <f>E99*F99</f>
        <v>0</v>
      </c>
      <c r="I99" s="742"/>
    </row>
    <row r="100" spans="2:9" ht="13.5" customHeight="1" x14ac:dyDescent="0.2">
      <c r="B100" s="829"/>
      <c r="C100" s="942"/>
      <c r="D100" s="2521"/>
      <c r="E100" s="2242"/>
      <c r="F100" s="834"/>
      <c r="G100" s="2522"/>
    </row>
    <row r="101" spans="2:9" ht="39" customHeight="1" x14ac:dyDescent="0.2">
      <c r="B101" s="861" t="s">
        <v>1284</v>
      </c>
      <c r="C101" s="917" t="s">
        <v>1240</v>
      </c>
      <c r="D101" s="2235" t="s">
        <v>112</v>
      </c>
      <c r="E101" s="2527">
        <v>15</v>
      </c>
      <c r="F101" s="833">
        <v>0</v>
      </c>
      <c r="G101" s="834">
        <f>E101*F101</f>
        <v>0</v>
      </c>
      <c r="I101" s="1282"/>
    </row>
    <row r="102" spans="2:9" ht="10.5" customHeight="1" x14ac:dyDescent="0.2">
      <c r="B102" s="829"/>
      <c r="C102" s="887"/>
      <c r="D102" s="2521"/>
      <c r="E102" s="2242"/>
      <c r="F102" s="834"/>
      <c r="G102" s="2522"/>
      <c r="I102" s="742"/>
    </row>
    <row r="103" spans="2:9" ht="39.75" customHeight="1" x14ac:dyDescent="0.2">
      <c r="B103" s="861" t="s">
        <v>1285</v>
      </c>
      <c r="C103" s="922" t="s">
        <v>1242</v>
      </c>
      <c r="D103" s="2235" t="s">
        <v>149</v>
      </c>
      <c r="E103" s="2526">
        <v>40</v>
      </c>
      <c r="F103" s="833">
        <v>0</v>
      </c>
      <c r="G103" s="834">
        <f>E103*F103</f>
        <v>0</v>
      </c>
      <c r="I103" s="1282"/>
    </row>
    <row r="104" spans="2:9" ht="12.75" customHeight="1" x14ac:dyDescent="0.2">
      <c r="B104" s="861"/>
      <c r="C104" s="922"/>
      <c r="D104" s="2235"/>
      <c r="E104" s="2526"/>
      <c r="F104" s="2546"/>
      <c r="G104" s="2522"/>
      <c r="I104" s="1282"/>
    </row>
    <row r="105" spans="2:9" ht="39.75" customHeight="1" x14ac:dyDescent="0.2">
      <c r="B105" s="861" t="s">
        <v>1286</v>
      </c>
      <c r="C105" s="922" t="s">
        <v>153</v>
      </c>
      <c r="D105" s="2235" t="s">
        <v>112</v>
      </c>
      <c r="E105" s="2526">
        <v>28</v>
      </c>
      <c r="F105" s="833">
        <v>0</v>
      </c>
      <c r="G105" s="834">
        <f>E105*F105</f>
        <v>0</v>
      </c>
      <c r="I105" s="1282"/>
    </row>
    <row r="106" spans="2:9" x14ac:dyDescent="0.2">
      <c r="B106" s="1276"/>
      <c r="C106" s="1258"/>
      <c r="D106" s="1259"/>
      <c r="E106" s="1260"/>
      <c r="F106" s="1261"/>
      <c r="G106" s="1262"/>
    </row>
    <row r="107" spans="2:9" x14ac:dyDescent="0.2">
      <c r="B107" s="872" t="s">
        <v>12</v>
      </c>
      <c r="C107" s="873" t="s">
        <v>157</v>
      </c>
      <c r="D107" s="872"/>
      <c r="E107" s="874"/>
      <c r="F107" s="875"/>
      <c r="G107" s="876">
        <f>SUM(G52:G106)</f>
        <v>0</v>
      </c>
    </row>
    <row r="110" spans="2:9" x14ac:dyDescent="0.2">
      <c r="B110" s="805" t="s">
        <v>83</v>
      </c>
      <c r="C110" s="806" t="s">
        <v>89</v>
      </c>
      <c r="D110" s="806" t="s">
        <v>90</v>
      </c>
      <c r="E110" s="808" t="s">
        <v>91</v>
      </c>
      <c r="F110" s="809" t="s">
        <v>92</v>
      </c>
      <c r="G110" s="810" t="s">
        <v>93</v>
      </c>
    </row>
    <row r="111" spans="2:9" x14ac:dyDescent="0.2">
      <c r="B111" s="811"/>
      <c r="C111" s="812"/>
      <c r="D111" s="878"/>
      <c r="E111" s="814"/>
      <c r="F111" s="815"/>
      <c r="G111" s="816"/>
    </row>
    <row r="112" spans="2:9" ht="20.25" x14ac:dyDescent="0.2">
      <c r="B112" s="930" t="s">
        <v>17</v>
      </c>
      <c r="C112" s="931" t="s">
        <v>158</v>
      </c>
      <c r="D112" s="880"/>
      <c r="E112" s="820"/>
      <c r="F112" s="821"/>
      <c r="G112" s="822"/>
    </row>
    <row r="113" spans="2:11" x14ac:dyDescent="0.2">
      <c r="B113" s="2865" t="s">
        <v>1</v>
      </c>
      <c r="C113" s="2866"/>
      <c r="D113" s="2867"/>
      <c r="E113" s="2867"/>
      <c r="F113" s="2867"/>
      <c r="G113" s="2868"/>
    </row>
    <row r="114" spans="2:11" x14ac:dyDescent="0.2">
      <c r="B114" s="2869" t="s">
        <v>2</v>
      </c>
      <c r="C114" s="2870"/>
      <c r="D114" s="2871"/>
      <c r="E114" s="2872"/>
      <c r="F114" s="2872"/>
      <c r="G114" s="2871"/>
    </row>
    <row r="115" spans="2:11" x14ac:dyDescent="0.2">
      <c r="B115" s="2865" t="s">
        <v>3</v>
      </c>
      <c r="C115" s="2866"/>
      <c r="D115" s="2867"/>
      <c r="E115" s="2867"/>
      <c r="F115" s="2867"/>
      <c r="G115" s="2868"/>
    </row>
    <row r="116" spans="2:11" x14ac:dyDescent="0.2">
      <c r="B116" s="2869" t="s">
        <v>4</v>
      </c>
      <c r="C116" s="2870"/>
      <c r="D116" s="2872"/>
      <c r="E116" s="2872"/>
      <c r="F116" s="2872"/>
      <c r="G116" s="2871"/>
    </row>
    <row r="117" spans="2:11" x14ac:dyDescent="0.2">
      <c r="B117" s="3233" t="s">
        <v>159</v>
      </c>
      <c r="C117" s="3234"/>
      <c r="D117" s="3234"/>
      <c r="E117" s="3234"/>
      <c r="F117" s="3234"/>
      <c r="G117" s="3235"/>
    </row>
    <row r="118" spans="2:11" x14ac:dyDescent="0.2">
      <c r="B118" s="3233" t="s">
        <v>160</v>
      </c>
      <c r="C118" s="3234"/>
      <c r="D118" s="3234"/>
      <c r="E118" s="3234"/>
      <c r="F118" s="3234"/>
      <c r="G118" s="3235"/>
    </row>
    <row r="119" spans="2:11" x14ac:dyDescent="0.2">
      <c r="B119" s="3233" t="s">
        <v>161</v>
      </c>
      <c r="C119" s="3234"/>
      <c r="D119" s="3234"/>
      <c r="E119" s="3234"/>
      <c r="F119" s="3234"/>
      <c r="G119" s="3235"/>
    </row>
    <row r="120" spans="2:11" ht="38.25" x14ac:dyDescent="0.2">
      <c r="B120" s="829">
        <v>1</v>
      </c>
      <c r="C120" s="932" t="s">
        <v>162</v>
      </c>
      <c r="D120" s="932"/>
      <c r="E120" s="933"/>
      <c r="F120" s="934"/>
      <c r="G120" s="935"/>
    </row>
    <row r="121" spans="2:11" ht="25.5" x14ac:dyDescent="0.2">
      <c r="B121" s="829"/>
      <c r="C121" s="941" t="s">
        <v>1289</v>
      </c>
      <c r="D121" s="937" t="s">
        <v>95</v>
      </c>
      <c r="E121" s="832">
        <v>1095</v>
      </c>
      <c r="F121" s="833">
        <v>0</v>
      </c>
      <c r="G121" s="834">
        <f>E121*F121</f>
        <v>0</v>
      </c>
      <c r="J121" s="2471"/>
    </row>
    <row r="122" spans="2:11" ht="38.25" x14ac:dyDescent="0.2">
      <c r="B122" s="829"/>
      <c r="C122" s="941" t="s">
        <v>1290</v>
      </c>
      <c r="D122" s="937" t="s">
        <v>95</v>
      </c>
      <c r="E122" s="832">
        <v>469</v>
      </c>
      <c r="F122" s="833">
        <v>0</v>
      </c>
      <c r="G122" s="834">
        <f t="shared" ref="G122:G126" si="0">E122*F122</f>
        <v>0</v>
      </c>
      <c r="I122" s="2471"/>
      <c r="J122" s="2471"/>
      <c r="K122" s="2471"/>
    </row>
    <row r="123" spans="2:11" ht="25.5" x14ac:dyDescent="0.2">
      <c r="B123" s="829"/>
      <c r="C123" s="941" t="s">
        <v>1245</v>
      </c>
      <c r="D123" s="937" t="s">
        <v>95</v>
      </c>
      <c r="E123" s="832">
        <v>2512</v>
      </c>
      <c r="F123" s="833">
        <v>0</v>
      </c>
      <c r="G123" s="834">
        <f t="shared" si="0"/>
        <v>0</v>
      </c>
    </row>
    <row r="124" spans="2:11" ht="38.25" x14ac:dyDescent="0.2">
      <c r="B124" s="829"/>
      <c r="C124" s="941" t="s">
        <v>1609</v>
      </c>
      <c r="D124" s="937" t="s">
        <v>95</v>
      </c>
      <c r="E124" s="832">
        <v>279</v>
      </c>
      <c r="F124" s="833">
        <v>0</v>
      </c>
      <c r="G124" s="834">
        <f t="shared" si="0"/>
        <v>0</v>
      </c>
    </row>
    <row r="125" spans="2:11" ht="25.5" x14ac:dyDescent="0.2">
      <c r="B125" s="829"/>
      <c r="C125" s="941" t="s">
        <v>1610</v>
      </c>
      <c r="D125" s="937" t="s">
        <v>95</v>
      </c>
      <c r="E125" s="832">
        <v>1020</v>
      </c>
      <c r="F125" s="833">
        <v>0</v>
      </c>
      <c r="G125" s="834">
        <f t="shared" si="0"/>
        <v>0</v>
      </c>
    </row>
    <row r="126" spans="2:11" ht="38.25" x14ac:dyDescent="0.2">
      <c r="B126" s="829"/>
      <c r="C126" s="941" t="s">
        <v>1611</v>
      </c>
      <c r="D126" s="937" t="s">
        <v>95</v>
      </c>
      <c r="E126" s="832">
        <v>113</v>
      </c>
      <c r="F126" s="833">
        <v>0</v>
      </c>
      <c r="G126" s="834">
        <f t="shared" si="0"/>
        <v>0</v>
      </c>
      <c r="I126" s="2471"/>
      <c r="J126" s="2471"/>
    </row>
    <row r="127" spans="2:11" x14ac:dyDescent="0.2">
      <c r="B127" s="829"/>
      <c r="C127" s="941"/>
      <c r="D127" s="937"/>
      <c r="E127" s="832"/>
      <c r="F127" s="934"/>
      <c r="G127" s="935"/>
    </row>
    <row r="128" spans="2:11" ht="51" x14ac:dyDescent="0.2">
      <c r="B128" s="945">
        <v>2</v>
      </c>
      <c r="C128" s="946" t="s">
        <v>172</v>
      </c>
      <c r="D128" s="2727" t="s">
        <v>95</v>
      </c>
      <c r="E128" s="947">
        <f>SUM(E121:E127)</f>
        <v>5488</v>
      </c>
      <c r="F128" s="833">
        <v>0</v>
      </c>
      <c r="G128" s="834">
        <f>E128*F128</f>
        <v>0</v>
      </c>
    </row>
    <row r="129" spans="2:8" ht="38.25" x14ac:dyDescent="0.2">
      <c r="B129" s="948" t="s">
        <v>173</v>
      </c>
      <c r="C129" s="946" t="s">
        <v>174</v>
      </c>
      <c r="D129" s="2727" t="s">
        <v>95</v>
      </c>
      <c r="E129" s="947">
        <f>E128</f>
        <v>5488</v>
      </c>
      <c r="F129" s="833">
        <v>0</v>
      </c>
      <c r="G129" s="834">
        <f>E129*F129</f>
        <v>0</v>
      </c>
    </row>
    <row r="130" spans="2:8" ht="25.5" x14ac:dyDescent="0.2">
      <c r="B130" s="948" t="s">
        <v>175</v>
      </c>
      <c r="C130" s="946" t="s">
        <v>176</v>
      </c>
      <c r="D130" s="2727" t="s">
        <v>95</v>
      </c>
      <c r="E130" s="947">
        <f>E128</f>
        <v>5488</v>
      </c>
      <c r="F130" s="833">
        <v>0</v>
      </c>
      <c r="G130" s="834">
        <f>E130*F130</f>
        <v>0</v>
      </c>
    </row>
    <row r="131" spans="2:8" ht="51" x14ac:dyDescent="0.2">
      <c r="B131" s="948" t="s">
        <v>177</v>
      </c>
      <c r="C131" s="946" t="s">
        <v>178</v>
      </c>
      <c r="D131" s="2727" t="s">
        <v>95</v>
      </c>
      <c r="E131" s="947">
        <f>E128</f>
        <v>5488</v>
      </c>
      <c r="F131" s="833">
        <v>0</v>
      </c>
      <c r="G131" s="834">
        <f>E131*F131</f>
        <v>0</v>
      </c>
    </row>
    <row r="132" spans="2:8" ht="12" customHeight="1" x14ac:dyDescent="0.2">
      <c r="B132" s="829"/>
      <c r="C132" s="942"/>
      <c r="D132" s="1240"/>
      <c r="E132" s="838"/>
      <c r="F132" s="1241"/>
      <c r="G132" s="905"/>
      <c r="H132" s="743"/>
    </row>
    <row r="133" spans="2:8" ht="56.25" customHeight="1" x14ac:dyDescent="0.2">
      <c r="B133" s="3251" t="s">
        <v>167</v>
      </c>
      <c r="C133" s="1058" t="s">
        <v>168</v>
      </c>
      <c r="D133" s="912"/>
      <c r="E133" s="913"/>
      <c r="F133" s="914"/>
      <c r="G133" s="915"/>
      <c r="H133" s="743"/>
    </row>
    <row r="134" spans="2:8" ht="12" customHeight="1" x14ac:dyDescent="0.2">
      <c r="B134" s="3252"/>
      <c r="C134" s="916" t="s">
        <v>171</v>
      </c>
      <c r="D134" s="912" t="s">
        <v>95</v>
      </c>
      <c r="E134" s="913">
        <v>85</v>
      </c>
      <c r="F134" s="833">
        <v>0</v>
      </c>
      <c r="G134" s="834">
        <f>E134*F134</f>
        <v>0</v>
      </c>
      <c r="H134" s="743"/>
    </row>
    <row r="135" spans="2:8" x14ac:dyDescent="0.2">
      <c r="B135" s="829"/>
      <c r="C135" s="1284"/>
      <c r="D135" s="1285"/>
      <c r="E135" s="1286"/>
      <c r="F135" s="1287"/>
      <c r="G135" s="905"/>
    </row>
    <row r="136" spans="2:8" x14ac:dyDescent="0.2">
      <c r="B136" s="2061" t="s">
        <v>1249</v>
      </c>
      <c r="C136" s="2414" t="s">
        <v>1612</v>
      </c>
      <c r="D136" s="2063"/>
      <c r="E136" s="2415"/>
      <c r="F136" s="2416"/>
      <c r="G136" s="2417"/>
    </row>
    <row r="137" spans="2:8" x14ac:dyDescent="0.2">
      <c r="B137" s="2061"/>
      <c r="C137" s="2409" t="s">
        <v>193</v>
      </c>
      <c r="D137" s="2068" t="s">
        <v>149</v>
      </c>
      <c r="E137" s="2069">
        <v>7</v>
      </c>
      <c r="F137" s="2066">
        <v>0</v>
      </c>
      <c r="G137" s="2067">
        <f t="shared" ref="G137:G147" si="1">E137*F137</f>
        <v>0</v>
      </c>
    </row>
    <row r="138" spans="2:8" x14ac:dyDescent="0.2">
      <c r="B138" s="2061"/>
      <c r="C138" s="2409" t="s">
        <v>194</v>
      </c>
      <c r="D138" s="2068" t="s">
        <v>149</v>
      </c>
      <c r="E138" s="2069">
        <v>7</v>
      </c>
      <c r="F138" s="2066">
        <v>0</v>
      </c>
      <c r="G138" s="2067">
        <f t="shared" si="1"/>
        <v>0</v>
      </c>
    </row>
    <row r="139" spans="2:8" ht="25.5" x14ac:dyDescent="0.2">
      <c r="B139" s="2061"/>
      <c r="C139" s="2410" t="s">
        <v>239</v>
      </c>
      <c r="D139" s="2068" t="s">
        <v>149</v>
      </c>
      <c r="E139" s="2069">
        <v>7</v>
      </c>
      <c r="F139" s="2066">
        <v>0</v>
      </c>
      <c r="G139" s="2067">
        <f t="shared" si="1"/>
        <v>0</v>
      </c>
    </row>
    <row r="140" spans="2:8" x14ac:dyDescent="0.2">
      <c r="B140" s="2061"/>
      <c r="C140" s="2410" t="s">
        <v>1267</v>
      </c>
      <c r="D140" s="2068" t="s">
        <v>149</v>
      </c>
      <c r="E140" s="2069">
        <v>7</v>
      </c>
      <c r="F140" s="2066">
        <v>0</v>
      </c>
      <c r="G140" s="2067">
        <f t="shared" si="1"/>
        <v>0</v>
      </c>
    </row>
    <row r="141" spans="2:8" x14ac:dyDescent="0.2">
      <c r="B141" s="2061"/>
      <c r="C141" s="2410" t="s">
        <v>1268</v>
      </c>
      <c r="D141" s="2068" t="s">
        <v>149</v>
      </c>
      <c r="E141" s="2069">
        <v>7</v>
      </c>
      <c r="F141" s="2066">
        <v>0</v>
      </c>
      <c r="G141" s="2067">
        <f t="shared" si="1"/>
        <v>0</v>
      </c>
    </row>
    <row r="142" spans="2:8" x14ac:dyDescent="0.2">
      <c r="B142" s="2061"/>
      <c r="C142" s="2410" t="s">
        <v>1269</v>
      </c>
      <c r="D142" s="2068" t="s">
        <v>149</v>
      </c>
      <c r="E142" s="2069">
        <v>7</v>
      </c>
      <c r="F142" s="2066">
        <v>0</v>
      </c>
      <c r="G142" s="2067">
        <f t="shared" si="1"/>
        <v>0</v>
      </c>
    </row>
    <row r="143" spans="2:8" x14ac:dyDescent="0.2">
      <c r="B143" s="2061"/>
      <c r="C143" s="2033" t="s">
        <v>1613</v>
      </c>
      <c r="D143" s="2063" t="s">
        <v>149</v>
      </c>
      <c r="E143" s="2069">
        <v>7</v>
      </c>
      <c r="F143" s="2066">
        <v>0</v>
      </c>
      <c r="G143" s="2067">
        <f t="shared" si="1"/>
        <v>0</v>
      </c>
    </row>
    <row r="144" spans="2:8" x14ac:dyDescent="0.2">
      <c r="B144" s="2061"/>
      <c r="C144" s="2423" t="s">
        <v>1614</v>
      </c>
      <c r="D144" s="2063" t="s">
        <v>149</v>
      </c>
      <c r="E144" s="2069">
        <v>7</v>
      </c>
      <c r="F144" s="2066">
        <v>0</v>
      </c>
      <c r="G144" s="2067">
        <f t="shared" si="1"/>
        <v>0</v>
      </c>
    </row>
    <row r="145" spans="2:7" ht="51" x14ac:dyDescent="0.2">
      <c r="B145" s="2061"/>
      <c r="C145" s="2409" t="s">
        <v>285</v>
      </c>
      <c r="D145" s="2063" t="s">
        <v>149</v>
      </c>
      <c r="E145" s="2069">
        <v>7</v>
      </c>
      <c r="F145" s="2066">
        <v>0</v>
      </c>
      <c r="G145" s="2067">
        <f t="shared" si="1"/>
        <v>0</v>
      </c>
    </row>
    <row r="146" spans="2:7" ht="25.5" x14ac:dyDescent="0.2">
      <c r="B146" s="2061"/>
      <c r="C146" s="2410" t="s">
        <v>197</v>
      </c>
      <c r="D146" s="2068" t="s">
        <v>149</v>
      </c>
      <c r="E146" s="2069">
        <v>7</v>
      </c>
      <c r="F146" s="2066">
        <v>0</v>
      </c>
      <c r="G146" s="2067">
        <f t="shared" si="1"/>
        <v>0</v>
      </c>
    </row>
    <row r="147" spans="2:7" ht="25.5" x14ac:dyDescent="0.2">
      <c r="B147" s="2061"/>
      <c r="C147" s="2411" t="s">
        <v>1196</v>
      </c>
      <c r="D147" s="2068" t="s">
        <v>149</v>
      </c>
      <c r="E147" s="2069">
        <v>7</v>
      </c>
      <c r="F147" s="2066">
        <v>0</v>
      </c>
      <c r="G147" s="2067">
        <f t="shared" si="1"/>
        <v>0</v>
      </c>
    </row>
    <row r="148" spans="2:7" x14ac:dyDescent="0.2">
      <c r="B148" s="950"/>
      <c r="C148" s="955"/>
      <c r="D148" s="956"/>
      <c r="E148" s="957"/>
      <c r="F148" s="958"/>
      <c r="G148" s="958"/>
    </row>
    <row r="149" spans="2:7" x14ac:dyDescent="0.2">
      <c r="B149" s="2061" t="s">
        <v>1253</v>
      </c>
      <c r="C149" s="2414" t="s">
        <v>1386</v>
      </c>
      <c r="D149" s="2063"/>
      <c r="E149" s="2415"/>
      <c r="F149" s="2416"/>
      <c r="G149" s="2417"/>
    </row>
    <row r="150" spans="2:7" x14ac:dyDescent="0.2">
      <c r="B150" s="2061"/>
      <c r="C150" s="2408" t="s">
        <v>841</v>
      </c>
      <c r="D150" s="2068" t="s">
        <v>149</v>
      </c>
      <c r="E150" s="2069">
        <v>1</v>
      </c>
      <c r="F150" s="2066">
        <v>0</v>
      </c>
      <c r="G150" s="2067">
        <f t="shared" ref="G150:G159" si="2">E150*F150</f>
        <v>0</v>
      </c>
    </row>
    <row r="151" spans="2:7" ht="51" x14ac:dyDescent="0.2">
      <c r="B151" s="2061"/>
      <c r="C151" s="2409" t="s">
        <v>285</v>
      </c>
      <c r="D151" s="2068" t="s">
        <v>149</v>
      </c>
      <c r="E151" s="2069">
        <v>1</v>
      </c>
      <c r="F151" s="2066">
        <v>0</v>
      </c>
      <c r="G151" s="2067">
        <f t="shared" si="2"/>
        <v>0</v>
      </c>
    </row>
    <row r="152" spans="2:7" x14ac:dyDescent="0.2">
      <c r="B152" s="2061"/>
      <c r="C152" s="2409" t="s">
        <v>193</v>
      </c>
      <c r="D152" s="2068" t="s">
        <v>149</v>
      </c>
      <c r="E152" s="2069">
        <v>1</v>
      </c>
      <c r="F152" s="2066">
        <v>0</v>
      </c>
      <c r="G152" s="2067">
        <f t="shared" si="2"/>
        <v>0</v>
      </c>
    </row>
    <row r="153" spans="2:7" x14ac:dyDescent="0.2">
      <c r="B153" s="2061"/>
      <c r="C153" s="2409" t="s">
        <v>194</v>
      </c>
      <c r="D153" s="2068" t="s">
        <v>149</v>
      </c>
      <c r="E153" s="2069">
        <v>1</v>
      </c>
      <c r="F153" s="2066">
        <v>0</v>
      </c>
      <c r="G153" s="2067">
        <f t="shared" si="2"/>
        <v>0</v>
      </c>
    </row>
    <row r="154" spans="2:7" ht="25.5" x14ac:dyDescent="0.2">
      <c r="B154" s="2061"/>
      <c r="C154" s="2410" t="s">
        <v>239</v>
      </c>
      <c r="D154" s="2068" t="s">
        <v>149</v>
      </c>
      <c r="E154" s="2069">
        <v>2</v>
      </c>
      <c r="F154" s="2066">
        <v>0</v>
      </c>
      <c r="G154" s="2067">
        <f t="shared" si="2"/>
        <v>0</v>
      </c>
    </row>
    <row r="155" spans="2:7" x14ac:dyDescent="0.2">
      <c r="B155" s="2061"/>
      <c r="C155" s="2410" t="s">
        <v>1267</v>
      </c>
      <c r="D155" s="2068" t="s">
        <v>149</v>
      </c>
      <c r="E155" s="2069">
        <v>2</v>
      </c>
      <c r="F155" s="2066">
        <v>0</v>
      </c>
      <c r="G155" s="2067">
        <f t="shared" si="2"/>
        <v>0</v>
      </c>
    </row>
    <row r="156" spans="2:7" x14ac:dyDescent="0.2">
      <c r="B156" s="2061"/>
      <c r="C156" s="2410" t="s">
        <v>1268</v>
      </c>
      <c r="D156" s="2068" t="s">
        <v>149</v>
      </c>
      <c r="E156" s="2069">
        <v>2</v>
      </c>
      <c r="F156" s="2066">
        <v>0</v>
      </c>
      <c r="G156" s="2067">
        <f t="shared" si="2"/>
        <v>0</v>
      </c>
    </row>
    <row r="157" spans="2:7" x14ac:dyDescent="0.2">
      <c r="B157" s="2061"/>
      <c r="C157" s="2410" t="s">
        <v>1269</v>
      </c>
      <c r="D157" s="2068" t="s">
        <v>149</v>
      </c>
      <c r="E157" s="2069">
        <v>2</v>
      </c>
      <c r="F157" s="2066">
        <v>0</v>
      </c>
      <c r="G157" s="2067">
        <f t="shared" si="2"/>
        <v>0</v>
      </c>
    </row>
    <row r="158" spans="2:7" ht="25.5" x14ac:dyDescent="0.2">
      <c r="B158" s="2061"/>
      <c r="C158" s="2410" t="s">
        <v>197</v>
      </c>
      <c r="D158" s="2068" t="s">
        <v>149</v>
      </c>
      <c r="E158" s="2069">
        <v>1</v>
      </c>
      <c r="F158" s="2066">
        <v>0</v>
      </c>
      <c r="G158" s="2067">
        <f t="shared" si="2"/>
        <v>0</v>
      </c>
    </row>
    <row r="159" spans="2:7" ht="25.5" x14ac:dyDescent="0.2">
      <c r="B159" s="2061"/>
      <c r="C159" s="2411" t="s">
        <v>1196</v>
      </c>
      <c r="D159" s="2068" t="s">
        <v>149</v>
      </c>
      <c r="E159" s="2069">
        <v>1</v>
      </c>
      <c r="F159" s="2066">
        <v>0</v>
      </c>
      <c r="G159" s="2067">
        <f t="shared" si="2"/>
        <v>0</v>
      </c>
    </row>
    <row r="160" spans="2:7" x14ac:dyDescent="0.2">
      <c r="B160" s="950"/>
      <c r="C160" s="955"/>
      <c r="D160" s="956"/>
      <c r="E160" s="957"/>
      <c r="F160" s="958"/>
      <c r="G160" s="958"/>
    </row>
    <row r="161" spans="2:7" x14ac:dyDescent="0.2">
      <c r="B161" s="2061" t="s">
        <v>1253</v>
      </c>
      <c r="C161" s="2414" t="s">
        <v>1306</v>
      </c>
      <c r="D161" s="2063"/>
      <c r="E161" s="2415"/>
      <c r="F161" s="2416"/>
      <c r="G161" s="2417"/>
    </row>
    <row r="162" spans="2:7" x14ac:dyDescent="0.2">
      <c r="B162" s="2061"/>
      <c r="C162" s="2408" t="s">
        <v>207</v>
      </c>
      <c r="D162" s="2068" t="s">
        <v>149</v>
      </c>
      <c r="E162" s="2069">
        <v>3</v>
      </c>
      <c r="F162" s="2066">
        <v>0</v>
      </c>
      <c r="G162" s="2067">
        <f t="shared" ref="G162:G169" si="3">E162*F162</f>
        <v>0</v>
      </c>
    </row>
    <row r="163" spans="2:7" ht="51" x14ac:dyDescent="0.2">
      <c r="B163" s="2061"/>
      <c r="C163" s="2409" t="s">
        <v>192</v>
      </c>
      <c r="D163" s="2068" t="s">
        <v>149</v>
      </c>
      <c r="E163" s="2069">
        <v>3</v>
      </c>
      <c r="F163" s="2066">
        <v>0</v>
      </c>
      <c r="G163" s="2067">
        <f t="shared" si="3"/>
        <v>0</v>
      </c>
    </row>
    <row r="164" spans="2:7" x14ac:dyDescent="0.2">
      <c r="B164" s="2061"/>
      <c r="C164" s="2409" t="s">
        <v>193</v>
      </c>
      <c r="D164" s="2068" t="s">
        <v>149</v>
      </c>
      <c r="E164" s="2069">
        <v>3</v>
      </c>
      <c r="F164" s="2066">
        <v>0</v>
      </c>
      <c r="G164" s="2067">
        <f t="shared" si="3"/>
        <v>0</v>
      </c>
    </row>
    <row r="165" spans="2:7" x14ac:dyDescent="0.2">
      <c r="B165" s="2061"/>
      <c r="C165" s="2409" t="s">
        <v>194</v>
      </c>
      <c r="D165" s="2068" t="s">
        <v>149</v>
      </c>
      <c r="E165" s="2069">
        <v>3</v>
      </c>
      <c r="F165" s="2066">
        <v>0</v>
      </c>
      <c r="G165" s="2067">
        <f t="shared" si="3"/>
        <v>0</v>
      </c>
    </row>
    <row r="166" spans="2:7" ht="25.5" x14ac:dyDescent="0.2">
      <c r="B166" s="2061"/>
      <c r="C166" s="2409" t="s">
        <v>235</v>
      </c>
      <c r="D166" s="2068" t="s">
        <v>149</v>
      </c>
      <c r="E166" s="2069">
        <v>6</v>
      </c>
      <c r="F166" s="2066">
        <v>0</v>
      </c>
      <c r="G166" s="2067">
        <f t="shared" si="3"/>
        <v>0</v>
      </c>
    </row>
    <row r="167" spans="2:7" x14ac:dyDescent="0.2">
      <c r="B167" s="2061"/>
      <c r="C167" s="2409" t="s">
        <v>1307</v>
      </c>
      <c r="D167" s="2068" t="s">
        <v>149</v>
      </c>
      <c r="E167" s="2069">
        <v>6</v>
      </c>
      <c r="F167" s="2066">
        <v>0</v>
      </c>
      <c r="G167" s="2067">
        <f t="shared" si="3"/>
        <v>0</v>
      </c>
    </row>
    <row r="168" spans="2:7" ht="25.5" x14ac:dyDescent="0.2">
      <c r="B168" s="2061"/>
      <c r="C168" s="2409" t="s">
        <v>197</v>
      </c>
      <c r="D168" s="2068" t="s">
        <v>149</v>
      </c>
      <c r="E168" s="2069">
        <v>3</v>
      </c>
      <c r="F168" s="2066">
        <v>0</v>
      </c>
      <c r="G168" s="2067">
        <f t="shared" si="3"/>
        <v>0</v>
      </c>
    </row>
    <row r="169" spans="2:7" ht="25.5" x14ac:dyDescent="0.2">
      <c r="B169" s="2061"/>
      <c r="C169" s="2409" t="s">
        <v>1196</v>
      </c>
      <c r="D169" s="2068" t="s">
        <v>149</v>
      </c>
      <c r="E169" s="2069">
        <v>3</v>
      </c>
      <c r="F169" s="2066">
        <v>0</v>
      </c>
      <c r="G169" s="2067">
        <f t="shared" si="3"/>
        <v>0</v>
      </c>
    </row>
    <row r="170" spans="2:7" x14ac:dyDescent="0.2">
      <c r="B170" s="950"/>
      <c r="C170" s="955"/>
      <c r="D170" s="956"/>
      <c r="E170" s="957"/>
      <c r="F170" s="958"/>
      <c r="G170" s="958"/>
    </row>
    <row r="171" spans="2:7" x14ac:dyDescent="0.2">
      <c r="B171" s="2061" t="s">
        <v>1256</v>
      </c>
      <c r="C171" s="2414" t="s">
        <v>1615</v>
      </c>
      <c r="D171" s="2063"/>
      <c r="E171" s="2415"/>
      <c r="F171" s="2416"/>
      <c r="G171" s="2417"/>
    </row>
    <row r="172" spans="2:7" ht="38.25" x14ac:dyDescent="0.2">
      <c r="B172" s="2061"/>
      <c r="C172" s="2409" t="s">
        <v>1388</v>
      </c>
      <c r="D172" s="2068" t="s">
        <v>149</v>
      </c>
      <c r="E172" s="2069">
        <v>7</v>
      </c>
      <c r="F172" s="2066">
        <v>0</v>
      </c>
      <c r="G172" s="2067">
        <f t="shared" ref="G172:G174" si="4">E172*F172</f>
        <v>0</v>
      </c>
    </row>
    <row r="173" spans="2:7" ht="25.5" x14ac:dyDescent="0.2">
      <c r="B173" s="2061"/>
      <c r="C173" s="2410" t="s">
        <v>203</v>
      </c>
      <c r="D173" s="2068" t="s">
        <v>149</v>
      </c>
      <c r="E173" s="2069">
        <v>7</v>
      </c>
      <c r="F173" s="2066">
        <v>0</v>
      </c>
      <c r="G173" s="2067">
        <f t="shared" si="4"/>
        <v>0</v>
      </c>
    </row>
    <row r="174" spans="2:7" ht="25.5" x14ac:dyDescent="0.2">
      <c r="B174" s="2061"/>
      <c r="C174" s="2411" t="s">
        <v>1196</v>
      </c>
      <c r="D174" s="2068" t="s">
        <v>149</v>
      </c>
      <c r="E174" s="2069">
        <v>7</v>
      </c>
      <c r="F174" s="2066">
        <v>0</v>
      </c>
      <c r="G174" s="2067">
        <f t="shared" si="4"/>
        <v>0</v>
      </c>
    </row>
    <row r="175" spans="2:7" x14ac:dyDescent="0.2">
      <c r="B175" s="950"/>
      <c r="C175" s="955"/>
      <c r="D175" s="956"/>
      <c r="E175" s="957"/>
      <c r="F175" s="958"/>
      <c r="G175" s="958"/>
    </row>
    <row r="176" spans="2:7" x14ac:dyDescent="0.2">
      <c r="B176" s="2061" t="s">
        <v>1256</v>
      </c>
      <c r="C176" s="2414" t="s">
        <v>1616</v>
      </c>
      <c r="D176" s="2063"/>
      <c r="E176" s="2415"/>
      <c r="F176" s="2416"/>
      <c r="G176" s="2417"/>
    </row>
    <row r="177" spans="2:7" x14ac:dyDescent="0.2">
      <c r="B177" s="2061"/>
      <c r="C177" s="2408" t="s">
        <v>207</v>
      </c>
      <c r="D177" s="2068" t="s">
        <v>149</v>
      </c>
      <c r="E177" s="2069">
        <v>1</v>
      </c>
      <c r="F177" s="2066">
        <v>0</v>
      </c>
      <c r="G177" s="2067">
        <f t="shared" ref="G177:G192" si="5">E177*F177</f>
        <v>0</v>
      </c>
    </row>
    <row r="178" spans="2:7" ht="25.5" x14ac:dyDescent="0.2">
      <c r="B178" s="2061"/>
      <c r="C178" s="2408" t="s">
        <v>208</v>
      </c>
      <c r="D178" s="2068" t="s">
        <v>149</v>
      </c>
      <c r="E178" s="2069">
        <v>2</v>
      </c>
      <c r="F178" s="2066">
        <v>0</v>
      </c>
      <c r="G178" s="2067">
        <f t="shared" si="5"/>
        <v>0</v>
      </c>
    </row>
    <row r="179" spans="2:7" ht="15.75" customHeight="1" x14ac:dyDescent="0.2">
      <c r="B179" s="2061"/>
      <c r="C179" s="2409" t="s">
        <v>843</v>
      </c>
      <c r="D179" s="2068" t="s">
        <v>149</v>
      </c>
      <c r="E179" s="2069">
        <v>1</v>
      </c>
      <c r="F179" s="2066">
        <v>0</v>
      </c>
      <c r="G179" s="2067">
        <f t="shared" si="5"/>
        <v>0</v>
      </c>
    </row>
    <row r="180" spans="2:7" x14ac:dyDescent="0.2">
      <c r="B180" s="2061"/>
      <c r="C180" s="2409" t="s">
        <v>210</v>
      </c>
      <c r="D180" s="2068" t="s">
        <v>149</v>
      </c>
      <c r="E180" s="2069">
        <v>1</v>
      </c>
      <c r="F180" s="2066">
        <v>0</v>
      </c>
      <c r="G180" s="2067">
        <f t="shared" si="5"/>
        <v>0</v>
      </c>
    </row>
    <row r="181" spans="2:7" x14ac:dyDescent="0.2">
      <c r="B181" s="2061"/>
      <c r="C181" s="2409" t="s">
        <v>211</v>
      </c>
      <c r="D181" s="2068" t="s">
        <v>149</v>
      </c>
      <c r="E181" s="2069">
        <v>1</v>
      </c>
      <c r="F181" s="2066">
        <v>0</v>
      </c>
      <c r="G181" s="2067">
        <f t="shared" si="5"/>
        <v>0</v>
      </c>
    </row>
    <row r="182" spans="2:7" x14ac:dyDescent="0.2">
      <c r="B182" s="2061"/>
      <c r="C182" s="2409" t="s">
        <v>212</v>
      </c>
      <c r="D182" s="2068" t="s">
        <v>149</v>
      </c>
      <c r="E182" s="2069">
        <v>1</v>
      </c>
      <c r="F182" s="2066">
        <v>0</v>
      </c>
      <c r="G182" s="2067">
        <f t="shared" si="5"/>
        <v>0</v>
      </c>
    </row>
    <row r="183" spans="2:7" ht="25.5" x14ac:dyDescent="0.2">
      <c r="B183" s="2061"/>
      <c r="C183" s="2409" t="s">
        <v>213</v>
      </c>
      <c r="D183" s="2068" t="s">
        <v>149</v>
      </c>
      <c r="E183" s="2069">
        <v>1</v>
      </c>
      <c r="F183" s="2066">
        <v>0</v>
      </c>
      <c r="G183" s="2067">
        <f t="shared" si="5"/>
        <v>0</v>
      </c>
    </row>
    <row r="184" spans="2:7" x14ac:dyDescent="0.2">
      <c r="B184" s="2061"/>
      <c r="C184" s="2409" t="s">
        <v>214</v>
      </c>
      <c r="D184" s="2068" t="s">
        <v>149</v>
      </c>
      <c r="E184" s="2069">
        <v>1</v>
      </c>
      <c r="F184" s="2066">
        <v>0</v>
      </c>
      <c r="G184" s="2067">
        <f t="shared" si="5"/>
        <v>0</v>
      </c>
    </row>
    <row r="185" spans="2:7" x14ac:dyDescent="0.2">
      <c r="B185" s="2061"/>
      <c r="C185" s="2409" t="s">
        <v>215</v>
      </c>
      <c r="D185" s="2068" t="s">
        <v>149</v>
      </c>
      <c r="E185" s="2069">
        <v>1</v>
      </c>
      <c r="F185" s="2066">
        <v>0</v>
      </c>
      <c r="G185" s="2067">
        <f t="shared" si="5"/>
        <v>0</v>
      </c>
    </row>
    <row r="186" spans="2:7" x14ac:dyDescent="0.2">
      <c r="B186" s="2061"/>
      <c r="C186" s="2410" t="s">
        <v>216</v>
      </c>
      <c r="D186" s="2068" t="s">
        <v>149</v>
      </c>
      <c r="E186" s="2069">
        <v>1</v>
      </c>
      <c r="F186" s="2066">
        <v>0</v>
      </c>
      <c r="G186" s="2067">
        <f t="shared" si="5"/>
        <v>0</v>
      </c>
    </row>
    <row r="187" spans="2:7" x14ac:dyDescent="0.2">
      <c r="B187" s="2061"/>
      <c r="C187" s="2410" t="s">
        <v>329</v>
      </c>
      <c r="D187" s="2068" t="s">
        <v>149</v>
      </c>
      <c r="E187" s="2069">
        <v>1</v>
      </c>
      <c r="F187" s="2066">
        <v>0</v>
      </c>
      <c r="G187" s="2067">
        <f t="shared" si="5"/>
        <v>0</v>
      </c>
    </row>
    <row r="188" spans="2:7" ht="25.5" x14ac:dyDescent="0.2">
      <c r="B188" s="2061"/>
      <c r="C188" s="2410" t="s">
        <v>235</v>
      </c>
      <c r="D188" s="2068" t="s">
        <v>149</v>
      </c>
      <c r="E188" s="2069">
        <v>2</v>
      </c>
      <c r="F188" s="2066">
        <v>0</v>
      </c>
      <c r="G188" s="2067">
        <f t="shared" si="5"/>
        <v>0</v>
      </c>
    </row>
    <row r="189" spans="2:7" x14ac:dyDescent="0.2">
      <c r="B189" s="2061"/>
      <c r="C189" s="2410" t="s">
        <v>1294</v>
      </c>
      <c r="D189" s="2068" t="s">
        <v>149</v>
      </c>
      <c r="E189" s="2069">
        <v>2</v>
      </c>
      <c r="F189" s="2066">
        <v>0</v>
      </c>
      <c r="G189" s="2067">
        <f t="shared" si="5"/>
        <v>0</v>
      </c>
    </row>
    <row r="190" spans="2:7" x14ac:dyDescent="0.2">
      <c r="B190" s="2061"/>
      <c r="C190" s="2410" t="s">
        <v>219</v>
      </c>
      <c r="D190" s="2068" t="s">
        <v>149</v>
      </c>
      <c r="E190" s="2069">
        <v>1</v>
      </c>
      <c r="F190" s="2066">
        <v>0</v>
      </c>
      <c r="G190" s="2067">
        <f t="shared" si="5"/>
        <v>0</v>
      </c>
    </row>
    <row r="191" spans="2:7" x14ac:dyDescent="0.2">
      <c r="B191" s="2061"/>
      <c r="C191" s="2410" t="s">
        <v>227</v>
      </c>
      <c r="D191" s="2068" t="s">
        <v>149</v>
      </c>
      <c r="E191" s="2069">
        <v>3</v>
      </c>
      <c r="F191" s="2066">
        <v>0</v>
      </c>
      <c r="G191" s="2067">
        <f t="shared" si="5"/>
        <v>0</v>
      </c>
    </row>
    <row r="192" spans="2:7" ht="25.5" x14ac:dyDescent="0.2">
      <c r="B192" s="2061"/>
      <c r="C192" s="2411" t="s">
        <v>1196</v>
      </c>
      <c r="D192" s="2068" t="s">
        <v>149</v>
      </c>
      <c r="E192" s="2069">
        <v>1</v>
      </c>
      <c r="F192" s="2066">
        <v>0</v>
      </c>
      <c r="G192" s="2067">
        <f t="shared" si="5"/>
        <v>0</v>
      </c>
    </row>
    <row r="193" spans="2:7" x14ac:dyDescent="0.2">
      <c r="B193" s="950"/>
      <c r="C193" s="955"/>
      <c r="D193" s="956"/>
      <c r="E193" s="957"/>
      <c r="F193" s="958"/>
      <c r="G193" s="958"/>
    </row>
    <row r="194" spans="2:7" x14ac:dyDescent="0.2">
      <c r="B194" s="2061" t="s">
        <v>1256</v>
      </c>
      <c r="C194" s="2414" t="s">
        <v>1617</v>
      </c>
      <c r="D194" s="2063"/>
      <c r="E194" s="2415"/>
      <c r="F194" s="2416"/>
      <c r="G194" s="2417"/>
    </row>
    <row r="195" spans="2:7" ht="38.25" x14ac:dyDescent="0.2">
      <c r="B195" s="2061"/>
      <c r="C195" s="2409" t="s">
        <v>1388</v>
      </c>
      <c r="D195" s="2068" t="s">
        <v>149</v>
      </c>
      <c r="E195" s="2069">
        <v>1</v>
      </c>
      <c r="F195" s="2066">
        <v>0</v>
      </c>
      <c r="G195" s="2067">
        <f t="shared" ref="G195:G197" si="6">E195*F195</f>
        <v>0</v>
      </c>
    </row>
    <row r="196" spans="2:7" ht="25.5" x14ac:dyDescent="0.2">
      <c r="B196" s="2061"/>
      <c r="C196" s="2410" t="s">
        <v>203</v>
      </c>
      <c r="D196" s="2068" t="s">
        <v>149</v>
      </c>
      <c r="E196" s="2069">
        <v>1</v>
      </c>
      <c r="F196" s="2066">
        <v>0</v>
      </c>
      <c r="G196" s="2067">
        <f t="shared" si="6"/>
        <v>0</v>
      </c>
    </row>
    <row r="197" spans="2:7" ht="25.5" x14ac:dyDescent="0.2">
      <c r="B197" s="2061"/>
      <c r="C197" s="2411" t="s">
        <v>1196</v>
      </c>
      <c r="D197" s="2068" t="s">
        <v>149</v>
      </c>
      <c r="E197" s="2069">
        <v>1</v>
      </c>
      <c r="F197" s="2066">
        <v>0</v>
      </c>
      <c r="G197" s="2067">
        <f t="shared" si="6"/>
        <v>0</v>
      </c>
    </row>
    <row r="198" spans="2:7" x14ac:dyDescent="0.2">
      <c r="B198" s="950"/>
      <c r="C198" s="955"/>
      <c r="D198" s="956"/>
      <c r="E198" s="957"/>
      <c r="F198" s="958"/>
      <c r="G198" s="958"/>
    </row>
    <row r="199" spans="2:7" x14ac:dyDescent="0.2">
      <c r="B199" s="2061" t="s">
        <v>1259</v>
      </c>
      <c r="C199" s="2412" t="s">
        <v>1618</v>
      </c>
      <c r="D199" s="2063"/>
      <c r="E199" s="2405"/>
      <c r="F199" s="2406"/>
      <c r="G199" s="2407"/>
    </row>
    <row r="200" spans="2:7" ht="38.25" x14ac:dyDescent="0.2">
      <c r="B200" s="2061"/>
      <c r="C200" s="2404" t="s">
        <v>1619</v>
      </c>
      <c r="D200" s="2063" t="s">
        <v>149</v>
      </c>
      <c r="E200" s="2069">
        <v>1</v>
      </c>
      <c r="F200" s="2066">
        <v>0</v>
      </c>
      <c r="G200" s="2067">
        <f t="shared" ref="G200:G212" si="7">E200*F200</f>
        <v>0</v>
      </c>
    </row>
    <row r="201" spans="2:7" ht="29.25" customHeight="1" x14ac:dyDescent="0.2">
      <c r="B201" s="2061"/>
      <c r="C201" s="2404" t="s">
        <v>235</v>
      </c>
      <c r="D201" s="2063" t="s">
        <v>149</v>
      </c>
      <c r="E201" s="2069">
        <v>4</v>
      </c>
      <c r="F201" s="2066">
        <v>0</v>
      </c>
      <c r="G201" s="2067">
        <f t="shared" si="7"/>
        <v>0</v>
      </c>
    </row>
    <row r="202" spans="2:7" x14ac:dyDescent="0.2">
      <c r="B202" s="2061"/>
      <c r="C202" s="2410" t="s">
        <v>1294</v>
      </c>
      <c r="D202" s="2068" t="s">
        <v>149</v>
      </c>
      <c r="E202" s="2069">
        <v>4</v>
      </c>
      <c r="F202" s="2066">
        <v>0</v>
      </c>
      <c r="G202" s="2067">
        <f t="shared" si="7"/>
        <v>0</v>
      </c>
    </row>
    <row r="203" spans="2:7" ht="25.5" customHeight="1" x14ac:dyDescent="0.2">
      <c r="B203" s="2061"/>
      <c r="C203" s="2033" t="s">
        <v>1620</v>
      </c>
      <c r="D203" s="2063" t="s">
        <v>149</v>
      </c>
      <c r="E203" s="2069">
        <v>1</v>
      </c>
      <c r="F203" s="2066">
        <v>0</v>
      </c>
      <c r="G203" s="2067">
        <f t="shared" si="7"/>
        <v>0</v>
      </c>
    </row>
    <row r="204" spans="2:7" x14ac:dyDescent="0.2">
      <c r="B204" s="2061"/>
      <c r="C204" s="2404" t="s">
        <v>1621</v>
      </c>
      <c r="D204" s="2063" t="s">
        <v>149</v>
      </c>
      <c r="E204" s="2069">
        <v>1</v>
      </c>
      <c r="F204" s="2066">
        <v>0</v>
      </c>
      <c r="G204" s="2067">
        <f t="shared" si="7"/>
        <v>0</v>
      </c>
    </row>
    <row r="205" spans="2:7" x14ac:dyDescent="0.2">
      <c r="B205" s="2061"/>
      <c r="C205" s="2033" t="s">
        <v>1613</v>
      </c>
      <c r="D205" s="2418" t="s">
        <v>149</v>
      </c>
      <c r="E205" s="2069">
        <v>1</v>
      </c>
      <c r="F205" s="2066">
        <v>0</v>
      </c>
      <c r="G205" s="2067">
        <f t="shared" si="7"/>
        <v>0</v>
      </c>
    </row>
    <row r="206" spans="2:7" x14ac:dyDescent="0.2">
      <c r="B206" s="2061"/>
      <c r="C206" s="2033" t="s">
        <v>1622</v>
      </c>
      <c r="D206" s="2418" t="s">
        <v>149</v>
      </c>
      <c r="E206" s="2069">
        <v>1</v>
      </c>
      <c r="F206" s="2066">
        <v>0</v>
      </c>
      <c r="G206" s="2067">
        <f t="shared" si="7"/>
        <v>0</v>
      </c>
    </row>
    <row r="207" spans="2:7" x14ac:dyDescent="0.2">
      <c r="B207" s="2061"/>
      <c r="C207" s="2033" t="s">
        <v>1623</v>
      </c>
      <c r="D207" s="2418" t="s">
        <v>149</v>
      </c>
      <c r="E207" s="2069">
        <v>1</v>
      </c>
      <c r="F207" s="2066">
        <v>0</v>
      </c>
      <c r="G207" s="2067">
        <f t="shared" si="7"/>
        <v>0</v>
      </c>
    </row>
    <row r="208" spans="2:7" ht="48" x14ac:dyDescent="0.2">
      <c r="B208" s="2061"/>
      <c r="C208" s="250" t="s">
        <v>285</v>
      </c>
      <c r="D208" s="2422" t="s">
        <v>149</v>
      </c>
      <c r="E208" s="2069">
        <v>1</v>
      </c>
      <c r="F208" s="2066">
        <v>0</v>
      </c>
      <c r="G208" s="2067">
        <f t="shared" si="7"/>
        <v>0</v>
      </c>
    </row>
    <row r="209" spans="2:7" x14ac:dyDescent="0.2">
      <c r="B209" s="2061"/>
      <c r="C209" s="2410" t="s">
        <v>219</v>
      </c>
      <c r="D209" s="2068" t="s">
        <v>149</v>
      </c>
      <c r="E209" s="2069">
        <v>1</v>
      </c>
      <c r="F209" s="2066">
        <v>0</v>
      </c>
      <c r="G209" s="2067">
        <f t="shared" si="7"/>
        <v>0</v>
      </c>
    </row>
    <row r="210" spans="2:7" ht="20.25" customHeight="1" x14ac:dyDescent="0.2">
      <c r="B210" s="2061"/>
      <c r="C210" s="2410" t="s">
        <v>197</v>
      </c>
      <c r="D210" s="2068" t="s">
        <v>149</v>
      </c>
      <c r="E210" s="2069">
        <v>1</v>
      </c>
      <c r="F210" s="2066">
        <v>0</v>
      </c>
      <c r="G210" s="2067">
        <f t="shared" ref="G210" si="8">E210*F210</f>
        <v>0</v>
      </c>
    </row>
    <row r="211" spans="2:7" x14ac:dyDescent="0.2">
      <c r="B211" s="2061"/>
      <c r="C211" s="2410" t="s">
        <v>227</v>
      </c>
      <c r="D211" s="2068" t="s">
        <v>149</v>
      </c>
      <c r="E211" s="2069">
        <v>1</v>
      </c>
      <c r="F211" s="2066">
        <v>0</v>
      </c>
      <c r="G211" s="2067">
        <f t="shared" si="7"/>
        <v>0</v>
      </c>
    </row>
    <row r="212" spans="2:7" ht="25.5" x14ac:dyDescent="0.2">
      <c r="B212" s="2061"/>
      <c r="C212" s="2411" t="s">
        <v>1196</v>
      </c>
      <c r="D212" s="2068" t="s">
        <v>149</v>
      </c>
      <c r="E212" s="2069">
        <v>3</v>
      </c>
      <c r="F212" s="2066">
        <v>0</v>
      </c>
      <c r="G212" s="2067">
        <f t="shared" si="7"/>
        <v>0</v>
      </c>
    </row>
    <row r="213" spans="2:7" x14ac:dyDescent="0.2">
      <c r="B213" s="950"/>
      <c r="C213" s="955"/>
      <c r="D213" s="956"/>
      <c r="E213" s="957"/>
      <c r="F213" s="958"/>
      <c r="G213" s="958"/>
    </row>
    <row r="214" spans="2:7" x14ac:dyDescent="0.2">
      <c r="B214" s="2061" t="s">
        <v>1264</v>
      </c>
      <c r="C214" s="2412" t="s">
        <v>1624</v>
      </c>
      <c r="D214" s="2063"/>
      <c r="E214" s="2405"/>
      <c r="F214" s="2406"/>
      <c r="G214" s="2407"/>
    </row>
    <row r="215" spans="2:7" x14ac:dyDescent="0.2">
      <c r="B215" s="2061"/>
      <c r="C215" s="2408" t="s">
        <v>207</v>
      </c>
      <c r="D215" s="2068" t="s">
        <v>149</v>
      </c>
      <c r="E215" s="2069">
        <v>5</v>
      </c>
      <c r="F215" s="2066">
        <v>0</v>
      </c>
      <c r="G215" s="2067">
        <f t="shared" ref="G215:G225" si="9">E215*F215</f>
        <v>0</v>
      </c>
    </row>
    <row r="216" spans="2:7" ht="38.25" x14ac:dyDescent="0.2">
      <c r="B216" s="2061"/>
      <c r="C216" s="2409" t="s">
        <v>223</v>
      </c>
      <c r="D216" s="2068" t="s">
        <v>149</v>
      </c>
      <c r="E216" s="2069">
        <v>5</v>
      </c>
      <c r="F216" s="2066">
        <v>0</v>
      </c>
      <c r="G216" s="2067">
        <f t="shared" si="9"/>
        <v>0</v>
      </c>
    </row>
    <row r="217" spans="2:7" ht="25.5" x14ac:dyDescent="0.2">
      <c r="B217" s="2061"/>
      <c r="C217" s="2409" t="s">
        <v>213</v>
      </c>
      <c r="D217" s="2068" t="s">
        <v>149</v>
      </c>
      <c r="E217" s="2069">
        <v>5</v>
      </c>
      <c r="F217" s="2066">
        <v>0</v>
      </c>
      <c r="G217" s="2067">
        <f t="shared" si="9"/>
        <v>0</v>
      </c>
    </row>
    <row r="218" spans="2:7" x14ac:dyDescent="0.2">
      <c r="B218" s="2061"/>
      <c r="C218" s="2409" t="s">
        <v>224</v>
      </c>
      <c r="D218" s="2068" t="s">
        <v>149</v>
      </c>
      <c r="E218" s="2069">
        <v>5</v>
      </c>
      <c r="F218" s="2066">
        <v>0</v>
      </c>
      <c r="G218" s="2067">
        <f t="shared" si="9"/>
        <v>0</v>
      </c>
    </row>
    <row r="219" spans="2:7" x14ac:dyDescent="0.2">
      <c r="B219" s="2061"/>
      <c r="C219" s="2409" t="s">
        <v>225</v>
      </c>
      <c r="D219" s="2068" t="s">
        <v>149</v>
      </c>
      <c r="E219" s="2069">
        <v>5</v>
      </c>
      <c r="F219" s="2066">
        <v>0</v>
      </c>
      <c r="G219" s="2067">
        <f t="shared" si="9"/>
        <v>0</v>
      </c>
    </row>
    <row r="220" spans="2:7" x14ac:dyDescent="0.2">
      <c r="B220" s="2061"/>
      <c r="C220" s="2410" t="s">
        <v>226</v>
      </c>
      <c r="D220" s="2068" t="s">
        <v>149</v>
      </c>
      <c r="E220" s="2069">
        <v>5</v>
      </c>
      <c r="F220" s="2066">
        <v>0</v>
      </c>
      <c r="G220" s="2067">
        <f t="shared" si="9"/>
        <v>0</v>
      </c>
    </row>
    <row r="221" spans="2:7" x14ac:dyDescent="0.2">
      <c r="B221" s="2061"/>
      <c r="C221" s="2410" t="s">
        <v>217</v>
      </c>
      <c r="D221" s="2068" t="s">
        <v>149</v>
      </c>
      <c r="E221" s="2069">
        <v>5</v>
      </c>
      <c r="F221" s="2066">
        <v>0</v>
      </c>
      <c r="G221" s="2067">
        <f t="shared" si="9"/>
        <v>0</v>
      </c>
    </row>
    <row r="222" spans="2:7" ht="25.5" x14ac:dyDescent="0.2">
      <c r="B222" s="2061"/>
      <c r="C222" s="2410" t="s">
        <v>235</v>
      </c>
      <c r="D222" s="2068" t="s">
        <v>149</v>
      </c>
      <c r="E222" s="2069">
        <v>10</v>
      </c>
      <c r="F222" s="2066">
        <v>0</v>
      </c>
      <c r="G222" s="2067">
        <f t="shared" si="9"/>
        <v>0</v>
      </c>
    </row>
    <row r="223" spans="2:7" x14ac:dyDescent="0.2">
      <c r="B223" s="2061"/>
      <c r="C223" s="2410" t="s">
        <v>1294</v>
      </c>
      <c r="D223" s="2068" t="s">
        <v>149</v>
      </c>
      <c r="E223" s="2069">
        <v>10</v>
      </c>
      <c r="F223" s="2066">
        <v>0</v>
      </c>
      <c r="G223" s="2067">
        <f t="shared" si="9"/>
        <v>0</v>
      </c>
    </row>
    <row r="224" spans="2:7" x14ac:dyDescent="0.2">
      <c r="B224" s="2061"/>
      <c r="C224" s="2410" t="s">
        <v>227</v>
      </c>
      <c r="D224" s="2068" t="s">
        <v>149</v>
      </c>
      <c r="E224" s="2069">
        <v>5</v>
      </c>
      <c r="F224" s="2066">
        <v>0</v>
      </c>
      <c r="G224" s="2067">
        <f t="shared" si="9"/>
        <v>0</v>
      </c>
    </row>
    <row r="225" spans="2:7" ht="25.5" x14ac:dyDescent="0.2">
      <c r="B225" s="2061"/>
      <c r="C225" s="2411" t="s">
        <v>1196</v>
      </c>
      <c r="D225" s="2068" t="s">
        <v>149</v>
      </c>
      <c r="E225" s="2069">
        <v>5</v>
      </c>
      <c r="F225" s="2066">
        <v>0</v>
      </c>
      <c r="G225" s="2067">
        <f t="shared" si="9"/>
        <v>0</v>
      </c>
    </row>
    <row r="226" spans="2:7" x14ac:dyDescent="0.2">
      <c r="B226" s="950"/>
      <c r="C226" s="955"/>
      <c r="D226" s="956"/>
      <c r="E226" s="957"/>
      <c r="F226" s="958"/>
      <c r="G226" s="958"/>
    </row>
    <row r="227" spans="2:7" x14ac:dyDescent="0.2">
      <c r="B227" s="2061" t="s">
        <v>1264</v>
      </c>
      <c r="C227" s="2412" t="s">
        <v>1625</v>
      </c>
      <c r="D227" s="2063"/>
      <c r="E227" s="2405"/>
      <c r="F227" s="2406"/>
      <c r="G227" s="2407"/>
    </row>
    <row r="228" spans="2:7" ht="25.5" x14ac:dyDescent="0.2">
      <c r="B228" s="2061"/>
      <c r="C228" s="2404" t="s">
        <v>1626</v>
      </c>
      <c r="D228" s="2063" t="s">
        <v>149</v>
      </c>
      <c r="E228" s="2069">
        <v>2</v>
      </c>
      <c r="F228" s="2066">
        <v>0</v>
      </c>
      <c r="G228" s="2067">
        <f t="shared" ref="G228:G239" si="10">E228*F228</f>
        <v>0</v>
      </c>
    </row>
    <row r="229" spans="2:7" ht="25.5" x14ac:dyDescent="0.2">
      <c r="B229" s="2061"/>
      <c r="C229" s="2410" t="s">
        <v>235</v>
      </c>
      <c r="D229" s="2063" t="s">
        <v>149</v>
      </c>
      <c r="E229" s="2069">
        <v>4</v>
      </c>
      <c r="F229" s="2066">
        <v>0</v>
      </c>
      <c r="G229" s="2067">
        <f t="shared" si="10"/>
        <v>0</v>
      </c>
    </row>
    <row r="230" spans="2:7" x14ac:dyDescent="0.2">
      <c r="B230" s="2061"/>
      <c r="C230" s="2404" t="s">
        <v>1627</v>
      </c>
      <c r="D230" s="2063" t="s">
        <v>149</v>
      </c>
      <c r="E230" s="2069">
        <v>1</v>
      </c>
      <c r="F230" s="2066">
        <v>0</v>
      </c>
      <c r="G230" s="2067">
        <f t="shared" si="10"/>
        <v>0</v>
      </c>
    </row>
    <row r="231" spans="2:7" x14ac:dyDescent="0.2">
      <c r="B231" s="2061"/>
      <c r="C231" s="2033" t="s">
        <v>1628</v>
      </c>
      <c r="D231" s="2063" t="s">
        <v>149</v>
      </c>
      <c r="E231" s="2069">
        <v>1</v>
      </c>
      <c r="F231" s="2066">
        <v>0</v>
      </c>
      <c r="G231" s="2067">
        <f t="shared" si="10"/>
        <v>0</v>
      </c>
    </row>
    <row r="232" spans="2:7" ht="38.25" x14ac:dyDescent="0.2">
      <c r="B232" s="2061"/>
      <c r="C232" s="2409" t="s">
        <v>223</v>
      </c>
      <c r="D232" s="2068" t="s">
        <v>149</v>
      </c>
      <c r="E232" s="2069">
        <v>1</v>
      </c>
      <c r="F232" s="2066">
        <v>0</v>
      </c>
      <c r="G232" s="2067">
        <f t="shared" si="10"/>
        <v>0</v>
      </c>
    </row>
    <row r="233" spans="2:7" x14ac:dyDescent="0.2">
      <c r="B233" s="2061"/>
      <c r="C233" s="2424" t="s">
        <v>1629</v>
      </c>
      <c r="D233" s="2063" t="s">
        <v>149</v>
      </c>
      <c r="E233" s="2069">
        <v>1</v>
      </c>
      <c r="F233" s="2066">
        <v>0</v>
      </c>
      <c r="G233" s="2067">
        <f t="shared" si="10"/>
        <v>0</v>
      </c>
    </row>
    <row r="234" spans="2:7" ht="30.75" customHeight="1" x14ac:dyDescent="0.2">
      <c r="B234" s="2061"/>
      <c r="C234" s="2429" t="s">
        <v>1630</v>
      </c>
      <c r="D234" s="2063" t="s">
        <v>149</v>
      </c>
      <c r="E234" s="2069">
        <v>1</v>
      </c>
      <c r="F234" s="2066">
        <v>0</v>
      </c>
      <c r="G234" s="2067">
        <f t="shared" si="10"/>
        <v>0</v>
      </c>
    </row>
    <row r="235" spans="2:7" ht="19.5" customHeight="1" x14ac:dyDescent="0.2">
      <c r="B235" s="2061"/>
      <c r="C235" s="2410" t="s">
        <v>1294</v>
      </c>
      <c r="D235" s="2063" t="s">
        <v>149</v>
      </c>
      <c r="E235" s="2069">
        <v>4</v>
      </c>
      <c r="F235" s="2066">
        <v>0</v>
      </c>
      <c r="G235" s="2067">
        <f t="shared" si="10"/>
        <v>0</v>
      </c>
    </row>
    <row r="236" spans="2:7" x14ac:dyDescent="0.2">
      <c r="B236" s="2061"/>
      <c r="C236" s="2410" t="s">
        <v>1269</v>
      </c>
      <c r="D236" s="2063" t="s">
        <v>149</v>
      </c>
      <c r="E236" s="2069">
        <v>4</v>
      </c>
      <c r="F236" s="2066">
        <v>0</v>
      </c>
      <c r="G236" s="2067">
        <f t="shared" si="10"/>
        <v>0</v>
      </c>
    </row>
    <row r="237" spans="2:7" x14ac:dyDescent="0.2">
      <c r="B237" s="2061"/>
      <c r="C237" s="2424" t="s">
        <v>1631</v>
      </c>
      <c r="D237" s="2063" t="s">
        <v>149</v>
      </c>
      <c r="E237" s="2069">
        <v>1</v>
      </c>
      <c r="F237" s="2066">
        <v>0</v>
      </c>
      <c r="G237" s="2067">
        <f t="shared" ref="G237" si="11">E237*F237</f>
        <v>0</v>
      </c>
    </row>
    <row r="238" spans="2:7" x14ac:dyDescent="0.2">
      <c r="B238" s="2061"/>
      <c r="C238" s="2410" t="s">
        <v>227</v>
      </c>
      <c r="D238" s="2068" t="s">
        <v>149</v>
      </c>
      <c r="E238" s="2069">
        <v>3</v>
      </c>
      <c r="F238" s="2066">
        <v>0</v>
      </c>
      <c r="G238" s="2067">
        <f t="shared" si="10"/>
        <v>0</v>
      </c>
    </row>
    <row r="239" spans="2:7" ht="25.5" x14ac:dyDescent="0.2">
      <c r="B239" s="2061"/>
      <c r="C239" s="2411" t="s">
        <v>1196</v>
      </c>
      <c r="D239" s="2068" t="s">
        <v>149</v>
      </c>
      <c r="E239" s="2069">
        <v>3</v>
      </c>
      <c r="F239" s="2066">
        <v>0</v>
      </c>
      <c r="G239" s="2067">
        <f t="shared" si="10"/>
        <v>0</v>
      </c>
    </row>
    <row r="240" spans="2:7" x14ac:dyDescent="0.2">
      <c r="B240" s="950"/>
      <c r="C240" s="955"/>
      <c r="D240" s="956"/>
      <c r="E240" s="957"/>
      <c r="F240" s="958"/>
      <c r="G240" s="958"/>
    </row>
    <row r="241" spans="2:27" s="2425" customFormat="1" x14ac:dyDescent="0.2">
      <c r="B241" s="2061" t="s">
        <v>1270</v>
      </c>
      <c r="C241" s="2412" t="s">
        <v>1632</v>
      </c>
      <c r="D241" s="2063"/>
      <c r="E241" s="2064"/>
      <c r="F241" s="2065"/>
      <c r="G241" s="2065"/>
      <c r="H241" s="2430"/>
      <c r="I241" s="2430"/>
      <c r="J241" s="2430"/>
      <c r="K241" s="2430"/>
      <c r="L241" s="2430"/>
      <c r="M241" s="2430"/>
      <c r="N241" s="2430"/>
      <c r="O241" s="2430"/>
      <c r="P241" s="2430"/>
      <c r="Q241" s="2430"/>
      <c r="R241" s="2430"/>
      <c r="S241" s="2430"/>
      <c r="T241" s="2430"/>
      <c r="U241" s="2430"/>
      <c r="V241" s="2430"/>
      <c r="W241" s="2430"/>
      <c r="X241" s="2430"/>
      <c r="Y241" s="2430"/>
      <c r="Z241" s="2430"/>
      <c r="AA241" s="2430"/>
    </row>
    <row r="242" spans="2:27" s="2425" customFormat="1" ht="25.5" x14ac:dyDescent="0.2">
      <c r="B242" s="2061"/>
      <c r="C242" s="2404" t="s">
        <v>1633</v>
      </c>
      <c r="D242" s="2063" t="s">
        <v>149</v>
      </c>
      <c r="E242" s="2069">
        <v>1</v>
      </c>
      <c r="F242" s="2066">
        <v>0</v>
      </c>
      <c r="G242" s="2067">
        <f t="shared" ref="G242:G247" si="12">E242*F242</f>
        <v>0</v>
      </c>
      <c r="H242" s="2430"/>
      <c r="I242" s="2430"/>
      <c r="J242" s="2430"/>
      <c r="K242" s="2430"/>
      <c r="L242" s="2430"/>
      <c r="M242" s="2430"/>
      <c r="N242" s="2430"/>
      <c r="O242" s="2430"/>
      <c r="P242" s="2430"/>
      <c r="Q242" s="2430"/>
      <c r="R242" s="2430"/>
      <c r="S242" s="2430"/>
      <c r="T242" s="2430"/>
      <c r="U242" s="2430"/>
      <c r="V242" s="2430"/>
      <c r="W242" s="2430"/>
      <c r="X242" s="2430"/>
      <c r="Y242" s="2430"/>
      <c r="Z242" s="2430"/>
      <c r="AA242" s="2430"/>
    </row>
    <row r="243" spans="2:27" s="2425" customFormat="1" ht="30.75" customHeight="1" x14ac:dyDescent="0.2">
      <c r="B243" s="2061"/>
      <c r="C243" s="2404" t="s">
        <v>1634</v>
      </c>
      <c r="D243" s="2063" t="s">
        <v>149</v>
      </c>
      <c r="E243" s="2069">
        <v>1</v>
      </c>
      <c r="F243" s="2066">
        <v>0</v>
      </c>
      <c r="G243" s="2067">
        <f t="shared" si="12"/>
        <v>0</v>
      </c>
      <c r="H243" s="2430"/>
      <c r="I243" s="2430"/>
      <c r="J243" s="2430"/>
      <c r="K243" s="2430"/>
      <c r="L243" s="2430"/>
      <c r="M243" s="2430"/>
      <c r="N243" s="2430"/>
      <c r="O243" s="2430"/>
      <c r="P243" s="2430"/>
      <c r="Q243" s="2430"/>
      <c r="R243" s="2430"/>
      <c r="S243" s="2430"/>
      <c r="T243" s="2430"/>
      <c r="U243" s="2430"/>
      <c r="V243" s="2430"/>
      <c r="W243" s="2430"/>
      <c r="X243" s="2430"/>
      <c r="Y243" s="2430"/>
      <c r="Z243" s="2430"/>
      <c r="AA243" s="2430"/>
    </row>
    <row r="244" spans="2:27" ht="25.5" x14ac:dyDescent="0.2">
      <c r="B244" s="2061"/>
      <c r="C244" s="2410" t="s">
        <v>235</v>
      </c>
      <c r="D244" s="2068" t="s">
        <v>149</v>
      </c>
      <c r="E244" s="2069">
        <v>3</v>
      </c>
      <c r="F244" s="2066">
        <v>0</v>
      </c>
      <c r="G244" s="2067">
        <f t="shared" si="12"/>
        <v>0</v>
      </c>
    </row>
    <row r="245" spans="2:27" x14ac:dyDescent="0.2">
      <c r="B245" s="2061"/>
      <c r="C245" s="2410" t="s">
        <v>1294</v>
      </c>
      <c r="D245" s="2068" t="s">
        <v>149</v>
      </c>
      <c r="E245" s="2069">
        <v>3</v>
      </c>
      <c r="F245" s="2066">
        <v>0</v>
      </c>
      <c r="G245" s="2067">
        <f t="shared" si="12"/>
        <v>0</v>
      </c>
    </row>
    <row r="246" spans="2:27" x14ac:dyDescent="0.2">
      <c r="B246" s="2061"/>
      <c r="C246" s="2410" t="s">
        <v>227</v>
      </c>
      <c r="D246" s="2068" t="s">
        <v>149</v>
      </c>
      <c r="E246" s="2069">
        <v>1</v>
      </c>
      <c r="F246" s="2066">
        <v>0</v>
      </c>
      <c r="G246" s="2067">
        <f t="shared" si="12"/>
        <v>0</v>
      </c>
    </row>
    <row r="247" spans="2:27" ht="25.5" x14ac:dyDescent="0.2">
      <c r="B247" s="2061"/>
      <c r="C247" s="2411" t="s">
        <v>1196</v>
      </c>
      <c r="D247" s="2068" t="s">
        <v>149</v>
      </c>
      <c r="E247" s="2069">
        <v>1</v>
      </c>
      <c r="F247" s="2066">
        <v>0</v>
      </c>
      <c r="G247" s="2067">
        <f t="shared" si="12"/>
        <v>0</v>
      </c>
    </row>
    <row r="248" spans="2:27" x14ac:dyDescent="0.2">
      <c r="B248" s="950"/>
      <c r="C248" s="955"/>
      <c r="D248" s="956"/>
      <c r="E248" s="957"/>
      <c r="F248" s="958"/>
      <c r="G248" s="958"/>
    </row>
    <row r="249" spans="2:27" x14ac:dyDescent="0.2">
      <c r="B249" s="2061" t="s">
        <v>1270</v>
      </c>
      <c r="C249" s="2412" t="s">
        <v>1635</v>
      </c>
      <c r="D249" s="2419"/>
      <c r="E249" s="2420"/>
      <c r="F249" s="2421"/>
      <c r="G249" s="2421"/>
    </row>
    <row r="250" spans="2:27" ht="25.5" x14ac:dyDescent="0.2">
      <c r="B250" s="2061"/>
      <c r="C250" s="2404" t="s">
        <v>1636</v>
      </c>
      <c r="D250" s="2063" t="s">
        <v>149</v>
      </c>
      <c r="E250" s="2069">
        <v>1</v>
      </c>
      <c r="F250" s="2066">
        <v>0</v>
      </c>
      <c r="G250" s="2067">
        <f t="shared" ref="G250:G256" si="13">E250*F250</f>
        <v>0</v>
      </c>
    </row>
    <row r="251" spans="2:27" x14ac:dyDescent="0.2">
      <c r="B251" s="2061"/>
      <c r="C251" s="2404" t="s">
        <v>1627</v>
      </c>
      <c r="D251" s="2063" t="s">
        <v>149</v>
      </c>
      <c r="E251" s="2069">
        <v>1</v>
      </c>
      <c r="F251" s="2066">
        <v>0</v>
      </c>
      <c r="G251" s="2067">
        <f t="shared" si="13"/>
        <v>0</v>
      </c>
    </row>
    <row r="252" spans="2:27" x14ac:dyDescent="0.2">
      <c r="B252" s="2061"/>
      <c r="C252" s="2033" t="s">
        <v>1613</v>
      </c>
      <c r="D252" s="2063" t="s">
        <v>149</v>
      </c>
      <c r="E252" s="2069">
        <v>1</v>
      </c>
      <c r="F252" s="2066">
        <v>0</v>
      </c>
      <c r="G252" s="2067">
        <f t="shared" si="13"/>
        <v>0</v>
      </c>
    </row>
    <row r="253" spans="2:27" ht="76.5" x14ac:dyDescent="0.2">
      <c r="B253" s="2061"/>
      <c r="C253" s="2424" t="s">
        <v>1637</v>
      </c>
      <c r="D253" s="2427" t="s">
        <v>149</v>
      </c>
      <c r="E253" s="2069">
        <v>1</v>
      </c>
      <c r="F253" s="2066">
        <v>0</v>
      </c>
      <c r="G253" s="2067">
        <f t="shared" si="13"/>
        <v>0</v>
      </c>
    </row>
    <row r="254" spans="2:27" ht="25.5" x14ac:dyDescent="0.2">
      <c r="B254" s="2061"/>
      <c r="C254" s="2410" t="s">
        <v>235</v>
      </c>
      <c r="D254" s="2063" t="s">
        <v>149</v>
      </c>
      <c r="E254" s="2069">
        <v>2</v>
      </c>
      <c r="F254" s="2066">
        <v>0</v>
      </c>
      <c r="G254" s="2067">
        <f t="shared" si="13"/>
        <v>0</v>
      </c>
    </row>
    <row r="255" spans="2:27" x14ac:dyDescent="0.2">
      <c r="B255" s="2061"/>
      <c r="C255" s="2424" t="s">
        <v>1638</v>
      </c>
      <c r="D255" s="2063" t="s">
        <v>149</v>
      </c>
      <c r="E255" s="2069">
        <v>1</v>
      </c>
      <c r="F255" s="2066">
        <v>0</v>
      </c>
      <c r="G255" s="2067">
        <f t="shared" si="13"/>
        <v>0</v>
      </c>
    </row>
    <row r="256" spans="2:27" x14ac:dyDescent="0.2">
      <c r="B256" s="2061"/>
      <c r="C256" s="2410" t="s">
        <v>1294</v>
      </c>
      <c r="D256" s="2063" t="s">
        <v>149</v>
      </c>
      <c r="E256" s="2069">
        <v>4</v>
      </c>
      <c r="F256" s="2066">
        <v>0</v>
      </c>
      <c r="G256" s="2067">
        <f t="shared" si="13"/>
        <v>0</v>
      </c>
    </row>
    <row r="257" spans="2:11" x14ac:dyDescent="0.2">
      <c r="B257" s="2061"/>
      <c r="C257" s="2410" t="s">
        <v>1269</v>
      </c>
      <c r="D257" s="2063" t="s">
        <v>149</v>
      </c>
      <c r="E257" s="2069">
        <v>1</v>
      </c>
      <c r="F257" s="2066">
        <v>0</v>
      </c>
      <c r="G257" s="2067">
        <f t="shared" ref="G257:G259" si="14">E257*F257</f>
        <v>0</v>
      </c>
    </row>
    <row r="258" spans="2:11" x14ac:dyDescent="0.2">
      <c r="B258" s="2061"/>
      <c r="C258" s="2410" t="s">
        <v>227</v>
      </c>
      <c r="D258" s="2068" t="s">
        <v>149</v>
      </c>
      <c r="E258" s="2069">
        <v>1</v>
      </c>
      <c r="F258" s="2066">
        <v>0</v>
      </c>
      <c r="G258" s="2067">
        <f t="shared" si="14"/>
        <v>0</v>
      </c>
    </row>
    <row r="259" spans="2:11" ht="25.5" x14ac:dyDescent="0.2">
      <c r="B259" s="2061"/>
      <c r="C259" s="2411" t="s">
        <v>1196</v>
      </c>
      <c r="D259" s="2068" t="s">
        <v>149</v>
      </c>
      <c r="E259" s="2069">
        <v>1</v>
      </c>
      <c r="F259" s="2066">
        <v>0</v>
      </c>
      <c r="G259" s="2067">
        <f t="shared" si="14"/>
        <v>0</v>
      </c>
    </row>
    <row r="260" spans="2:11" x14ac:dyDescent="0.2">
      <c r="B260" s="950"/>
      <c r="C260" s="955"/>
      <c r="D260" s="956"/>
      <c r="E260" s="957"/>
      <c r="F260" s="958"/>
      <c r="G260" s="958"/>
    </row>
    <row r="261" spans="2:11" ht="15" x14ac:dyDescent="0.25">
      <c r="B261" s="2061" t="s">
        <v>1270</v>
      </c>
      <c r="C261" s="2412" t="s">
        <v>1639</v>
      </c>
      <c r="D261" s="2419"/>
      <c r="E261" s="2420"/>
      <c r="F261" s="2421"/>
      <c r="G261" s="2421"/>
    </row>
    <row r="262" spans="2:11" x14ac:dyDescent="0.2">
      <c r="B262" s="2061"/>
      <c r="C262" s="2410" t="s">
        <v>1294</v>
      </c>
      <c r="D262" s="2068" t="s">
        <v>149</v>
      </c>
      <c r="E262" s="2069">
        <v>4</v>
      </c>
      <c r="F262" s="2066">
        <v>0</v>
      </c>
      <c r="G262" s="2067">
        <f t="shared" ref="G262:G264" si="15">E262*F262</f>
        <v>0</v>
      </c>
    </row>
    <row r="263" spans="2:11" x14ac:dyDescent="0.2">
      <c r="B263" s="2061"/>
      <c r="C263" s="2410" t="s">
        <v>1302</v>
      </c>
      <c r="D263" s="2068" t="s">
        <v>149</v>
      </c>
      <c r="E263" s="2069">
        <v>4</v>
      </c>
      <c r="F263" s="2066">
        <v>0</v>
      </c>
      <c r="G263" s="2067">
        <f t="shared" si="15"/>
        <v>0</v>
      </c>
    </row>
    <row r="264" spans="2:11" x14ac:dyDescent="0.2">
      <c r="B264" s="2061"/>
      <c r="C264" s="2410" t="s">
        <v>1269</v>
      </c>
      <c r="D264" s="2068" t="s">
        <v>149</v>
      </c>
      <c r="E264" s="2069">
        <v>4</v>
      </c>
      <c r="F264" s="2066">
        <v>0</v>
      </c>
      <c r="G264" s="2067">
        <f t="shared" si="15"/>
        <v>0</v>
      </c>
    </row>
    <row r="265" spans="2:11" x14ac:dyDescent="0.2">
      <c r="B265" s="950"/>
      <c r="C265" s="955"/>
      <c r="D265" s="956"/>
      <c r="E265" s="957"/>
      <c r="F265" s="958"/>
      <c r="G265" s="958"/>
    </row>
    <row r="266" spans="2:11" x14ac:dyDescent="0.2">
      <c r="B266" s="2061" t="s">
        <v>1270</v>
      </c>
      <c r="C266" s="2412" t="s">
        <v>1640</v>
      </c>
      <c r="D266" s="2419"/>
      <c r="E266" s="2420"/>
      <c r="F266" s="2421"/>
      <c r="G266" s="2421"/>
    </row>
    <row r="267" spans="2:11" ht="25.5" x14ac:dyDescent="0.2">
      <c r="B267" s="2061"/>
      <c r="C267" s="2404" t="s">
        <v>1633</v>
      </c>
      <c r="D267" s="2063" t="s">
        <v>149</v>
      </c>
      <c r="E267" s="2069">
        <v>1</v>
      </c>
      <c r="F267" s="2066">
        <v>0</v>
      </c>
      <c r="G267" s="2067">
        <f t="shared" ref="G267:G270" si="16">E267*F267</f>
        <v>0</v>
      </c>
    </row>
    <row r="268" spans="2:11" ht="25.5" x14ac:dyDescent="0.2">
      <c r="B268" s="2061"/>
      <c r="C268" s="2410" t="s">
        <v>235</v>
      </c>
      <c r="D268" s="2063" t="s">
        <v>149</v>
      </c>
      <c r="E268" s="2069">
        <v>3</v>
      </c>
      <c r="F268" s="2066">
        <v>0</v>
      </c>
      <c r="G268" s="2067">
        <f t="shared" si="16"/>
        <v>0</v>
      </c>
      <c r="K268" s="2432"/>
    </row>
    <row r="269" spans="2:11" x14ac:dyDescent="0.2">
      <c r="B269" s="2061"/>
      <c r="C269" s="2424" t="s">
        <v>1631</v>
      </c>
      <c r="D269" s="2063" t="s">
        <v>149</v>
      </c>
      <c r="E269" s="2069">
        <v>1</v>
      </c>
      <c r="F269" s="2066">
        <v>0</v>
      </c>
      <c r="G269" s="2067">
        <f t="shared" si="16"/>
        <v>0</v>
      </c>
      <c r="K269" s="2431"/>
    </row>
    <row r="270" spans="2:11" x14ac:dyDescent="0.2">
      <c r="B270" s="2061"/>
      <c r="C270" s="2410" t="s">
        <v>1294</v>
      </c>
      <c r="D270" s="2063" t="s">
        <v>149</v>
      </c>
      <c r="E270" s="2069">
        <v>3</v>
      </c>
      <c r="F270" s="2066">
        <v>0</v>
      </c>
      <c r="G270" s="2067">
        <f t="shared" si="16"/>
        <v>0</v>
      </c>
      <c r="K270" s="2431"/>
    </row>
    <row r="271" spans="2:11" x14ac:dyDescent="0.2">
      <c r="B271" s="2061"/>
      <c r="C271" s="2410" t="s">
        <v>1269</v>
      </c>
      <c r="D271" s="2063" t="s">
        <v>149</v>
      </c>
      <c r="E271" s="2069">
        <v>1</v>
      </c>
      <c r="F271" s="2066">
        <v>0</v>
      </c>
      <c r="G271" s="2067">
        <f t="shared" ref="G271:G273" si="17">E271*F271</f>
        <v>0</v>
      </c>
      <c r="K271" s="2431"/>
    </row>
    <row r="272" spans="2:11" x14ac:dyDescent="0.2">
      <c r="B272" s="2061"/>
      <c r="C272" s="2410" t="s">
        <v>227</v>
      </c>
      <c r="D272" s="2068" t="s">
        <v>149</v>
      </c>
      <c r="E272" s="2069">
        <v>1</v>
      </c>
      <c r="F272" s="2066">
        <v>0</v>
      </c>
      <c r="G272" s="2067">
        <f t="shared" si="17"/>
        <v>0</v>
      </c>
    </row>
    <row r="273" spans="2:11" ht="25.5" x14ac:dyDescent="0.2">
      <c r="B273" s="2061"/>
      <c r="C273" s="2411" t="s">
        <v>1196</v>
      </c>
      <c r="D273" s="2068" t="s">
        <v>149</v>
      </c>
      <c r="E273" s="2069">
        <v>1</v>
      </c>
      <c r="F273" s="2066">
        <v>0</v>
      </c>
      <c r="G273" s="2067">
        <f t="shared" si="17"/>
        <v>0</v>
      </c>
    </row>
    <row r="274" spans="2:11" x14ac:dyDescent="0.2">
      <c r="B274" s="950"/>
      <c r="C274" s="955"/>
      <c r="D274" s="956"/>
      <c r="E274" s="957"/>
      <c r="F274" s="958"/>
      <c r="G274" s="958"/>
      <c r="K274" s="2431"/>
    </row>
    <row r="275" spans="2:11" x14ac:dyDescent="0.2">
      <c r="B275" s="2061" t="s">
        <v>1270</v>
      </c>
      <c r="C275" s="2412" t="s">
        <v>1641</v>
      </c>
      <c r="D275" s="2419"/>
      <c r="E275" s="2420"/>
      <c r="F275" s="2421"/>
      <c r="G275" s="2421"/>
      <c r="K275" s="2431"/>
    </row>
    <row r="276" spans="2:11" ht="27" customHeight="1" x14ac:dyDescent="0.2">
      <c r="B276" s="2061"/>
      <c r="C276" s="2033" t="s">
        <v>1642</v>
      </c>
      <c r="D276" s="2063" t="s">
        <v>149</v>
      </c>
      <c r="E276" s="2069">
        <v>1</v>
      </c>
      <c r="F276" s="2066">
        <v>0</v>
      </c>
      <c r="G276" s="2067">
        <f t="shared" ref="G276:G282" si="18">E276*F276</f>
        <v>0</v>
      </c>
      <c r="K276" s="2432"/>
    </row>
    <row r="277" spans="2:11" ht="24" x14ac:dyDescent="0.2">
      <c r="B277" s="2061"/>
      <c r="C277" s="2428" t="s">
        <v>239</v>
      </c>
      <c r="D277" s="2063" t="s">
        <v>149</v>
      </c>
      <c r="E277" s="2069">
        <v>3</v>
      </c>
      <c r="F277" s="2066">
        <v>0</v>
      </c>
      <c r="G277" s="2067">
        <f t="shared" si="18"/>
        <v>0</v>
      </c>
    </row>
    <row r="278" spans="2:11" x14ac:dyDescent="0.2">
      <c r="B278" s="2061"/>
      <c r="C278" s="2428" t="s">
        <v>236</v>
      </c>
      <c r="D278" s="2063" t="s">
        <v>149</v>
      </c>
      <c r="E278" s="2069">
        <v>3</v>
      </c>
      <c r="F278" s="2066">
        <v>0</v>
      </c>
      <c r="G278" s="2067">
        <f t="shared" si="18"/>
        <v>0</v>
      </c>
    </row>
    <row r="279" spans="2:11" x14ac:dyDescent="0.2">
      <c r="B279" s="2061"/>
      <c r="C279" s="2428" t="s">
        <v>1590</v>
      </c>
      <c r="D279" s="2063" t="s">
        <v>149</v>
      </c>
      <c r="E279" s="2069">
        <v>3</v>
      </c>
      <c r="F279" s="2066">
        <v>0</v>
      </c>
      <c r="G279" s="2067">
        <f t="shared" si="18"/>
        <v>0</v>
      </c>
    </row>
    <row r="280" spans="2:11" x14ac:dyDescent="0.2">
      <c r="B280" s="2061"/>
      <c r="C280" s="2428" t="s">
        <v>242</v>
      </c>
      <c r="D280" s="2063" t="s">
        <v>149</v>
      </c>
      <c r="E280" s="2069">
        <v>3</v>
      </c>
      <c r="F280" s="2066">
        <v>0</v>
      </c>
      <c r="G280" s="2067">
        <f t="shared" si="18"/>
        <v>0</v>
      </c>
    </row>
    <row r="281" spans="2:11" x14ac:dyDescent="0.2">
      <c r="B281" s="2061"/>
      <c r="C281" s="2410" t="s">
        <v>227</v>
      </c>
      <c r="D281" s="2068" t="s">
        <v>149</v>
      </c>
      <c r="E281" s="2069">
        <v>1</v>
      </c>
      <c r="F281" s="2066">
        <v>0</v>
      </c>
      <c r="G281" s="2067">
        <f t="shared" si="18"/>
        <v>0</v>
      </c>
    </row>
    <row r="282" spans="2:11" ht="25.5" x14ac:dyDescent="0.2">
      <c r="B282" s="2061"/>
      <c r="C282" s="2411" t="s">
        <v>1196</v>
      </c>
      <c r="D282" s="2068" t="s">
        <v>149</v>
      </c>
      <c r="E282" s="2069">
        <v>1</v>
      </c>
      <c r="F282" s="2066">
        <v>0</v>
      </c>
      <c r="G282" s="2067">
        <f t="shared" si="18"/>
        <v>0</v>
      </c>
    </row>
    <row r="283" spans="2:11" x14ac:dyDescent="0.2">
      <c r="B283" s="950"/>
      <c r="C283" s="955"/>
      <c r="D283" s="956"/>
      <c r="E283" s="957"/>
      <c r="F283" s="958"/>
      <c r="G283" s="958"/>
    </row>
    <row r="284" spans="2:11" x14ac:dyDescent="0.2">
      <c r="B284" s="950" t="s">
        <v>1305</v>
      </c>
      <c r="C284" s="967" t="s">
        <v>244</v>
      </c>
      <c r="D284" s="967"/>
      <c r="E284" s="957"/>
      <c r="F284" s="958"/>
      <c r="G284" s="958"/>
    </row>
    <row r="285" spans="2:11" x14ac:dyDescent="0.2">
      <c r="B285" s="950"/>
      <c r="C285" s="967" t="s">
        <v>828</v>
      </c>
      <c r="D285" s="960"/>
      <c r="E285" s="961"/>
      <c r="F285" s="968"/>
      <c r="G285" s="969"/>
    </row>
    <row r="286" spans="2:11" ht="38.25" x14ac:dyDescent="0.2">
      <c r="B286" s="970"/>
      <c r="C286" s="959" t="s">
        <v>1276</v>
      </c>
      <c r="D286" s="960" t="s">
        <v>149</v>
      </c>
      <c r="E286" s="961">
        <v>50</v>
      </c>
      <c r="F286" s="914">
        <v>0</v>
      </c>
      <c r="G286" s="915">
        <f>E286*F286</f>
        <v>0</v>
      </c>
    </row>
    <row r="287" spans="2:11" ht="25.5" x14ac:dyDescent="0.2">
      <c r="B287" s="950"/>
      <c r="C287" s="962" t="s">
        <v>247</v>
      </c>
      <c r="D287" s="960" t="s">
        <v>149</v>
      </c>
      <c r="E287" s="961">
        <v>50</v>
      </c>
      <c r="F287" s="914">
        <v>0</v>
      </c>
      <c r="G287" s="915">
        <f>E287*F287</f>
        <v>0</v>
      </c>
    </row>
    <row r="288" spans="2:11" ht="25.5" x14ac:dyDescent="0.2">
      <c r="B288" s="950"/>
      <c r="C288" s="869" t="s">
        <v>1196</v>
      </c>
      <c r="D288" s="960" t="s">
        <v>149</v>
      </c>
      <c r="E288" s="961">
        <v>50</v>
      </c>
      <c r="F288" s="914">
        <v>0</v>
      </c>
      <c r="G288" s="915">
        <f>E288*F288</f>
        <v>0</v>
      </c>
    </row>
    <row r="289" spans="2:7" x14ac:dyDescent="0.2">
      <c r="B289" s="950"/>
      <c r="C289" s="967" t="s">
        <v>849</v>
      </c>
      <c r="D289" s="960"/>
      <c r="E289" s="961"/>
      <c r="F289" s="958"/>
      <c r="G289" s="958"/>
    </row>
    <row r="290" spans="2:7" ht="38.25" x14ac:dyDescent="0.2">
      <c r="B290" s="950"/>
      <c r="C290" s="959" t="s">
        <v>1428</v>
      </c>
      <c r="D290" s="960" t="s">
        <v>149</v>
      </c>
      <c r="E290" s="961">
        <v>26</v>
      </c>
      <c r="F290" s="971">
        <v>0</v>
      </c>
      <c r="G290" s="915">
        <f>E290*F290</f>
        <v>0</v>
      </c>
    </row>
    <row r="291" spans="2:7" ht="25.5" x14ac:dyDescent="0.2">
      <c r="B291" s="950"/>
      <c r="C291" s="962" t="s">
        <v>247</v>
      </c>
      <c r="D291" s="960" t="s">
        <v>149</v>
      </c>
      <c r="E291" s="961">
        <v>26</v>
      </c>
      <c r="F291" s="971">
        <v>0</v>
      </c>
      <c r="G291" s="915">
        <f>E291*F291</f>
        <v>0</v>
      </c>
    </row>
    <row r="292" spans="2:7" ht="25.5" x14ac:dyDescent="0.2">
      <c r="B292" s="950"/>
      <c r="C292" s="869" t="s">
        <v>1196</v>
      </c>
      <c r="D292" s="960" t="s">
        <v>149</v>
      </c>
      <c r="E292" s="961">
        <v>26</v>
      </c>
      <c r="F292" s="971">
        <v>0</v>
      </c>
      <c r="G292" s="915">
        <f>E292*F292</f>
        <v>0</v>
      </c>
    </row>
    <row r="293" spans="2:7" x14ac:dyDescent="0.2">
      <c r="B293" s="950"/>
      <c r="C293" s="967" t="s">
        <v>249</v>
      </c>
      <c r="D293" s="960"/>
      <c r="E293" s="961"/>
      <c r="F293" s="958"/>
      <c r="G293" s="958"/>
    </row>
    <row r="294" spans="2:7" ht="37.5" customHeight="1" x14ac:dyDescent="0.2">
      <c r="B294" s="1289"/>
      <c r="C294" s="959" t="s">
        <v>1427</v>
      </c>
      <c r="D294" s="960" t="s">
        <v>149</v>
      </c>
      <c r="E294" s="961">
        <v>8</v>
      </c>
      <c r="F294" s="971">
        <v>0</v>
      </c>
      <c r="G294" s="915">
        <f>E294*F294</f>
        <v>0</v>
      </c>
    </row>
    <row r="295" spans="2:7" ht="29.25" customHeight="1" x14ac:dyDescent="0.2">
      <c r="B295" s="1289"/>
      <c r="C295" s="962" t="s">
        <v>247</v>
      </c>
      <c r="D295" s="960" t="s">
        <v>149</v>
      </c>
      <c r="E295" s="961">
        <v>8</v>
      </c>
      <c r="F295" s="971">
        <v>0</v>
      </c>
      <c r="G295" s="915">
        <f>E295*F295</f>
        <v>0</v>
      </c>
    </row>
    <row r="296" spans="2:7" ht="28.5" customHeight="1" x14ac:dyDescent="0.2">
      <c r="B296" s="1289"/>
      <c r="C296" s="869" t="s">
        <v>1196</v>
      </c>
      <c r="D296" s="960" t="s">
        <v>149</v>
      </c>
      <c r="E296" s="961">
        <v>8</v>
      </c>
      <c r="F296" s="971">
        <v>0</v>
      </c>
      <c r="G296" s="915">
        <f>E296*F296</f>
        <v>0</v>
      </c>
    </row>
    <row r="297" spans="2:7" ht="14.25" customHeight="1" x14ac:dyDescent="0.2">
      <c r="B297" s="1289"/>
      <c r="C297" s="1265"/>
      <c r="D297" s="1290"/>
      <c r="E297" s="870"/>
      <c r="F297" s="1291"/>
      <c r="G297" s="952"/>
    </row>
    <row r="298" spans="2:7" ht="16.5" customHeight="1" x14ac:dyDescent="0.2">
      <c r="B298" s="970" t="s">
        <v>199</v>
      </c>
      <c r="C298" s="972" t="s">
        <v>300</v>
      </c>
      <c r="D298" s="973"/>
      <c r="E298" s="974"/>
      <c r="F298" s="975"/>
      <c r="G298" s="976"/>
    </row>
    <row r="299" spans="2:7" ht="88.5" customHeight="1" x14ac:dyDescent="0.2">
      <c r="B299" s="977"/>
      <c r="C299" s="954" t="s">
        <v>301</v>
      </c>
      <c r="D299" s="960" t="s">
        <v>149</v>
      </c>
      <c r="E299" s="961">
        <v>84</v>
      </c>
      <c r="F299" s="971">
        <v>0</v>
      </c>
      <c r="G299" s="915">
        <f>E299*F299</f>
        <v>0</v>
      </c>
    </row>
    <row r="300" spans="2:7" x14ac:dyDescent="0.2">
      <c r="B300" s="950"/>
      <c r="C300" s="955"/>
      <c r="D300" s="956"/>
      <c r="E300" s="957"/>
      <c r="F300" s="958"/>
      <c r="G300" s="952"/>
    </row>
    <row r="301" spans="2:7" x14ac:dyDescent="0.2">
      <c r="B301" s="1292"/>
      <c r="C301" s="1293"/>
      <c r="D301" s="1294"/>
      <c r="E301" s="981"/>
      <c r="F301" s="982"/>
      <c r="G301" s="983"/>
    </row>
    <row r="302" spans="2:7" x14ac:dyDescent="0.2">
      <c r="B302" s="984" t="s">
        <v>17</v>
      </c>
      <c r="C302" s="985" t="s">
        <v>302</v>
      </c>
      <c r="D302" s="986"/>
      <c r="E302" s="987"/>
      <c r="F302" s="988"/>
      <c r="G302" s="876">
        <f>SUM(G121:G300)</f>
        <v>0</v>
      </c>
    </row>
    <row r="303" spans="2:7" x14ac:dyDescent="0.2">
      <c r="B303" s="1292"/>
      <c r="C303" s="1295"/>
      <c r="D303" s="1296"/>
      <c r="E303" s="990"/>
      <c r="F303" s="910"/>
    </row>
  </sheetData>
  <mergeCells count="6">
    <mergeCell ref="B133:B134"/>
    <mergeCell ref="C6:E6"/>
    <mergeCell ref="B50:G50"/>
    <mergeCell ref="B117:G117"/>
    <mergeCell ref="B118:G118"/>
    <mergeCell ref="B119:G119"/>
  </mergeCells>
  <pageMargins left="0.7" right="0.7" top="0.75" bottom="0.75" header="0.3" footer="0.3"/>
  <pageSetup paperSize="9" scale="80" orientation="portrait" r:id="rId1"/>
  <headerFooter alignWithMargins="0"/>
  <rowBreaks count="6" manualBreakCount="6">
    <brk id="21" max="16383" man="1"/>
    <brk id="47" max="16383" man="1"/>
    <brk id="77" max="16383" man="1"/>
    <brk id="118" max="16383" man="1"/>
    <brk id="147" max="16383" man="1"/>
    <brk id="226" max="16383" man="1"/>
  </rowBreaks>
  <colBreaks count="1" manualBreakCount="1">
    <brk id="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E1A2-0D48-41D8-A7D8-8E26A5AB4288}">
  <sheetPr codeName="Sheet73">
    <tabColor rgb="FF0070C0"/>
  </sheetPr>
  <dimension ref="B1:L298"/>
  <sheetViews>
    <sheetView topLeftCell="A85" zoomScaleNormal="100" workbookViewId="0">
      <selection activeCell="C98" sqref="C98"/>
    </sheetView>
  </sheetViews>
  <sheetFormatPr defaultColWidth="10.42578125" defaultRowHeight="12.75" x14ac:dyDescent="0.2"/>
  <cols>
    <col min="1" max="1" width="5" style="130" customWidth="1"/>
    <col min="2" max="2" width="10.42578125" style="745" customWidth="1"/>
    <col min="3" max="3" width="33.140625" style="746" customWidth="1"/>
    <col min="4" max="4" width="10.42578125" style="130" customWidth="1"/>
    <col min="5" max="5" width="17.42578125" style="747" customWidth="1"/>
    <col min="6" max="6" width="15.140625" style="748" customWidth="1"/>
    <col min="7" max="7" width="17.140625" style="749" customWidth="1"/>
    <col min="8" max="9" width="10.42578125" style="130" customWidth="1"/>
    <col min="10" max="10" width="15.42578125" style="130" customWidth="1"/>
    <col min="11" max="11" width="10.42578125" style="130" customWidth="1"/>
    <col min="12" max="12" width="13.5703125" style="130" customWidth="1"/>
    <col min="13" max="258" width="10.42578125" style="130"/>
    <col min="259" max="259" width="33.140625" style="130" customWidth="1"/>
    <col min="260" max="260" width="10.42578125" style="130"/>
    <col min="261" max="261" width="17.42578125" style="130" customWidth="1"/>
    <col min="262" max="262" width="15.140625" style="130" customWidth="1"/>
    <col min="263" max="263" width="17.140625" style="130" customWidth="1"/>
    <col min="264" max="265" width="10.42578125" style="130"/>
    <col min="266" max="266" width="15.42578125" style="130" customWidth="1"/>
    <col min="267" max="267" width="10.42578125" style="130"/>
    <col min="268" max="268" width="13.5703125" style="130" customWidth="1"/>
    <col min="269" max="514" width="10.42578125" style="130"/>
    <col min="515" max="515" width="33.140625" style="130" customWidth="1"/>
    <col min="516" max="516" width="10.42578125" style="130"/>
    <col min="517" max="517" width="17.42578125" style="130" customWidth="1"/>
    <col min="518" max="518" width="15.140625" style="130" customWidth="1"/>
    <col min="519" max="519" width="17.140625" style="130" customWidth="1"/>
    <col min="520" max="521" width="10.42578125" style="130"/>
    <col min="522" max="522" width="15.42578125" style="130" customWidth="1"/>
    <col min="523" max="523" width="10.42578125" style="130"/>
    <col min="524" max="524" width="13.5703125" style="130" customWidth="1"/>
    <col min="525" max="770" width="10.42578125" style="130"/>
    <col min="771" max="771" width="33.140625" style="130" customWidth="1"/>
    <col min="772" max="772" width="10.42578125" style="130"/>
    <col min="773" max="773" width="17.42578125" style="130" customWidth="1"/>
    <col min="774" max="774" width="15.140625" style="130" customWidth="1"/>
    <col min="775" max="775" width="17.140625" style="130" customWidth="1"/>
    <col min="776" max="777" width="10.42578125" style="130"/>
    <col min="778" max="778" width="15.42578125" style="130" customWidth="1"/>
    <col min="779" max="779" width="10.42578125" style="130"/>
    <col min="780" max="780" width="13.5703125" style="130" customWidth="1"/>
    <col min="781" max="1026" width="10.42578125" style="130"/>
    <col min="1027" max="1027" width="33.140625" style="130" customWidth="1"/>
    <col min="1028" max="1028" width="10.42578125" style="130"/>
    <col min="1029" max="1029" width="17.42578125" style="130" customWidth="1"/>
    <col min="1030" max="1030" width="15.140625" style="130" customWidth="1"/>
    <col min="1031" max="1031" width="17.140625" style="130" customWidth="1"/>
    <col min="1032" max="1033" width="10.42578125" style="130"/>
    <col min="1034" max="1034" width="15.42578125" style="130" customWidth="1"/>
    <col min="1035" max="1035" width="10.42578125" style="130"/>
    <col min="1036" max="1036" width="13.5703125" style="130" customWidth="1"/>
    <col min="1037" max="1282" width="10.42578125" style="130"/>
    <col min="1283" max="1283" width="33.140625" style="130" customWidth="1"/>
    <col min="1284" max="1284" width="10.42578125" style="130"/>
    <col min="1285" max="1285" width="17.42578125" style="130" customWidth="1"/>
    <col min="1286" max="1286" width="15.140625" style="130" customWidth="1"/>
    <col min="1287" max="1287" width="17.140625" style="130" customWidth="1"/>
    <col min="1288" max="1289" width="10.42578125" style="130"/>
    <col min="1290" max="1290" width="15.42578125" style="130" customWidth="1"/>
    <col min="1291" max="1291" width="10.42578125" style="130"/>
    <col min="1292" max="1292" width="13.5703125" style="130" customWidth="1"/>
    <col min="1293" max="1538" width="10.42578125" style="130"/>
    <col min="1539" max="1539" width="33.140625" style="130" customWidth="1"/>
    <col min="1540" max="1540" width="10.42578125" style="130"/>
    <col min="1541" max="1541" width="17.42578125" style="130" customWidth="1"/>
    <col min="1542" max="1542" width="15.140625" style="130" customWidth="1"/>
    <col min="1543" max="1543" width="17.140625" style="130" customWidth="1"/>
    <col min="1544" max="1545" width="10.42578125" style="130"/>
    <col min="1546" max="1546" width="15.42578125" style="130" customWidth="1"/>
    <col min="1547" max="1547" width="10.42578125" style="130"/>
    <col min="1548" max="1548" width="13.5703125" style="130" customWidth="1"/>
    <col min="1549" max="1794" width="10.42578125" style="130"/>
    <col min="1795" max="1795" width="33.140625" style="130" customWidth="1"/>
    <col min="1796" max="1796" width="10.42578125" style="130"/>
    <col min="1797" max="1797" width="17.42578125" style="130" customWidth="1"/>
    <col min="1798" max="1798" width="15.140625" style="130" customWidth="1"/>
    <col min="1799" max="1799" width="17.140625" style="130" customWidth="1"/>
    <col min="1800" max="1801" width="10.42578125" style="130"/>
    <col min="1802" max="1802" width="15.42578125" style="130" customWidth="1"/>
    <col min="1803" max="1803" width="10.42578125" style="130"/>
    <col min="1804" max="1804" width="13.5703125" style="130" customWidth="1"/>
    <col min="1805" max="2050" width="10.42578125" style="130"/>
    <col min="2051" max="2051" width="33.140625" style="130" customWidth="1"/>
    <col min="2052" max="2052" width="10.42578125" style="130"/>
    <col min="2053" max="2053" width="17.42578125" style="130" customWidth="1"/>
    <col min="2054" max="2054" width="15.140625" style="130" customWidth="1"/>
    <col min="2055" max="2055" width="17.140625" style="130" customWidth="1"/>
    <col min="2056" max="2057" width="10.42578125" style="130"/>
    <col min="2058" max="2058" width="15.42578125" style="130" customWidth="1"/>
    <col min="2059" max="2059" width="10.42578125" style="130"/>
    <col min="2060" max="2060" width="13.5703125" style="130" customWidth="1"/>
    <col min="2061" max="2306" width="10.42578125" style="130"/>
    <col min="2307" max="2307" width="33.140625" style="130" customWidth="1"/>
    <col min="2308" max="2308" width="10.42578125" style="130"/>
    <col min="2309" max="2309" width="17.42578125" style="130" customWidth="1"/>
    <col min="2310" max="2310" width="15.140625" style="130" customWidth="1"/>
    <col min="2311" max="2311" width="17.140625" style="130" customWidth="1"/>
    <col min="2312" max="2313" width="10.42578125" style="130"/>
    <col min="2314" max="2314" width="15.42578125" style="130" customWidth="1"/>
    <col min="2315" max="2315" width="10.42578125" style="130"/>
    <col min="2316" max="2316" width="13.5703125" style="130" customWidth="1"/>
    <col min="2317" max="2562" width="10.42578125" style="130"/>
    <col min="2563" max="2563" width="33.140625" style="130" customWidth="1"/>
    <col min="2564" max="2564" width="10.42578125" style="130"/>
    <col min="2565" max="2565" width="17.42578125" style="130" customWidth="1"/>
    <col min="2566" max="2566" width="15.140625" style="130" customWidth="1"/>
    <col min="2567" max="2567" width="17.140625" style="130" customWidth="1"/>
    <col min="2568" max="2569" width="10.42578125" style="130"/>
    <col min="2570" max="2570" width="15.42578125" style="130" customWidth="1"/>
    <col min="2571" max="2571" width="10.42578125" style="130"/>
    <col min="2572" max="2572" width="13.5703125" style="130" customWidth="1"/>
    <col min="2573" max="2818" width="10.42578125" style="130"/>
    <col min="2819" max="2819" width="33.140625" style="130" customWidth="1"/>
    <col min="2820" max="2820" width="10.42578125" style="130"/>
    <col min="2821" max="2821" width="17.42578125" style="130" customWidth="1"/>
    <col min="2822" max="2822" width="15.140625" style="130" customWidth="1"/>
    <col min="2823" max="2823" width="17.140625" style="130" customWidth="1"/>
    <col min="2824" max="2825" width="10.42578125" style="130"/>
    <col min="2826" max="2826" width="15.42578125" style="130" customWidth="1"/>
    <col min="2827" max="2827" width="10.42578125" style="130"/>
    <col min="2828" max="2828" width="13.5703125" style="130" customWidth="1"/>
    <col min="2829" max="3074" width="10.42578125" style="130"/>
    <col min="3075" max="3075" width="33.140625" style="130" customWidth="1"/>
    <col min="3076" max="3076" width="10.42578125" style="130"/>
    <col min="3077" max="3077" width="17.42578125" style="130" customWidth="1"/>
    <col min="3078" max="3078" width="15.140625" style="130" customWidth="1"/>
    <col min="3079" max="3079" width="17.140625" style="130" customWidth="1"/>
    <col min="3080" max="3081" width="10.42578125" style="130"/>
    <col min="3082" max="3082" width="15.42578125" style="130" customWidth="1"/>
    <col min="3083" max="3083" width="10.42578125" style="130"/>
    <col min="3084" max="3084" width="13.5703125" style="130" customWidth="1"/>
    <col min="3085" max="3330" width="10.42578125" style="130"/>
    <col min="3331" max="3331" width="33.140625" style="130" customWidth="1"/>
    <col min="3332" max="3332" width="10.42578125" style="130"/>
    <col min="3333" max="3333" width="17.42578125" style="130" customWidth="1"/>
    <col min="3334" max="3334" width="15.140625" style="130" customWidth="1"/>
    <col min="3335" max="3335" width="17.140625" style="130" customWidth="1"/>
    <col min="3336" max="3337" width="10.42578125" style="130"/>
    <col min="3338" max="3338" width="15.42578125" style="130" customWidth="1"/>
    <col min="3339" max="3339" width="10.42578125" style="130"/>
    <col min="3340" max="3340" width="13.5703125" style="130" customWidth="1"/>
    <col min="3341" max="3586" width="10.42578125" style="130"/>
    <col min="3587" max="3587" width="33.140625" style="130" customWidth="1"/>
    <col min="3588" max="3588" width="10.42578125" style="130"/>
    <col min="3589" max="3589" width="17.42578125" style="130" customWidth="1"/>
    <col min="3590" max="3590" width="15.140625" style="130" customWidth="1"/>
    <col min="3591" max="3591" width="17.140625" style="130" customWidth="1"/>
    <col min="3592" max="3593" width="10.42578125" style="130"/>
    <col min="3594" max="3594" width="15.42578125" style="130" customWidth="1"/>
    <col min="3595" max="3595" width="10.42578125" style="130"/>
    <col min="3596" max="3596" width="13.5703125" style="130" customWidth="1"/>
    <col min="3597" max="3842" width="10.42578125" style="130"/>
    <col min="3843" max="3843" width="33.140625" style="130" customWidth="1"/>
    <col min="3844" max="3844" width="10.42578125" style="130"/>
    <col min="3845" max="3845" width="17.42578125" style="130" customWidth="1"/>
    <col min="3846" max="3846" width="15.140625" style="130" customWidth="1"/>
    <col min="3847" max="3847" width="17.140625" style="130" customWidth="1"/>
    <col min="3848" max="3849" width="10.42578125" style="130"/>
    <col min="3850" max="3850" width="15.42578125" style="130" customWidth="1"/>
    <col min="3851" max="3851" width="10.42578125" style="130"/>
    <col min="3852" max="3852" width="13.5703125" style="130" customWidth="1"/>
    <col min="3853" max="4098" width="10.42578125" style="130"/>
    <col min="4099" max="4099" width="33.140625" style="130" customWidth="1"/>
    <col min="4100" max="4100" width="10.42578125" style="130"/>
    <col min="4101" max="4101" width="17.42578125" style="130" customWidth="1"/>
    <col min="4102" max="4102" width="15.140625" style="130" customWidth="1"/>
    <col min="4103" max="4103" width="17.140625" style="130" customWidth="1"/>
    <col min="4104" max="4105" width="10.42578125" style="130"/>
    <col min="4106" max="4106" width="15.42578125" style="130" customWidth="1"/>
    <col min="4107" max="4107" width="10.42578125" style="130"/>
    <col min="4108" max="4108" width="13.5703125" style="130" customWidth="1"/>
    <col min="4109" max="4354" width="10.42578125" style="130"/>
    <col min="4355" max="4355" width="33.140625" style="130" customWidth="1"/>
    <col min="4356" max="4356" width="10.42578125" style="130"/>
    <col min="4357" max="4357" width="17.42578125" style="130" customWidth="1"/>
    <col min="4358" max="4358" width="15.140625" style="130" customWidth="1"/>
    <col min="4359" max="4359" width="17.140625" style="130" customWidth="1"/>
    <col min="4360" max="4361" width="10.42578125" style="130"/>
    <col min="4362" max="4362" width="15.42578125" style="130" customWidth="1"/>
    <col min="4363" max="4363" width="10.42578125" style="130"/>
    <col min="4364" max="4364" width="13.5703125" style="130" customWidth="1"/>
    <col min="4365" max="4610" width="10.42578125" style="130"/>
    <col min="4611" max="4611" width="33.140625" style="130" customWidth="1"/>
    <col min="4612" max="4612" width="10.42578125" style="130"/>
    <col min="4613" max="4613" width="17.42578125" style="130" customWidth="1"/>
    <col min="4614" max="4614" width="15.140625" style="130" customWidth="1"/>
    <col min="4615" max="4615" width="17.140625" style="130" customWidth="1"/>
    <col min="4616" max="4617" width="10.42578125" style="130"/>
    <col min="4618" max="4618" width="15.42578125" style="130" customWidth="1"/>
    <col min="4619" max="4619" width="10.42578125" style="130"/>
    <col min="4620" max="4620" width="13.5703125" style="130" customWidth="1"/>
    <col min="4621" max="4866" width="10.42578125" style="130"/>
    <col min="4867" max="4867" width="33.140625" style="130" customWidth="1"/>
    <col min="4868" max="4868" width="10.42578125" style="130"/>
    <col min="4869" max="4869" width="17.42578125" style="130" customWidth="1"/>
    <col min="4870" max="4870" width="15.140625" style="130" customWidth="1"/>
    <col min="4871" max="4871" width="17.140625" style="130" customWidth="1"/>
    <col min="4872" max="4873" width="10.42578125" style="130"/>
    <col min="4874" max="4874" width="15.42578125" style="130" customWidth="1"/>
    <col min="4875" max="4875" width="10.42578125" style="130"/>
    <col min="4876" max="4876" width="13.5703125" style="130" customWidth="1"/>
    <col min="4877" max="5122" width="10.42578125" style="130"/>
    <col min="5123" max="5123" width="33.140625" style="130" customWidth="1"/>
    <col min="5124" max="5124" width="10.42578125" style="130"/>
    <col min="5125" max="5125" width="17.42578125" style="130" customWidth="1"/>
    <col min="5126" max="5126" width="15.140625" style="130" customWidth="1"/>
    <col min="5127" max="5127" width="17.140625" style="130" customWidth="1"/>
    <col min="5128" max="5129" width="10.42578125" style="130"/>
    <col min="5130" max="5130" width="15.42578125" style="130" customWidth="1"/>
    <col min="5131" max="5131" width="10.42578125" style="130"/>
    <col min="5132" max="5132" width="13.5703125" style="130" customWidth="1"/>
    <col min="5133" max="5378" width="10.42578125" style="130"/>
    <col min="5379" max="5379" width="33.140625" style="130" customWidth="1"/>
    <col min="5380" max="5380" width="10.42578125" style="130"/>
    <col min="5381" max="5381" width="17.42578125" style="130" customWidth="1"/>
    <col min="5382" max="5382" width="15.140625" style="130" customWidth="1"/>
    <col min="5383" max="5383" width="17.140625" style="130" customWidth="1"/>
    <col min="5384" max="5385" width="10.42578125" style="130"/>
    <col min="5386" max="5386" width="15.42578125" style="130" customWidth="1"/>
    <col min="5387" max="5387" width="10.42578125" style="130"/>
    <col min="5388" max="5388" width="13.5703125" style="130" customWidth="1"/>
    <col min="5389" max="5634" width="10.42578125" style="130"/>
    <col min="5635" max="5635" width="33.140625" style="130" customWidth="1"/>
    <col min="5636" max="5636" width="10.42578125" style="130"/>
    <col min="5637" max="5637" width="17.42578125" style="130" customWidth="1"/>
    <col min="5638" max="5638" width="15.140625" style="130" customWidth="1"/>
    <col min="5639" max="5639" width="17.140625" style="130" customWidth="1"/>
    <col min="5640" max="5641" width="10.42578125" style="130"/>
    <col min="5642" max="5642" width="15.42578125" style="130" customWidth="1"/>
    <col min="5643" max="5643" width="10.42578125" style="130"/>
    <col min="5644" max="5644" width="13.5703125" style="130" customWidth="1"/>
    <col min="5645" max="5890" width="10.42578125" style="130"/>
    <col min="5891" max="5891" width="33.140625" style="130" customWidth="1"/>
    <col min="5892" max="5892" width="10.42578125" style="130"/>
    <col min="5893" max="5893" width="17.42578125" style="130" customWidth="1"/>
    <col min="5894" max="5894" width="15.140625" style="130" customWidth="1"/>
    <col min="5895" max="5895" width="17.140625" style="130" customWidth="1"/>
    <col min="5896" max="5897" width="10.42578125" style="130"/>
    <col min="5898" max="5898" width="15.42578125" style="130" customWidth="1"/>
    <col min="5899" max="5899" width="10.42578125" style="130"/>
    <col min="5900" max="5900" width="13.5703125" style="130" customWidth="1"/>
    <col min="5901" max="6146" width="10.42578125" style="130"/>
    <col min="6147" max="6147" width="33.140625" style="130" customWidth="1"/>
    <col min="6148" max="6148" width="10.42578125" style="130"/>
    <col min="6149" max="6149" width="17.42578125" style="130" customWidth="1"/>
    <col min="6150" max="6150" width="15.140625" style="130" customWidth="1"/>
    <col min="6151" max="6151" width="17.140625" style="130" customWidth="1"/>
    <col min="6152" max="6153" width="10.42578125" style="130"/>
    <col min="6154" max="6154" width="15.42578125" style="130" customWidth="1"/>
    <col min="6155" max="6155" width="10.42578125" style="130"/>
    <col min="6156" max="6156" width="13.5703125" style="130" customWidth="1"/>
    <col min="6157" max="6402" width="10.42578125" style="130"/>
    <col min="6403" max="6403" width="33.140625" style="130" customWidth="1"/>
    <col min="6404" max="6404" width="10.42578125" style="130"/>
    <col min="6405" max="6405" width="17.42578125" style="130" customWidth="1"/>
    <col min="6406" max="6406" width="15.140625" style="130" customWidth="1"/>
    <col min="6407" max="6407" width="17.140625" style="130" customWidth="1"/>
    <col min="6408" max="6409" width="10.42578125" style="130"/>
    <col min="6410" max="6410" width="15.42578125" style="130" customWidth="1"/>
    <col min="6411" max="6411" width="10.42578125" style="130"/>
    <col min="6412" max="6412" width="13.5703125" style="130" customWidth="1"/>
    <col min="6413" max="6658" width="10.42578125" style="130"/>
    <col min="6659" max="6659" width="33.140625" style="130" customWidth="1"/>
    <col min="6660" max="6660" width="10.42578125" style="130"/>
    <col min="6661" max="6661" width="17.42578125" style="130" customWidth="1"/>
    <col min="6662" max="6662" width="15.140625" style="130" customWidth="1"/>
    <col min="6663" max="6663" width="17.140625" style="130" customWidth="1"/>
    <col min="6664" max="6665" width="10.42578125" style="130"/>
    <col min="6666" max="6666" width="15.42578125" style="130" customWidth="1"/>
    <col min="6667" max="6667" width="10.42578125" style="130"/>
    <col min="6668" max="6668" width="13.5703125" style="130" customWidth="1"/>
    <col min="6669" max="6914" width="10.42578125" style="130"/>
    <col min="6915" max="6915" width="33.140625" style="130" customWidth="1"/>
    <col min="6916" max="6916" width="10.42578125" style="130"/>
    <col min="6917" max="6917" width="17.42578125" style="130" customWidth="1"/>
    <col min="6918" max="6918" width="15.140625" style="130" customWidth="1"/>
    <col min="6919" max="6919" width="17.140625" style="130" customWidth="1"/>
    <col min="6920" max="6921" width="10.42578125" style="130"/>
    <col min="6922" max="6922" width="15.42578125" style="130" customWidth="1"/>
    <col min="6923" max="6923" width="10.42578125" style="130"/>
    <col min="6924" max="6924" width="13.5703125" style="130" customWidth="1"/>
    <col min="6925" max="7170" width="10.42578125" style="130"/>
    <col min="7171" max="7171" width="33.140625" style="130" customWidth="1"/>
    <col min="7172" max="7172" width="10.42578125" style="130"/>
    <col min="7173" max="7173" width="17.42578125" style="130" customWidth="1"/>
    <col min="7174" max="7174" width="15.140625" style="130" customWidth="1"/>
    <col min="7175" max="7175" width="17.140625" style="130" customWidth="1"/>
    <col min="7176" max="7177" width="10.42578125" style="130"/>
    <col min="7178" max="7178" width="15.42578125" style="130" customWidth="1"/>
    <col min="7179" max="7179" width="10.42578125" style="130"/>
    <col min="7180" max="7180" width="13.5703125" style="130" customWidth="1"/>
    <col min="7181" max="7426" width="10.42578125" style="130"/>
    <col min="7427" max="7427" width="33.140625" style="130" customWidth="1"/>
    <col min="7428" max="7428" width="10.42578125" style="130"/>
    <col min="7429" max="7429" width="17.42578125" style="130" customWidth="1"/>
    <col min="7430" max="7430" width="15.140625" style="130" customWidth="1"/>
    <col min="7431" max="7431" width="17.140625" style="130" customWidth="1"/>
    <col min="7432" max="7433" width="10.42578125" style="130"/>
    <col min="7434" max="7434" width="15.42578125" style="130" customWidth="1"/>
    <col min="7435" max="7435" width="10.42578125" style="130"/>
    <col min="7436" max="7436" width="13.5703125" style="130" customWidth="1"/>
    <col min="7437" max="7682" width="10.42578125" style="130"/>
    <col min="7683" max="7683" width="33.140625" style="130" customWidth="1"/>
    <col min="7684" max="7684" width="10.42578125" style="130"/>
    <col min="7685" max="7685" width="17.42578125" style="130" customWidth="1"/>
    <col min="7686" max="7686" width="15.140625" style="130" customWidth="1"/>
    <col min="7687" max="7687" width="17.140625" style="130" customWidth="1"/>
    <col min="7688" max="7689" width="10.42578125" style="130"/>
    <col min="7690" max="7690" width="15.42578125" style="130" customWidth="1"/>
    <col min="7691" max="7691" width="10.42578125" style="130"/>
    <col min="7692" max="7692" width="13.5703125" style="130" customWidth="1"/>
    <col min="7693" max="7938" width="10.42578125" style="130"/>
    <col min="7939" max="7939" width="33.140625" style="130" customWidth="1"/>
    <col min="7940" max="7940" width="10.42578125" style="130"/>
    <col min="7941" max="7941" width="17.42578125" style="130" customWidth="1"/>
    <col min="7942" max="7942" width="15.140625" style="130" customWidth="1"/>
    <col min="7943" max="7943" width="17.140625" style="130" customWidth="1"/>
    <col min="7944" max="7945" width="10.42578125" style="130"/>
    <col min="7946" max="7946" width="15.42578125" style="130" customWidth="1"/>
    <col min="7947" max="7947" width="10.42578125" style="130"/>
    <col min="7948" max="7948" width="13.5703125" style="130" customWidth="1"/>
    <col min="7949" max="8194" width="10.42578125" style="130"/>
    <col min="8195" max="8195" width="33.140625" style="130" customWidth="1"/>
    <col min="8196" max="8196" width="10.42578125" style="130"/>
    <col min="8197" max="8197" width="17.42578125" style="130" customWidth="1"/>
    <col min="8198" max="8198" width="15.140625" style="130" customWidth="1"/>
    <col min="8199" max="8199" width="17.140625" style="130" customWidth="1"/>
    <col min="8200" max="8201" width="10.42578125" style="130"/>
    <col min="8202" max="8202" width="15.42578125" style="130" customWidth="1"/>
    <col min="8203" max="8203" width="10.42578125" style="130"/>
    <col min="8204" max="8204" width="13.5703125" style="130" customWidth="1"/>
    <col min="8205" max="8450" width="10.42578125" style="130"/>
    <col min="8451" max="8451" width="33.140625" style="130" customWidth="1"/>
    <col min="8452" max="8452" width="10.42578125" style="130"/>
    <col min="8453" max="8453" width="17.42578125" style="130" customWidth="1"/>
    <col min="8454" max="8454" width="15.140625" style="130" customWidth="1"/>
    <col min="8455" max="8455" width="17.140625" style="130" customWidth="1"/>
    <col min="8456" max="8457" width="10.42578125" style="130"/>
    <col min="8458" max="8458" width="15.42578125" style="130" customWidth="1"/>
    <col min="8459" max="8459" width="10.42578125" style="130"/>
    <col min="8460" max="8460" width="13.5703125" style="130" customWidth="1"/>
    <col min="8461" max="8706" width="10.42578125" style="130"/>
    <col min="8707" max="8707" width="33.140625" style="130" customWidth="1"/>
    <col min="8708" max="8708" width="10.42578125" style="130"/>
    <col min="8709" max="8709" width="17.42578125" style="130" customWidth="1"/>
    <col min="8710" max="8710" width="15.140625" style="130" customWidth="1"/>
    <col min="8711" max="8711" width="17.140625" style="130" customWidth="1"/>
    <col min="8712" max="8713" width="10.42578125" style="130"/>
    <col min="8714" max="8714" width="15.42578125" style="130" customWidth="1"/>
    <col min="8715" max="8715" width="10.42578125" style="130"/>
    <col min="8716" max="8716" width="13.5703125" style="130" customWidth="1"/>
    <col min="8717" max="8962" width="10.42578125" style="130"/>
    <col min="8963" max="8963" width="33.140625" style="130" customWidth="1"/>
    <col min="8964" max="8964" width="10.42578125" style="130"/>
    <col min="8965" max="8965" width="17.42578125" style="130" customWidth="1"/>
    <col min="8966" max="8966" width="15.140625" style="130" customWidth="1"/>
    <col min="8967" max="8967" width="17.140625" style="130" customWidth="1"/>
    <col min="8968" max="8969" width="10.42578125" style="130"/>
    <col min="8970" max="8970" width="15.42578125" style="130" customWidth="1"/>
    <col min="8971" max="8971" width="10.42578125" style="130"/>
    <col min="8972" max="8972" width="13.5703125" style="130" customWidth="1"/>
    <col min="8973" max="9218" width="10.42578125" style="130"/>
    <col min="9219" max="9219" width="33.140625" style="130" customWidth="1"/>
    <col min="9220" max="9220" width="10.42578125" style="130"/>
    <col min="9221" max="9221" width="17.42578125" style="130" customWidth="1"/>
    <col min="9222" max="9222" width="15.140625" style="130" customWidth="1"/>
    <col min="9223" max="9223" width="17.140625" style="130" customWidth="1"/>
    <col min="9224" max="9225" width="10.42578125" style="130"/>
    <col min="9226" max="9226" width="15.42578125" style="130" customWidth="1"/>
    <col min="9227" max="9227" width="10.42578125" style="130"/>
    <col min="9228" max="9228" width="13.5703125" style="130" customWidth="1"/>
    <col min="9229" max="9474" width="10.42578125" style="130"/>
    <col min="9475" max="9475" width="33.140625" style="130" customWidth="1"/>
    <col min="9476" max="9476" width="10.42578125" style="130"/>
    <col min="9477" max="9477" width="17.42578125" style="130" customWidth="1"/>
    <col min="9478" max="9478" width="15.140625" style="130" customWidth="1"/>
    <col min="9479" max="9479" width="17.140625" style="130" customWidth="1"/>
    <col min="9480" max="9481" width="10.42578125" style="130"/>
    <col min="9482" max="9482" width="15.42578125" style="130" customWidth="1"/>
    <col min="9483" max="9483" width="10.42578125" style="130"/>
    <col min="9484" max="9484" width="13.5703125" style="130" customWidth="1"/>
    <col min="9485" max="9730" width="10.42578125" style="130"/>
    <col min="9731" max="9731" width="33.140625" style="130" customWidth="1"/>
    <col min="9732" max="9732" width="10.42578125" style="130"/>
    <col min="9733" max="9733" width="17.42578125" style="130" customWidth="1"/>
    <col min="9734" max="9734" width="15.140625" style="130" customWidth="1"/>
    <col min="9735" max="9735" width="17.140625" style="130" customWidth="1"/>
    <col min="9736" max="9737" width="10.42578125" style="130"/>
    <col min="9738" max="9738" width="15.42578125" style="130" customWidth="1"/>
    <col min="9739" max="9739" width="10.42578125" style="130"/>
    <col min="9740" max="9740" width="13.5703125" style="130" customWidth="1"/>
    <col min="9741" max="9986" width="10.42578125" style="130"/>
    <col min="9987" max="9987" width="33.140625" style="130" customWidth="1"/>
    <col min="9988" max="9988" width="10.42578125" style="130"/>
    <col min="9989" max="9989" width="17.42578125" style="130" customWidth="1"/>
    <col min="9990" max="9990" width="15.140625" style="130" customWidth="1"/>
    <col min="9991" max="9991" width="17.140625" style="130" customWidth="1"/>
    <col min="9992" max="9993" width="10.42578125" style="130"/>
    <col min="9994" max="9994" width="15.42578125" style="130" customWidth="1"/>
    <col min="9995" max="9995" width="10.42578125" style="130"/>
    <col min="9996" max="9996" width="13.5703125" style="130" customWidth="1"/>
    <col min="9997" max="10242" width="10.42578125" style="130"/>
    <col min="10243" max="10243" width="33.140625" style="130" customWidth="1"/>
    <col min="10244" max="10244" width="10.42578125" style="130"/>
    <col min="10245" max="10245" width="17.42578125" style="130" customWidth="1"/>
    <col min="10246" max="10246" width="15.140625" style="130" customWidth="1"/>
    <col min="10247" max="10247" width="17.140625" style="130" customWidth="1"/>
    <col min="10248" max="10249" width="10.42578125" style="130"/>
    <col min="10250" max="10250" width="15.42578125" style="130" customWidth="1"/>
    <col min="10251" max="10251" width="10.42578125" style="130"/>
    <col min="10252" max="10252" width="13.5703125" style="130" customWidth="1"/>
    <col min="10253" max="10498" width="10.42578125" style="130"/>
    <col min="10499" max="10499" width="33.140625" style="130" customWidth="1"/>
    <col min="10500" max="10500" width="10.42578125" style="130"/>
    <col min="10501" max="10501" width="17.42578125" style="130" customWidth="1"/>
    <col min="10502" max="10502" width="15.140625" style="130" customWidth="1"/>
    <col min="10503" max="10503" width="17.140625" style="130" customWidth="1"/>
    <col min="10504" max="10505" width="10.42578125" style="130"/>
    <col min="10506" max="10506" width="15.42578125" style="130" customWidth="1"/>
    <col min="10507" max="10507" width="10.42578125" style="130"/>
    <col min="10508" max="10508" width="13.5703125" style="130" customWidth="1"/>
    <col min="10509" max="10754" width="10.42578125" style="130"/>
    <col min="10755" max="10755" width="33.140625" style="130" customWidth="1"/>
    <col min="10756" max="10756" width="10.42578125" style="130"/>
    <col min="10757" max="10757" width="17.42578125" style="130" customWidth="1"/>
    <col min="10758" max="10758" width="15.140625" style="130" customWidth="1"/>
    <col min="10759" max="10759" width="17.140625" style="130" customWidth="1"/>
    <col min="10760" max="10761" width="10.42578125" style="130"/>
    <col min="10762" max="10762" width="15.42578125" style="130" customWidth="1"/>
    <col min="10763" max="10763" width="10.42578125" style="130"/>
    <col min="10764" max="10764" width="13.5703125" style="130" customWidth="1"/>
    <col min="10765" max="11010" width="10.42578125" style="130"/>
    <col min="11011" max="11011" width="33.140625" style="130" customWidth="1"/>
    <col min="11012" max="11012" width="10.42578125" style="130"/>
    <col min="11013" max="11013" width="17.42578125" style="130" customWidth="1"/>
    <col min="11014" max="11014" width="15.140625" style="130" customWidth="1"/>
    <col min="11015" max="11015" width="17.140625" style="130" customWidth="1"/>
    <col min="11016" max="11017" width="10.42578125" style="130"/>
    <col min="11018" max="11018" width="15.42578125" style="130" customWidth="1"/>
    <col min="11019" max="11019" width="10.42578125" style="130"/>
    <col min="11020" max="11020" width="13.5703125" style="130" customWidth="1"/>
    <col min="11021" max="11266" width="10.42578125" style="130"/>
    <col min="11267" max="11267" width="33.140625" style="130" customWidth="1"/>
    <col min="11268" max="11268" width="10.42578125" style="130"/>
    <col min="11269" max="11269" width="17.42578125" style="130" customWidth="1"/>
    <col min="11270" max="11270" width="15.140625" style="130" customWidth="1"/>
    <col min="11271" max="11271" width="17.140625" style="130" customWidth="1"/>
    <col min="11272" max="11273" width="10.42578125" style="130"/>
    <col min="11274" max="11274" width="15.42578125" style="130" customWidth="1"/>
    <col min="11275" max="11275" width="10.42578125" style="130"/>
    <col min="11276" max="11276" width="13.5703125" style="130" customWidth="1"/>
    <col min="11277" max="11522" width="10.42578125" style="130"/>
    <col min="11523" max="11523" width="33.140625" style="130" customWidth="1"/>
    <col min="11524" max="11524" width="10.42578125" style="130"/>
    <col min="11525" max="11525" width="17.42578125" style="130" customWidth="1"/>
    <col min="11526" max="11526" width="15.140625" style="130" customWidth="1"/>
    <col min="11527" max="11527" width="17.140625" style="130" customWidth="1"/>
    <col min="11528" max="11529" width="10.42578125" style="130"/>
    <col min="11530" max="11530" width="15.42578125" style="130" customWidth="1"/>
    <col min="11531" max="11531" width="10.42578125" style="130"/>
    <col min="11532" max="11532" width="13.5703125" style="130" customWidth="1"/>
    <col min="11533" max="11778" width="10.42578125" style="130"/>
    <col min="11779" max="11779" width="33.140625" style="130" customWidth="1"/>
    <col min="11780" max="11780" width="10.42578125" style="130"/>
    <col min="11781" max="11781" width="17.42578125" style="130" customWidth="1"/>
    <col min="11782" max="11782" width="15.140625" style="130" customWidth="1"/>
    <col min="11783" max="11783" width="17.140625" style="130" customWidth="1"/>
    <col min="11784" max="11785" width="10.42578125" style="130"/>
    <col min="11786" max="11786" width="15.42578125" style="130" customWidth="1"/>
    <col min="11787" max="11787" width="10.42578125" style="130"/>
    <col min="11788" max="11788" width="13.5703125" style="130" customWidth="1"/>
    <col min="11789" max="12034" width="10.42578125" style="130"/>
    <col min="12035" max="12035" width="33.140625" style="130" customWidth="1"/>
    <col min="12036" max="12036" width="10.42578125" style="130"/>
    <col min="12037" max="12037" width="17.42578125" style="130" customWidth="1"/>
    <col min="12038" max="12038" width="15.140625" style="130" customWidth="1"/>
    <col min="12039" max="12039" width="17.140625" style="130" customWidth="1"/>
    <col min="12040" max="12041" width="10.42578125" style="130"/>
    <col min="12042" max="12042" width="15.42578125" style="130" customWidth="1"/>
    <col min="12043" max="12043" width="10.42578125" style="130"/>
    <col min="12044" max="12044" width="13.5703125" style="130" customWidth="1"/>
    <col min="12045" max="12290" width="10.42578125" style="130"/>
    <col min="12291" max="12291" width="33.140625" style="130" customWidth="1"/>
    <col min="12292" max="12292" width="10.42578125" style="130"/>
    <col min="12293" max="12293" width="17.42578125" style="130" customWidth="1"/>
    <col min="12294" max="12294" width="15.140625" style="130" customWidth="1"/>
    <col min="12295" max="12295" width="17.140625" style="130" customWidth="1"/>
    <col min="12296" max="12297" width="10.42578125" style="130"/>
    <col min="12298" max="12298" width="15.42578125" style="130" customWidth="1"/>
    <col min="12299" max="12299" width="10.42578125" style="130"/>
    <col min="12300" max="12300" width="13.5703125" style="130" customWidth="1"/>
    <col min="12301" max="12546" width="10.42578125" style="130"/>
    <col min="12547" max="12547" width="33.140625" style="130" customWidth="1"/>
    <col min="12548" max="12548" width="10.42578125" style="130"/>
    <col min="12549" max="12549" width="17.42578125" style="130" customWidth="1"/>
    <col min="12550" max="12550" width="15.140625" style="130" customWidth="1"/>
    <col min="12551" max="12551" width="17.140625" style="130" customWidth="1"/>
    <col min="12552" max="12553" width="10.42578125" style="130"/>
    <col min="12554" max="12554" width="15.42578125" style="130" customWidth="1"/>
    <col min="12555" max="12555" width="10.42578125" style="130"/>
    <col min="12556" max="12556" width="13.5703125" style="130" customWidth="1"/>
    <col min="12557" max="12802" width="10.42578125" style="130"/>
    <col min="12803" max="12803" width="33.140625" style="130" customWidth="1"/>
    <col min="12804" max="12804" width="10.42578125" style="130"/>
    <col min="12805" max="12805" width="17.42578125" style="130" customWidth="1"/>
    <col min="12806" max="12806" width="15.140625" style="130" customWidth="1"/>
    <col min="12807" max="12807" width="17.140625" style="130" customWidth="1"/>
    <col min="12808" max="12809" width="10.42578125" style="130"/>
    <col min="12810" max="12810" width="15.42578125" style="130" customWidth="1"/>
    <col min="12811" max="12811" width="10.42578125" style="130"/>
    <col min="12812" max="12812" width="13.5703125" style="130" customWidth="1"/>
    <col min="12813" max="13058" width="10.42578125" style="130"/>
    <col min="13059" max="13059" width="33.140625" style="130" customWidth="1"/>
    <col min="13060" max="13060" width="10.42578125" style="130"/>
    <col min="13061" max="13061" width="17.42578125" style="130" customWidth="1"/>
    <col min="13062" max="13062" width="15.140625" style="130" customWidth="1"/>
    <col min="13063" max="13063" width="17.140625" style="130" customWidth="1"/>
    <col min="13064" max="13065" width="10.42578125" style="130"/>
    <col min="13066" max="13066" width="15.42578125" style="130" customWidth="1"/>
    <col min="13067" max="13067" width="10.42578125" style="130"/>
    <col min="13068" max="13068" width="13.5703125" style="130" customWidth="1"/>
    <col min="13069" max="13314" width="10.42578125" style="130"/>
    <col min="13315" max="13315" width="33.140625" style="130" customWidth="1"/>
    <col min="13316" max="13316" width="10.42578125" style="130"/>
    <col min="13317" max="13317" width="17.42578125" style="130" customWidth="1"/>
    <col min="13318" max="13318" width="15.140625" style="130" customWidth="1"/>
    <col min="13319" max="13319" width="17.140625" style="130" customWidth="1"/>
    <col min="13320" max="13321" width="10.42578125" style="130"/>
    <col min="13322" max="13322" width="15.42578125" style="130" customWidth="1"/>
    <col min="13323" max="13323" width="10.42578125" style="130"/>
    <col min="13324" max="13324" width="13.5703125" style="130" customWidth="1"/>
    <col min="13325" max="13570" width="10.42578125" style="130"/>
    <col min="13571" max="13571" width="33.140625" style="130" customWidth="1"/>
    <col min="13572" max="13572" width="10.42578125" style="130"/>
    <col min="13573" max="13573" width="17.42578125" style="130" customWidth="1"/>
    <col min="13574" max="13574" width="15.140625" style="130" customWidth="1"/>
    <col min="13575" max="13575" width="17.140625" style="130" customWidth="1"/>
    <col min="13576" max="13577" width="10.42578125" style="130"/>
    <col min="13578" max="13578" width="15.42578125" style="130" customWidth="1"/>
    <col min="13579" max="13579" width="10.42578125" style="130"/>
    <col min="13580" max="13580" width="13.5703125" style="130" customWidth="1"/>
    <col min="13581" max="13826" width="10.42578125" style="130"/>
    <col min="13827" max="13827" width="33.140625" style="130" customWidth="1"/>
    <col min="13828" max="13828" width="10.42578125" style="130"/>
    <col min="13829" max="13829" width="17.42578125" style="130" customWidth="1"/>
    <col min="13830" max="13830" width="15.140625" style="130" customWidth="1"/>
    <col min="13831" max="13831" width="17.140625" style="130" customWidth="1"/>
    <col min="13832" max="13833" width="10.42578125" style="130"/>
    <col min="13834" max="13834" width="15.42578125" style="130" customWidth="1"/>
    <col min="13835" max="13835" width="10.42578125" style="130"/>
    <col min="13836" max="13836" width="13.5703125" style="130" customWidth="1"/>
    <col min="13837" max="14082" width="10.42578125" style="130"/>
    <col min="14083" max="14083" width="33.140625" style="130" customWidth="1"/>
    <col min="14084" max="14084" width="10.42578125" style="130"/>
    <col min="14085" max="14085" width="17.42578125" style="130" customWidth="1"/>
    <col min="14086" max="14086" width="15.140625" style="130" customWidth="1"/>
    <col min="14087" max="14087" width="17.140625" style="130" customWidth="1"/>
    <col min="14088" max="14089" width="10.42578125" style="130"/>
    <col min="14090" max="14090" width="15.42578125" style="130" customWidth="1"/>
    <col min="14091" max="14091" width="10.42578125" style="130"/>
    <col min="14092" max="14092" width="13.5703125" style="130" customWidth="1"/>
    <col min="14093" max="14338" width="10.42578125" style="130"/>
    <col min="14339" max="14339" width="33.140625" style="130" customWidth="1"/>
    <col min="14340" max="14340" width="10.42578125" style="130"/>
    <col min="14341" max="14341" width="17.42578125" style="130" customWidth="1"/>
    <col min="14342" max="14342" width="15.140625" style="130" customWidth="1"/>
    <col min="14343" max="14343" width="17.140625" style="130" customWidth="1"/>
    <col min="14344" max="14345" width="10.42578125" style="130"/>
    <col min="14346" max="14346" width="15.42578125" style="130" customWidth="1"/>
    <col min="14347" max="14347" width="10.42578125" style="130"/>
    <col min="14348" max="14348" width="13.5703125" style="130" customWidth="1"/>
    <col min="14349" max="14594" width="10.42578125" style="130"/>
    <col min="14595" max="14595" width="33.140625" style="130" customWidth="1"/>
    <col min="14596" max="14596" width="10.42578125" style="130"/>
    <col min="14597" max="14597" width="17.42578125" style="130" customWidth="1"/>
    <col min="14598" max="14598" width="15.140625" style="130" customWidth="1"/>
    <col min="14599" max="14599" width="17.140625" style="130" customWidth="1"/>
    <col min="14600" max="14601" width="10.42578125" style="130"/>
    <col min="14602" max="14602" width="15.42578125" style="130" customWidth="1"/>
    <col min="14603" max="14603" width="10.42578125" style="130"/>
    <col min="14604" max="14604" width="13.5703125" style="130" customWidth="1"/>
    <col min="14605" max="14850" width="10.42578125" style="130"/>
    <col min="14851" max="14851" width="33.140625" style="130" customWidth="1"/>
    <col min="14852" max="14852" width="10.42578125" style="130"/>
    <col min="14853" max="14853" width="17.42578125" style="130" customWidth="1"/>
    <col min="14854" max="14854" width="15.140625" style="130" customWidth="1"/>
    <col min="14855" max="14855" width="17.140625" style="130" customWidth="1"/>
    <col min="14856" max="14857" width="10.42578125" style="130"/>
    <col min="14858" max="14858" width="15.42578125" style="130" customWidth="1"/>
    <col min="14859" max="14859" width="10.42578125" style="130"/>
    <col min="14860" max="14860" width="13.5703125" style="130" customWidth="1"/>
    <col min="14861" max="15106" width="10.42578125" style="130"/>
    <col min="15107" max="15107" width="33.140625" style="130" customWidth="1"/>
    <col min="15108" max="15108" width="10.42578125" style="130"/>
    <col min="15109" max="15109" width="17.42578125" style="130" customWidth="1"/>
    <col min="15110" max="15110" width="15.140625" style="130" customWidth="1"/>
    <col min="15111" max="15111" width="17.140625" style="130" customWidth="1"/>
    <col min="15112" max="15113" width="10.42578125" style="130"/>
    <col min="15114" max="15114" width="15.42578125" style="130" customWidth="1"/>
    <col min="15115" max="15115" width="10.42578125" style="130"/>
    <col min="15116" max="15116" width="13.5703125" style="130" customWidth="1"/>
    <col min="15117" max="15362" width="10.42578125" style="130"/>
    <col min="15363" max="15363" width="33.140625" style="130" customWidth="1"/>
    <col min="15364" max="15364" width="10.42578125" style="130"/>
    <col min="15365" max="15365" width="17.42578125" style="130" customWidth="1"/>
    <col min="15366" max="15366" width="15.140625" style="130" customWidth="1"/>
    <col min="15367" max="15367" width="17.140625" style="130" customWidth="1"/>
    <col min="15368" max="15369" width="10.42578125" style="130"/>
    <col min="15370" max="15370" width="15.42578125" style="130" customWidth="1"/>
    <col min="15371" max="15371" width="10.42578125" style="130"/>
    <col min="15372" max="15372" width="13.5703125" style="130" customWidth="1"/>
    <col min="15373" max="15618" width="10.42578125" style="130"/>
    <col min="15619" max="15619" width="33.140625" style="130" customWidth="1"/>
    <col min="15620" max="15620" width="10.42578125" style="130"/>
    <col min="15621" max="15621" width="17.42578125" style="130" customWidth="1"/>
    <col min="15622" max="15622" width="15.140625" style="130" customWidth="1"/>
    <col min="15623" max="15623" width="17.140625" style="130" customWidth="1"/>
    <col min="15624" max="15625" width="10.42578125" style="130"/>
    <col min="15626" max="15626" width="15.42578125" style="130" customWidth="1"/>
    <col min="15627" max="15627" width="10.42578125" style="130"/>
    <col min="15628" max="15628" width="13.5703125" style="130" customWidth="1"/>
    <col min="15629" max="15874" width="10.42578125" style="130"/>
    <col min="15875" max="15875" width="33.140625" style="130" customWidth="1"/>
    <col min="15876" max="15876" width="10.42578125" style="130"/>
    <col min="15877" max="15877" width="17.42578125" style="130" customWidth="1"/>
    <col min="15878" max="15878" width="15.140625" style="130" customWidth="1"/>
    <col min="15879" max="15879" width="17.140625" style="130" customWidth="1"/>
    <col min="15880" max="15881" width="10.42578125" style="130"/>
    <col min="15882" max="15882" width="15.42578125" style="130" customWidth="1"/>
    <col min="15883" max="15883" width="10.42578125" style="130"/>
    <col min="15884" max="15884" width="13.5703125" style="130" customWidth="1"/>
    <col min="15885" max="16130" width="10.42578125" style="130"/>
    <col min="16131" max="16131" width="33.140625" style="130" customWidth="1"/>
    <col min="16132" max="16132" width="10.42578125" style="130"/>
    <col min="16133" max="16133" width="17.42578125" style="130" customWidth="1"/>
    <col min="16134" max="16134" width="15.140625" style="130" customWidth="1"/>
    <col min="16135" max="16135" width="17.140625" style="130" customWidth="1"/>
    <col min="16136" max="16137" width="10.42578125" style="130"/>
    <col min="16138" max="16138" width="15.42578125" style="130" customWidth="1"/>
    <col min="16139" max="16139" width="10.42578125" style="130"/>
    <col min="16140" max="16140" width="13.5703125" style="130" customWidth="1"/>
    <col min="16141" max="16384" width="10.42578125" style="130"/>
  </cols>
  <sheetData>
    <row r="1" spans="2:8" x14ac:dyDescent="0.2">
      <c r="B1" s="1233"/>
      <c r="C1" s="1234"/>
      <c r="D1" s="1233"/>
      <c r="E1" s="803"/>
      <c r="F1" s="801"/>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1235"/>
      <c r="E4" s="1236"/>
      <c r="F4" s="1237"/>
      <c r="G4" s="760"/>
    </row>
    <row r="5" spans="2:8" x14ac:dyDescent="0.2">
      <c r="B5" s="761"/>
      <c r="C5" s="767"/>
      <c r="D5" s="768"/>
      <c r="E5" s="769"/>
      <c r="F5" s="770"/>
      <c r="G5" s="766"/>
    </row>
    <row r="6" spans="2:8" ht="15" x14ac:dyDescent="0.2">
      <c r="B6" s="1238" t="s">
        <v>80</v>
      </c>
      <c r="C6" s="2724" t="s">
        <v>1643</v>
      </c>
      <c r="D6" s="1235"/>
      <c r="E6" s="1236"/>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G51</f>
        <v>0</v>
      </c>
    </row>
    <row r="16" spans="2:8" x14ac:dyDescent="0.2">
      <c r="B16" s="792" t="s">
        <v>12</v>
      </c>
      <c r="C16" s="793" t="s">
        <v>86</v>
      </c>
      <c r="D16" s="794"/>
      <c r="E16" s="795"/>
      <c r="F16" s="796"/>
      <c r="G16" s="797">
        <f>G113</f>
        <v>0</v>
      </c>
    </row>
    <row r="17" spans="2:7" x14ac:dyDescent="0.2">
      <c r="B17" s="792" t="s">
        <v>17</v>
      </c>
      <c r="C17" s="793" t="s">
        <v>87</v>
      </c>
      <c r="D17" s="794"/>
      <c r="E17" s="795"/>
      <c r="F17" s="796"/>
      <c r="G17" s="797">
        <f>G297</f>
        <v>0</v>
      </c>
    </row>
    <row r="18" spans="2:7" x14ac:dyDescent="0.2">
      <c r="B18" s="2830"/>
      <c r="C18" s="2831" t="s">
        <v>88</v>
      </c>
      <c r="D18" s="2832"/>
      <c r="E18" s="2833"/>
      <c r="F18" s="2834"/>
      <c r="G18" s="2844">
        <f>SUM(G15:G17)</f>
        <v>0</v>
      </c>
    </row>
    <row r="19" spans="2:7" x14ac:dyDescent="0.2">
      <c r="B19" s="1141"/>
      <c r="C19" s="1142"/>
      <c r="D19" s="1143"/>
      <c r="E19" s="1144"/>
      <c r="F19" s="1145"/>
      <c r="G19" s="755"/>
    </row>
    <row r="20" spans="2:7" x14ac:dyDescent="0.2">
      <c r="B20" s="750"/>
      <c r="C20" s="751"/>
      <c r="D20" s="752"/>
      <c r="E20" s="753"/>
      <c r="F20" s="754"/>
      <c r="G20" s="1146"/>
    </row>
    <row r="21" spans="2:7" x14ac:dyDescent="0.2">
      <c r="B21" s="2841" t="s">
        <v>83</v>
      </c>
      <c r="C21" s="2842" t="s">
        <v>89</v>
      </c>
      <c r="D21" s="2843" t="s">
        <v>90</v>
      </c>
      <c r="E21" s="2838" t="s">
        <v>91</v>
      </c>
      <c r="F21" s="2839" t="s">
        <v>92</v>
      </c>
      <c r="G21" s="2840" t="s">
        <v>93</v>
      </c>
    </row>
    <row r="22" spans="2:7" x14ac:dyDescent="0.2">
      <c r="B22" s="811"/>
      <c r="C22" s="812"/>
      <c r="D22" s="813"/>
      <c r="E22" s="814"/>
      <c r="F22" s="815"/>
      <c r="G22" s="816"/>
    </row>
    <row r="23" spans="2:7" ht="20.25" x14ac:dyDescent="0.2">
      <c r="B23" s="817" t="s">
        <v>10</v>
      </c>
      <c r="C23" s="818" t="s">
        <v>85</v>
      </c>
      <c r="D23" s="819"/>
      <c r="E23" s="820"/>
      <c r="F23" s="821"/>
      <c r="G23" s="822"/>
    </row>
    <row r="24" spans="2:7" ht="38.25" x14ac:dyDescent="0.2">
      <c r="B24" s="829">
        <v>1.1000000000000001</v>
      </c>
      <c r="C24" s="830" t="s">
        <v>94</v>
      </c>
      <c r="D24" s="831" t="s">
        <v>95</v>
      </c>
      <c r="E24" s="832">
        <v>1710</v>
      </c>
      <c r="F24" s="833">
        <v>0</v>
      </c>
      <c r="G24" s="834">
        <f>E24*F24</f>
        <v>0</v>
      </c>
    </row>
    <row r="25" spans="2:7" x14ac:dyDescent="0.2">
      <c r="B25" s="829"/>
      <c r="C25" s="830"/>
      <c r="D25" s="831"/>
      <c r="E25" s="832"/>
      <c r="F25" s="833"/>
      <c r="G25" s="834"/>
    </row>
    <row r="26" spans="2:7" ht="25.5" x14ac:dyDescent="0.2">
      <c r="B26" s="829">
        <v>1.2</v>
      </c>
      <c r="C26" s="830" t="s">
        <v>96</v>
      </c>
      <c r="D26" s="2521" t="s">
        <v>123</v>
      </c>
      <c r="E26" s="2242">
        <v>60</v>
      </c>
      <c r="F26" s="833">
        <v>0</v>
      </c>
      <c r="G26" s="834">
        <f>E26*F26</f>
        <v>0</v>
      </c>
    </row>
    <row r="27" spans="2:7" x14ac:dyDescent="0.2">
      <c r="B27" s="829"/>
      <c r="C27" s="830"/>
      <c r="D27" s="2521"/>
      <c r="E27" s="2242"/>
      <c r="F27" s="834"/>
      <c r="G27" s="2522"/>
    </row>
    <row r="28" spans="2:7" ht="179.25" customHeight="1" x14ac:dyDescent="0.2">
      <c r="B28" s="829">
        <v>1.3</v>
      </c>
      <c r="C28" s="836" t="s">
        <v>99</v>
      </c>
      <c r="D28" s="2121" t="s">
        <v>123</v>
      </c>
      <c r="E28" s="2242">
        <v>1</v>
      </c>
      <c r="F28" s="833">
        <v>0</v>
      </c>
      <c r="G28" s="834">
        <f>E28*F28</f>
        <v>0</v>
      </c>
    </row>
    <row r="29" spans="2:7" x14ac:dyDescent="0.2">
      <c r="B29" s="829"/>
      <c r="C29" s="1265"/>
      <c r="D29" s="2521"/>
      <c r="E29" s="2242"/>
      <c r="F29" s="834"/>
      <c r="G29" s="2522"/>
    </row>
    <row r="30" spans="2:7" ht="38.25" x14ac:dyDescent="0.2">
      <c r="B30" s="829">
        <v>1.4</v>
      </c>
      <c r="C30" s="887" t="s">
        <v>1644</v>
      </c>
      <c r="D30" s="2521" t="s">
        <v>123</v>
      </c>
      <c r="E30" s="2242">
        <v>60</v>
      </c>
      <c r="F30" s="833">
        <v>0</v>
      </c>
      <c r="G30" s="834">
        <f>E30*F30</f>
        <v>0</v>
      </c>
    </row>
    <row r="31" spans="2:7" x14ac:dyDescent="0.2">
      <c r="B31" s="829"/>
      <c r="C31" s="887"/>
      <c r="D31" s="865"/>
      <c r="E31" s="2242"/>
      <c r="F31" s="834"/>
      <c r="G31" s="2522"/>
    </row>
    <row r="32" spans="2:7" ht="63.75" x14ac:dyDescent="0.2">
      <c r="B32" s="861" t="s">
        <v>653</v>
      </c>
      <c r="C32" s="887" t="s">
        <v>97</v>
      </c>
      <c r="D32" s="2521" t="s">
        <v>98</v>
      </c>
      <c r="E32" s="2242">
        <v>1</v>
      </c>
      <c r="F32" s="833">
        <v>0</v>
      </c>
      <c r="G32" s="834">
        <f>E32*F32</f>
        <v>0</v>
      </c>
    </row>
    <row r="33" spans="2:7" x14ac:dyDescent="0.2">
      <c r="B33" s="861"/>
      <c r="C33" s="887"/>
      <c r="D33" s="2521"/>
      <c r="E33" s="2242"/>
      <c r="F33" s="834"/>
      <c r="G33" s="2522"/>
    </row>
    <row r="34" spans="2:7" ht="25.5" x14ac:dyDescent="0.2">
      <c r="B34" s="861" t="s">
        <v>664</v>
      </c>
      <c r="C34" s="887" t="s">
        <v>1136</v>
      </c>
      <c r="D34" s="865" t="s">
        <v>123</v>
      </c>
      <c r="E34" s="2242">
        <v>1</v>
      </c>
      <c r="F34" s="833">
        <v>0</v>
      </c>
      <c r="G34" s="834">
        <f>E34*F34</f>
        <v>0</v>
      </c>
    </row>
    <row r="35" spans="2:7" x14ac:dyDescent="0.2">
      <c r="B35" s="835"/>
      <c r="C35" s="887"/>
      <c r="D35" s="865"/>
      <c r="E35" s="2242"/>
      <c r="F35" s="834"/>
      <c r="G35" s="2522"/>
    </row>
    <row r="36" spans="2:7" ht="38.25" x14ac:dyDescent="0.2">
      <c r="B36" s="861" t="s">
        <v>678</v>
      </c>
      <c r="C36" s="887" t="s">
        <v>100</v>
      </c>
      <c r="D36" s="865" t="s">
        <v>123</v>
      </c>
      <c r="E36" s="2242">
        <v>1</v>
      </c>
      <c r="F36" s="833">
        <v>0</v>
      </c>
      <c r="G36" s="834">
        <f>E36*F36</f>
        <v>0</v>
      </c>
    </row>
    <row r="37" spans="2:7" x14ac:dyDescent="0.2">
      <c r="B37" s="861"/>
      <c r="C37" s="887"/>
      <c r="D37" s="865"/>
      <c r="E37" s="2242"/>
      <c r="F37" s="834"/>
      <c r="G37" s="2522"/>
    </row>
    <row r="38" spans="2:7" ht="38.25" x14ac:dyDescent="0.2">
      <c r="B38" s="861" t="s">
        <v>688</v>
      </c>
      <c r="C38" s="887" t="s">
        <v>1645</v>
      </c>
      <c r="D38" s="2521" t="s">
        <v>98</v>
      </c>
      <c r="E38" s="2242">
        <v>1</v>
      </c>
      <c r="F38" s="833">
        <v>0</v>
      </c>
      <c r="G38" s="834">
        <f>E38*F38</f>
        <v>0</v>
      </c>
    </row>
    <row r="39" spans="2:7" x14ac:dyDescent="0.2">
      <c r="B39" s="861"/>
      <c r="C39" s="887"/>
      <c r="D39" s="2521"/>
      <c r="E39" s="2242"/>
      <c r="F39" s="834"/>
      <c r="G39" s="2522"/>
    </row>
    <row r="40" spans="2:7" ht="63.75" x14ac:dyDescent="0.2">
      <c r="B40" s="861" t="s">
        <v>1199</v>
      </c>
      <c r="C40" s="887" t="s">
        <v>102</v>
      </c>
      <c r="D40" s="2521" t="s">
        <v>98</v>
      </c>
      <c r="E40" s="2242">
        <v>1</v>
      </c>
      <c r="F40" s="833">
        <v>0</v>
      </c>
      <c r="G40" s="834">
        <f>E40*F40</f>
        <v>0</v>
      </c>
    </row>
    <row r="41" spans="2:7" ht="14.25" customHeight="1" x14ac:dyDescent="0.2">
      <c r="B41" s="861"/>
      <c r="C41" s="887"/>
      <c r="D41" s="2521"/>
      <c r="E41" s="2242"/>
      <c r="F41" s="834"/>
      <c r="G41" s="2522"/>
    </row>
    <row r="42" spans="2:7" ht="41.25" customHeight="1" x14ac:dyDescent="0.2">
      <c r="B42" s="861" t="s">
        <v>1200</v>
      </c>
      <c r="C42" s="3165" t="s">
        <v>2590</v>
      </c>
      <c r="D42" s="865" t="s">
        <v>95</v>
      </c>
      <c r="E42" s="832">
        <v>1710</v>
      </c>
      <c r="F42" s="833">
        <v>0</v>
      </c>
      <c r="G42" s="834">
        <f>E42*F42</f>
        <v>0</v>
      </c>
    </row>
    <row r="43" spans="2:7" ht="11.25" customHeight="1" x14ac:dyDescent="0.2">
      <c r="B43" s="861"/>
      <c r="C43" s="864"/>
      <c r="D43" s="865"/>
      <c r="E43" s="832"/>
      <c r="F43" s="834"/>
      <c r="G43" s="2522"/>
    </row>
    <row r="44" spans="2:7" ht="39" customHeight="1" x14ac:dyDescent="0.2">
      <c r="B44" s="861" t="s">
        <v>1201</v>
      </c>
      <c r="C44" s="3165" t="s">
        <v>2591</v>
      </c>
      <c r="D44" s="865" t="s">
        <v>98</v>
      </c>
      <c r="E44" s="832">
        <v>1</v>
      </c>
      <c r="F44" s="833">
        <v>0</v>
      </c>
      <c r="G44" s="834">
        <f>E44*F44</f>
        <v>0</v>
      </c>
    </row>
    <row r="45" spans="2:7" ht="10.5" customHeight="1" x14ac:dyDescent="0.2">
      <c r="B45" s="861"/>
      <c r="C45" s="864"/>
      <c r="D45" s="865"/>
      <c r="E45" s="832"/>
      <c r="F45" s="834"/>
      <c r="G45" s="2522"/>
    </row>
    <row r="46" spans="2:7" ht="25.5" x14ac:dyDescent="0.2">
      <c r="B46" s="861" t="s">
        <v>1202</v>
      </c>
      <c r="C46" s="864" t="s">
        <v>105</v>
      </c>
      <c r="D46" s="865" t="s">
        <v>98</v>
      </c>
      <c r="E46" s="832">
        <v>1</v>
      </c>
      <c r="F46" s="833">
        <v>0</v>
      </c>
      <c r="G46" s="834">
        <f>E46*F46</f>
        <v>0</v>
      </c>
    </row>
    <row r="47" spans="2:7" x14ac:dyDescent="0.2">
      <c r="B47" s="861"/>
      <c r="C47" s="864"/>
      <c r="D47" s="865"/>
      <c r="E47" s="832"/>
      <c r="F47" s="834"/>
      <c r="G47" s="2522"/>
    </row>
    <row r="48" spans="2:7" ht="51" x14ac:dyDescent="0.2">
      <c r="B48" s="861" t="s">
        <v>1203</v>
      </c>
      <c r="C48" s="1297" t="s">
        <v>106</v>
      </c>
      <c r="D48" s="865" t="s">
        <v>123</v>
      </c>
      <c r="E48" s="2242">
        <v>1</v>
      </c>
      <c r="F48" s="833">
        <v>0</v>
      </c>
      <c r="G48" s="834">
        <f>E48*F48</f>
        <v>0</v>
      </c>
    </row>
    <row r="49" spans="2:10" x14ac:dyDescent="0.2">
      <c r="B49" s="861"/>
      <c r="C49" s="1297"/>
      <c r="D49" s="865"/>
      <c r="E49" s="2242"/>
      <c r="F49" s="2523"/>
      <c r="G49" s="2522"/>
    </row>
    <row r="50" spans="2:10" ht="63.75" x14ac:dyDescent="0.2">
      <c r="B50" s="861" t="s">
        <v>1204</v>
      </c>
      <c r="C50" s="1297" t="s">
        <v>107</v>
      </c>
      <c r="D50" s="865" t="s">
        <v>123</v>
      </c>
      <c r="E50" s="2242">
        <v>1</v>
      </c>
      <c r="F50" s="833">
        <v>0</v>
      </c>
      <c r="G50" s="834">
        <f>E50*F50</f>
        <v>0</v>
      </c>
    </row>
    <row r="51" spans="2:10" x14ac:dyDescent="0.2">
      <c r="B51" s="872" t="s">
        <v>10</v>
      </c>
      <c r="C51" s="873" t="s">
        <v>108</v>
      </c>
      <c r="D51" s="873"/>
      <c r="E51" s="874"/>
      <c r="F51" s="875"/>
      <c r="G51" s="876">
        <f>SUM(G24:G50)</f>
        <v>0</v>
      </c>
    </row>
    <row r="52" spans="2:10" x14ac:dyDescent="0.2">
      <c r="B52" s="1298"/>
      <c r="C52" s="1299"/>
      <c r="D52" s="1300"/>
      <c r="E52" s="1245"/>
      <c r="F52" s="1301"/>
      <c r="G52" s="1247"/>
    </row>
    <row r="55" spans="2:10" x14ac:dyDescent="0.2">
      <c r="E55" s="852"/>
      <c r="F55" s="743"/>
      <c r="G55" s="804"/>
    </row>
    <row r="56" spans="2:10" x14ac:dyDescent="0.2">
      <c r="B56" s="805" t="s">
        <v>83</v>
      </c>
      <c r="C56" s="806" t="s">
        <v>89</v>
      </c>
      <c r="D56" s="807" t="s">
        <v>90</v>
      </c>
      <c r="E56" s="808" t="s">
        <v>91</v>
      </c>
      <c r="F56" s="809" t="s">
        <v>92</v>
      </c>
      <c r="G56" s="810" t="s">
        <v>93</v>
      </c>
    </row>
    <row r="57" spans="2:10" x14ac:dyDescent="0.2">
      <c r="B57" s="811"/>
      <c r="C57" s="877"/>
      <c r="D57" s="878"/>
      <c r="E57" s="814"/>
      <c r="F57" s="815"/>
      <c r="G57" s="816"/>
    </row>
    <row r="58" spans="2:10" ht="20.25" x14ac:dyDescent="0.3">
      <c r="B58" s="817" t="s">
        <v>12</v>
      </c>
      <c r="C58" s="879" t="s">
        <v>109</v>
      </c>
      <c r="D58" s="880"/>
      <c r="E58" s="820"/>
      <c r="F58" s="821"/>
      <c r="G58" s="822"/>
    </row>
    <row r="59" spans="2:10" ht="70.5" customHeight="1" x14ac:dyDescent="0.2">
      <c r="B59" s="3233" t="s">
        <v>110</v>
      </c>
      <c r="C59" s="3234"/>
      <c r="D59" s="3234"/>
      <c r="E59" s="3234"/>
      <c r="F59" s="3234"/>
      <c r="G59" s="3235"/>
    </row>
    <row r="60" spans="2:10" x14ac:dyDescent="0.2">
      <c r="B60" s="1276"/>
      <c r="C60" s="1277"/>
      <c r="D60" s="1240"/>
      <c r="E60" s="838"/>
      <c r="F60" s="844"/>
      <c r="G60" s="839"/>
    </row>
    <row r="61" spans="2:10" x14ac:dyDescent="0.2">
      <c r="B61" s="1276"/>
      <c r="C61" s="1277"/>
      <c r="D61" s="1255"/>
      <c r="E61" s="838"/>
      <c r="F61" s="844"/>
      <c r="G61" s="839"/>
    </row>
    <row r="62" spans="2:10" ht="54" customHeight="1" x14ac:dyDescent="0.2">
      <c r="B62" s="835">
        <v>2.1</v>
      </c>
      <c r="C62" s="887" t="s">
        <v>1602</v>
      </c>
      <c r="D62" s="2521" t="s">
        <v>95</v>
      </c>
      <c r="E62" s="2242">
        <v>160</v>
      </c>
      <c r="F62" s="833">
        <v>0</v>
      </c>
      <c r="G62" s="834">
        <f>E62*F62</f>
        <v>0</v>
      </c>
      <c r="I62" s="923"/>
      <c r="J62" s="1302"/>
    </row>
    <row r="63" spans="2:10" ht="12.75" customHeight="1" x14ac:dyDescent="0.2">
      <c r="B63" s="829"/>
      <c r="C63" s="1253"/>
      <c r="D63" s="2521"/>
      <c r="E63" s="2242"/>
      <c r="F63" s="834"/>
      <c r="G63" s="2522"/>
      <c r="I63" s="923"/>
    </row>
    <row r="64" spans="2:10" ht="51" x14ac:dyDescent="0.2">
      <c r="B64" s="835" t="s">
        <v>1648</v>
      </c>
      <c r="C64" s="887" t="s">
        <v>1562</v>
      </c>
      <c r="D64" s="2521" t="s">
        <v>1207</v>
      </c>
      <c r="E64" s="2242">
        <f>1710*1.4*0.7*0.15</f>
        <v>251.36999999999998</v>
      </c>
      <c r="F64" s="833">
        <v>0</v>
      </c>
      <c r="G64" s="834">
        <f>E64*F64</f>
        <v>0</v>
      </c>
    </row>
    <row r="65" spans="2:12" ht="12.75" customHeight="1" x14ac:dyDescent="0.2">
      <c r="B65" s="829"/>
      <c r="C65" s="1253"/>
      <c r="D65" s="2521"/>
      <c r="E65" s="2242"/>
      <c r="F65" s="834"/>
      <c r="G65" s="2522"/>
    </row>
    <row r="66" spans="2:12" ht="51" x14ac:dyDescent="0.2">
      <c r="B66" s="835" t="s">
        <v>1564</v>
      </c>
      <c r="C66" s="887" t="s">
        <v>1563</v>
      </c>
      <c r="D66" s="865" t="s">
        <v>112</v>
      </c>
      <c r="E66" s="2242">
        <f>1710*1.4*0.7*0.85</f>
        <v>1424.4299999999998</v>
      </c>
      <c r="F66" s="833">
        <v>0</v>
      </c>
      <c r="G66" s="834">
        <f>E66*F66</f>
        <v>0</v>
      </c>
      <c r="I66" s="923"/>
      <c r="J66" s="923"/>
    </row>
    <row r="67" spans="2:12" ht="12.75" customHeight="1" x14ac:dyDescent="0.2">
      <c r="B67" s="829"/>
      <c r="C67" s="887"/>
      <c r="D67" s="865"/>
      <c r="E67" s="2242"/>
      <c r="F67" s="834"/>
      <c r="G67" s="2522"/>
    </row>
    <row r="68" spans="2:12" ht="38.25" x14ac:dyDescent="0.2">
      <c r="B68" s="835" t="s">
        <v>1565</v>
      </c>
      <c r="C68" s="1254" t="s">
        <v>1211</v>
      </c>
      <c r="D68" s="2230" t="s">
        <v>117</v>
      </c>
      <c r="E68" s="2524">
        <f>1710*1.2*2*0.35</f>
        <v>1436.3999999999999</v>
      </c>
      <c r="F68" s="833">
        <v>0</v>
      </c>
      <c r="G68" s="834">
        <f>E68*F68</f>
        <v>0</v>
      </c>
      <c r="I68" s="1278"/>
    </row>
    <row r="69" spans="2:12" x14ac:dyDescent="0.2">
      <c r="B69" s="835"/>
      <c r="C69" s="887"/>
      <c r="D69" s="865"/>
      <c r="E69" s="2242"/>
      <c r="F69" s="834"/>
      <c r="G69" s="2522"/>
    </row>
    <row r="70" spans="2:12" ht="25.5" x14ac:dyDescent="0.2">
      <c r="B70" s="883" t="s">
        <v>1566</v>
      </c>
      <c r="C70" s="887" t="s">
        <v>1212</v>
      </c>
      <c r="D70" s="865" t="s">
        <v>1213</v>
      </c>
      <c r="E70" s="2242">
        <f>1710*0.7</f>
        <v>1197</v>
      </c>
      <c r="F70" s="833">
        <v>0</v>
      </c>
      <c r="G70" s="834">
        <f>E70*F70</f>
        <v>0</v>
      </c>
    </row>
    <row r="71" spans="2:12" x14ac:dyDescent="0.2">
      <c r="B71" s="835"/>
      <c r="C71" s="887"/>
      <c r="D71" s="2521"/>
      <c r="E71" s="2242"/>
      <c r="F71" s="834"/>
      <c r="G71" s="2522"/>
    </row>
    <row r="72" spans="2:12" ht="27.75" customHeight="1" x14ac:dyDescent="0.2">
      <c r="B72" s="835">
        <v>2.6</v>
      </c>
      <c r="C72" s="887" t="s">
        <v>1568</v>
      </c>
      <c r="D72" s="865" t="s">
        <v>1207</v>
      </c>
      <c r="E72" s="2242">
        <v>837.9</v>
      </c>
      <c r="F72" s="833">
        <v>0</v>
      </c>
      <c r="G72" s="834">
        <f>E72*F72</f>
        <v>0</v>
      </c>
      <c r="J72" s="1303"/>
    </row>
    <row r="73" spans="2:12" x14ac:dyDescent="0.2">
      <c r="B73" s="835"/>
      <c r="C73" s="887"/>
      <c r="D73" s="865"/>
      <c r="E73" s="2242"/>
      <c r="F73" s="834"/>
      <c r="G73" s="2522"/>
      <c r="L73" s="1257"/>
    </row>
    <row r="74" spans="2:12" ht="27.75" customHeight="1" x14ac:dyDescent="0.2">
      <c r="B74" s="835" t="s">
        <v>1569</v>
      </c>
      <c r="C74" s="887" t="s">
        <v>1217</v>
      </c>
      <c r="D74" s="865" t="s">
        <v>1207</v>
      </c>
      <c r="E74" s="2242">
        <f>1710*0.7*0.3</f>
        <v>359.09999999999997</v>
      </c>
      <c r="F74" s="833">
        <v>0</v>
      </c>
      <c r="G74" s="834">
        <f>E74*F74</f>
        <v>0</v>
      </c>
    </row>
    <row r="75" spans="2:12" x14ac:dyDescent="0.2">
      <c r="B75" s="835"/>
      <c r="C75" s="887"/>
      <c r="D75" s="865"/>
      <c r="E75" s="2242"/>
      <c r="F75" s="834"/>
      <c r="G75" s="2522"/>
    </row>
    <row r="76" spans="2:12" ht="63.75" x14ac:dyDescent="0.2">
      <c r="B76" s="835" t="s">
        <v>1570</v>
      </c>
      <c r="C76" s="890" t="s">
        <v>1278</v>
      </c>
      <c r="D76" s="2100" t="s">
        <v>1219</v>
      </c>
      <c r="E76" s="2242">
        <f>1710*0.4*0.7</f>
        <v>478.79999999999995</v>
      </c>
      <c r="F76" s="833">
        <v>0</v>
      </c>
      <c r="G76" s="834">
        <f>E76*F76</f>
        <v>0</v>
      </c>
      <c r="K76" s="1303"/>
    </row>
    <row r="77" spans="2:12" x14ac:dyDescent="0.2">
      <c r="B77" s="835"/>
      <c r="C77" s="887"/>
      <c r="D77" s="865"/>
      <c r="E77" s="2242"/>
      <c r="F77" s="834"/>
      <c r="G77" s="2522"/>
    </row>
    <row r="78" spans="2:12" ht="25.5" x14ac:dyDescent="0.2">
      <c r="B78" s="835" t="s">
        <v>1571</v>
      </c>
      <c r="C78" s="887" t="s">
        <v>1225</v>
      </c>
      <c r="D78" s="865" t="s">
        <v>1226</v>
      </c>
      <c r="E78" s="2244">
        <v>483</v>
      </c>
      <c r="F78" s="833">
        <v>0</v>
      </c>
      <c r="G78" s="834">
        <f>E78*F78</f>
        <v>0</v>
      </c>
    </row>
    <row r="79" spans="2:12" x14ac:dyDescent="0.2">
      <c r="B79" s="835"/>
      <c r="C79" s="887"/>
      <c r="D79" s="865"/>
      <c r="E79" s="2242"/>
      <c r="F79" s="834"/>
      <c r="G79" s="2522"/>
    </row>
    <row r="80" spans="2:12" ht="25.5" x14ac:dyDescent="0.2">
      <c r="B80" s="835" t="s">
        <v>1572</v>
      </c>
      <c r="C80" s="887" t="s">
        <v>1228</v>
      </c>
      <c r="D80" s="2521" t="s">
        <v>1213</v>
      </c>
      <c r="E80" s="2242">
        <f>400*0.7</f>
        <v>280</v>
      </c>
      <c r="F80" s="833">
        <v>0</v>
      </c>
      <c r="G80" s="834">
        <f>E80*F80</f>
        <v>0</v>
      </c>
    </row>
    <row r="81" spans="2:7" x14ac:dyDescent="0.2">
      <c r="B81" s="835"/>
      <c r="C81" s="835"/>
      <c r="D81" s="2525"/>
      <c r="E81" s="2242"/>
      <c r="F81" s="834"/>
      <c r="G81" s="2522"/>
    </row>
    <row r="82" spans="2:7" ht="76.5" x14ac:dyDescent="0.2">
      <c r="B82" s="861" t="s">
        <v>1222</v>
      </c>
      <c r="C82" s="1253" t="s">
        <v>1573</v>
      </c>
      <c r="D82" s="2521" t="s">
        <v>1213</v>
      </c>
      <c r="E82" s="2242">
        <f>E80</f>
        <v>280</v>
      </c>
      <c r="F82" s="833">
        <v>0</v>
      </c>
      <c r="G82" s="834">
        <f>E82*F82</f>
        <v>0</v>
      </c>
    </row>
    <row r="83" spans="2:7" x14ac:dyDescent="0.2">
      <c r="B83" s="829"/>
      <c r="C83" s="835"/>
      <c r="D83" s="2525"/>
      <c r="E83" s="2242"/>
      <c r="F83" s="834"/>
      <c r="G83" s="2522"/>
    </row>
    <row r="84" spans="2:7" ht="41.25" customHeight="1" x14ac:dyDescent="0.2">
      <c r="B84" s="861" t="s">
        <v>1224</v>
      </c>
      <c r="C84" s="887" t="s">
        <v>1574</v>
      </c>
      <c r="D84" s="865" t="s">
        <v>1213</v>
      </c>
      <c r="E84" s="2242">
        <f>E82</f>
        <v>280</v>
      </c>
      <c r="F84" s="833">
        <v>0</v>
      </c>
      <c r="G84" s="834">
        <f>E84*F84</f>
        <v>0</v>
      </c>
    </row>
    <row r="85" spans="2:7" x14ac:dyDescent="0.2">
      <c r="B85" s="829"/>
      <c r="C85" s="887"/>
      <c r="D85" s="865"/>
      <c r="E85" s="2242"/>
      <c r="F85" s="834"/>
      <c r="G85" s="2522"/>
    </row>
    <row r="86" spans="2:7" ht="63.75" x14ac:dyDescent="0.2">
      <c r="B86" s="861" t="s">
        <v>1227</v>
      </c>
      <c r="C86" s="887" t="s">
        <v>1575</v>
      </c>
      <c r="D86" s="2521" t="s">
        <v>1213</v>
      </c>
      <c r="E86" s="2242">
        <f>E84*0.4</f>
        <v>112</v>
      </c>
      <c r="F86" s="833">
        <v>0</v>
      </c>
      <c r="G86" s="834">
        <f>E86*F86</f>
        <v>0</v>
      </c>
    </row>
    <row r="87" spans="2:7" x14ac:dyDescent="0.2">
      <c r="B87" s="835"/>
      <c r="C87" s="835"/>
      <c r="D87" s="2525"/>
      <c r="E87" s="2242"/>
      <c r="F87" s="834"/>
      <c r="G87" s="2522"/>
    </row>
    <row r="88" spans="2:7" ht="63.75" x14ac:dyDescent="0.2">
      <c r="B88" s="861" t="s">
        <v>1229</v>
      </c>
      <c r="C88" s="887" t="s">
        <v>1576</v>
      </c>
      <c r="D88" s="865" t="s">
        <v>1213</v>
      </c>
      <c r="E88" s="2242">
        <f>E84+E86</f>
        <v>392</v>
      </c>
      <c r="F88" s="833">
        <v>0</v>
      </c>
      <c r="G88" s="834">
        <f>E88*F88</f>
        <v>0</v>
      </c>
    </row>
    <row r="89" spans="2:7" x14ac:dyDescent="0.2">
      <c r="B89" s="829"/>
      <c r="C89" s="887"/>
      <c r="D89" s="2521"/>
      <c r="E89" s="2242"/>
      <c r="F89" s="834"/>
      <c r="G89" s="2522"/>
    </row>
    <row r="90" spans="2:7" x14ac:dyDescent="0.2">
      <c r="B90" s="861" t="s">
        <v>1231</v>
      </c>
      <c r="C90" s="887" t="s">
        <v>1577</v>
      </c>
      <c r="D90" s="865" t="s">
        <v>112</v>
      </c>
      <c r="E90" s="2242">
        <f>E64+E66-E72</f>
        <v>837.89999999999975</v>
      </c>
      <c r="F90" s="833">
        <v>0</v>
      </c>
      <c r="G90" s="834">
        <f>E90*F90</f>
        <v>0</v>
      </c>
    </row>
    <row r="91" spans="2:7" x14ac:dyDescent="0.2">
      <c r="B91" s="835"/>
      <c r="C91" s="887"/>
      <c r="D91" s="865"/>
      <c r="E91" s="2242"/>
      <c r="F91" s="834"/>
      <c r="G91" s="2522"/>
    </row>
    <row r="92" spans="2:7" ht="25.5" x14ac:dyDescent="0.2">
      <c r="B92" s="861" t="s">
        <v>1233</v>
      </c>
      <c r="C92" s="887" t="s">
        <v>1223</v>
      </c>
      <c r="D92" s="865" t="s">
        <v>112</v>
      </c>
      <c r="E92" s="2242">
        <f>E90</f>
        <v>837.89999999999975</v>
      </c>
      <c r="F92" s="833">
        <v>0</v>
      </c>
      <c r="G92" s="834">
        <f>E92*F92</f>
        <v>0</v>
      </c>
    </row>
    <row r="93" spans="2:7" x14ac:dyDescent="0.2">
      <c r="B93" s="835"/>
      <c r="C93" s="887"/>
      <c r="D93" s="865"/>
      <c r="E93" s="2242"/>
      <c r="F93" s="834"/>
      <c r="G93" s="2522"/>
    </row>
    <row r="94" spans="2:7" ht="25.5" x14ac:dyDescent="0.2">
      <c r="B94" s="861" t="s">
        <v>1235</v>
      </c>
      <c r="C94" s="887" t="s">
        <v>1578</v>
      </c>
      <c r="D94" s="865" t="s">
        <v>137</v>
      </c>
      <c r="E94" s="2242">
        <f>E88*0.2</f>
        <v>78.400000000000006</v>
      </c>
      <c r="F94" s="833">
        <v>0</v>
      </c>
      <c r="G94" s="834">
        <f>E94*F94</f>
        <v>0</v>
      </c>
    </row>
    <row r="95" spans="2:7" x14ac:dyDescent="0.2">
      <c r="B95" s="835"/>
      <c r="C95" s="887"/>
      <c r="D95" s="865"/>
      <c r="E95" s="2242"/>
      <c r="F95" s="834"/>
      <c r="G95" s="2522"/>
    </row>
    <row r="96" spans="2:7" ht="38.25" x14ac:dyDescent="0.2">
      <c r="B96" s="861" t="s">
        <v>1237</v>
      </c>
      <c r="C96" s="887" t="s">
        <v>1236</v>
      </c>
      <c r="D96" s="2521" t="s">
        <v>117</v>
      </c>
      <c r="E96" s="2242">
        <f>768*0.75</f>
        <v>576</v>
      </c>
      <c r="F96" s="833">
        <v>0</v>
      </c>
      <c r="G96" s="834">
        <f>E96*F96</f>
        <v>0</v>
      </c>
    </row>
    <row r="97" spans="2:7" x14ac:dyDescent="0.2">
      <c r="B97" s="835"/>
      <c r="C97" s="887"/>
      <c r="D97" s="2124"/>
      <c r="E97" s="2242"/>
      <c r="F97" s="834"/>
      <c r="G97" s="2522"/>
    </row>
    <row r="98" spans="2:7" ht="72.75" customHeight="1" x14ac:dyDescent="0.2">
      <c r="B98" s="861" t="s">
        <v>1239</v>
      </c>
      <c r="C98" s="911" t="s">
        <v>139</v>
      </c>
      <c r="D98" s="912"/>
      <c r="E98" s="913"/>
      <c r="F98" s="914"/>
      <c r="G98" s="915"/>
    </row>
    <row r="99" spans="2:7" ht="14.25" customHeight="1" x14ac:dyDescent="0.2">
      <c r="B99" s="892"/>
      <c r="C99" s="916" t="s">
        <v>1579</v>
      </c>
      <c r="D99" s="912" t="s">
        <v>95</v>
      </c>
      <c r="E99" s="913">
        <v>8</v>
      </c>
      <c r="F99" s="833">
        <v>0</v>
      </c>
      <c r="G99" s="834">
        <f>E99*F99</f>
        <v>0</v>
      </c>
    </row>
    <row r="100" spans="2:7" ht="14.25" customHeight="1" x14ac:dyDescent="0.2">
      <c r="B100" s="1304"/>
      <c r="C100" s="916"/>
      <c r="D100" s="912"/>
      <c r="E100" s="913"/>
      <c r="F100" s="914"/>
      <c r="G100" s="915"/>
    </row>
    <row r="101" spans="2:7" ht="72.75" customHeight="1" x14ac:dyDescent="0.2">
      <c r="B101" s="1304" t="s">
        <v>1241</v>
      </c>
      <c r="C101" s="911" t="s">
        <v>309</v>
      </c>
      <c r="D101" s="912"/>
      <c r="E101" s="913"/>
      <c r="F101" s="914"/>
      <c r="G101" s="915"/>
    </row>
    <row r="102" spans="2:7" ht="12.75" customHeight="1" x14ac:dyDescent="0.2">
      <c r="B102" s="1305"/>
      <c r="C102" s="916" t="s">
        <v>1579</v>
      </c>
      <c r="D102" s="912" t="s">
        <v>95</v>
      </c>
      <c r="E102" s="913">
        <v>23</v>
      </c>
      <c r="F102" s="833">
        <v>0</v>
      </c>
      <c r="G102" s="834">
        <f>E102*F102</f>
        <v>0</v>
      </c>
    </row>
    <row r="103" spans="2:7" ht="14.25" customHeight="1" x14ac:dyDescent="0.2">
      <c r="B103" s="1306"/>
      <c r="C103" s="916" t="s">
        <v>1580</v>
      </c>
      <c r="D103" s="912" t="s">
        <v>95</v>
      </c>
      <c r="E103" s="913">
        <f>24+19</f>
        <v>43</v>
      </c>
      <c r="F103" s="833">
        <v>0</v>
      </c>
      <c r="G103" s="834">
        <f>E103*F103</f>
        <v>0</v>
      </c>
    </row>
    <row r="104" spans="2:7" x14ac:dyDescent="0.2">
      <c r="B104" s="1305"/>
      <c r="C104" s="887"/>
      <c r="D104" s="2124"/>
      <c r="E104" s="2242"/>
      <c r="F104" s="834"/>
      <c r="G104" s="2522"/>
    </row>
    <row r="105" spans="2:7" ht="76.5" x14ac:dyDescent="0.2">
      <c r="B105" s="1306">
        <v>2.21</v>
      </c>
      <c r="C105" s="917" t="s">
        <v>1649</v>
      </c>
      <c r="D105" s="2235" t="s">
        <v>123</v>
      </c>
      <c r="E105" s="2526">
        <v>1</v>
      </c>
      <c r="F105" s="833">
        <v>0</v>
      </c>
      <c r="G105" s="834">
        <f>E105*F105</f>
        <v>0</v>
      </c>
    </row>
    <row r="106" spans="2:7" x14ac:dyDescent="0.2">
      <c r="B106" s="892"/>
      <c r="C106" s="887"/>
      <c r="D106" s="2124"/>
      <c r="E106" s="2242"/>
      <c r="F106" s="834"/>
      <c r="G106" s="2522"/>
    </row>
    <row r="107" spans="2:7" ht="37.5" customHeight="1" x14ac:dyDescent="0.2">
      <c r="B107" s="861" t="s">
        <v>1284</v>
      </c>
      <c r="C107" s="917" t="s">
        <v>151</v>
      </c>
      <c r="D107" s="2235" t="s">
        <v>112</v>
      </c>
      <c r="E107" s="2527">
        <v>8</v>
      </c>
      <c r="F107" s="833">
        <v>0</v>
      </c>
      <c r="G107" s="834">
        <f>E107*F107</f>
        <v>0</v>
      </c>
    </row>
    <row r="108" spans="2:7" ht="14.25" customHeight="1" x14ac:dyDescent="0.2">
      <c r="B108" s="892"/>
      <c r="C108" s="887"/>
      <c r="D108" s="2521"/>
      <c r="E108" s="2242"/>
      <c r="F108" s="834"/>
      <c r="G108" s="2522"/>
    </row>
    <row r="109" spans="2:7" ht="57" customHeight="1" x14ac:dyDescent="0.2">
      <c r="B109" s="861" t="s">
        <v>1285</v>
      </c>
      <c r="C109" s="922" t="s">
        <v>152</v>
      </c>
      <c r="D109" s="2235" t="s">
        <v>149</v>
      </c>
      <c r="E109" s="2526">
        <v>15</v>
      </c>
      <c r="F109" s="833">
        <v>0</v>
      </c>
      <c r="G109" s="834">
        <f>E109*F109</f>
        <v>0</v>
      </c>
    </row>
    <row r="110" spans="2:7" ht="11.25" customHeight="1" x14ac:dyDescent="0.2">
      <c r="B110" s="861"/>
      <c r="C110" s="922"/>
      <c r="D110" s="2235"/>
      <c r="E110" s="2526"/>
      <c r="F110" s="2448"/>
      <c r="G110" s="2522"/>
    </row>
    <row r="111" spans="2:7" ht="57" customHeight="1" x14ac:dyDescent="0.2">
      <c r="B111" s="861" t="s">
        <v>1286</v>
      </c>
      <c r="C111" s="924" t="s">
        <v>153</v>
      </c>
      <c r="D111" s="925" t="s">
        <v>112</v>
      </c>
      <c r="E111" s="926">
        <v>15</v>
      </c>
      <c r="F111" s="833">
        <v>0</v>
      </c>
      <c r="G111" s="834">
        <f>E111*F111</f>
        <v>0</v>
      </c>
    </row>
    <row r="112" spans="2:7" x14ac:dyDescent="0.2">
      <c r="B112" s="861"/>
      <c r="C112" s="1258"/>
      <c r="D112" s="1259"/>
      <c r="E112" s="1260"/>
      <c r="F112" s="1261"/>
      <c r="G112" s="1262"/>
    </row>
    <row r="113" spans="2:10" x14ac:dyDescent="0.2">
      <c r="B113" s="872" t="s">
        <v>12</v>
      </c>
      <c r="C113" s="873" t="s">
        <v>157</v>
      </c>
      <c r="D113" s="872"/>
      <c r="E113" s="874"/>
      <c r="F113" s="875"/>
      <c r="G113" s="876">
        <f>SUM(G62:G111)</f>
        <v>0</v>
      </c>
    </row>
    <row r="116" spans="2:10" x14ac:dyDescent="0.2">
      <c r="B116" s="805" t="s">
        <v>83</v>
      </c>
      <c r="C116" s="806" t="s">
        <v>89</v>
      </c>
      <c r="D116" s="806" t="s">
        <v>90</v>
      </c>
      <c r="E116" s="808" t="s">
        <v>91</v>
      </c>
      <c r="F116" s="809" t="s">
        <v>92</v>
      </c>
      <c r="G116" s="810" t="s">
        <v>93</v>
      </c>
    </row>
    <row r="117" spans="2:10" x14ac:dyDescent="0.2">
      <c r="B117" s="811"/>
      <c r="C117" s="812"/>
      <c r="D117" s="878"/>
      <c r="E117" s="814"/>
      <c r="F117" s="815"/>
      <c r="G117" s="816"/>
    </row>
    <row r="118" spans="2:10" ht="20.25" x14ac:dyDescent="0.2">
      <c r="B118" s="930" t="s">
        <v>17</v>
      </c>
      <c r="C118" s="931" t="s">
        <v>158</v>
      </c>
      <c r="D118" s="880"/>
      <c r="E118" s="820"/>
      <c r="F118" s="821"/>
      <c r="G118" s="822"/>
    </row>
    <row r="119" spans="2:10" x14ac:dyDescent="0.2">
      <c r="B119" s="2865" t="s">
        <v>1</v>
      </c>
      <c r="C119" s="2866"/>
      <c r="D119" s="2867"/>
      <c r="E119" s="2867"/>
      <c r="F119" s="2867"/>
      <c r="G119" s="2868"/>
    </row>
    <row r="120" spans="2:10" x14ac:dyDescent="0.2">
      <c r="B120" s="2869" t="s">
        <v>2</v>
      </c>
      <c r="C120" s="2870"/>
      <c r="D120" s="2871"/>
      <c r="E120" s="2872"/>
      <c r="F120" s="2872"/>
      <c r="G120" s="2871"/>
    </row>
    <row r="121" spans="2:10" x14ac:dyDescent="0.2">
      <c r="B121" s="2865" t="s">
        <v>3</v>
      </c>
      <c r="C121" s="2866"/>
      <c r="D121" s="2867"/>
      <c r="E121" s="2867"/>
      <c r="F121" s="2867"/>
      <c r="G121" s="2868"/>
    </row>
    <row r="122" spans="2:10" x14ac:dyDescent="0.2">
      <c r="B122" s="2869" t="s">
        <v>4</v>
      </c>
      <c r="C122" s="2870"/>
      <c r="D122" s="2872"/>
      <c r="E122" s="2872"/>
      <c r="F122" s="2872"/>
      <c r="G122" s="2871"/>
    </row>
    <row r="123" spans="2:10" x14ac:dyDescent="0.2">
      <c r="B123" s="3233" t="s">
        <v>159</v>
      </c>
      <c r="C123" s="3234"/>
      <c r="D123" s="3234"/>
      <c r="E123" s="3234"/>
      <c r="F123" s="3234"/>
      <c r="G123" s="3235"/>
    </row>
    <row r="124" spans="2:10" x14ac:dyDescent="0.2">
      <c r="B124" s="3233" t="s">
        <v>160</v>
      </c>
      <c r="C124" s="3234"/>
      <c r="D124" s="3234"/>
      <c r="E124" s="3234"/>
      <c r="F124" s="3234"/>
      <c r="G124" s="3235"/>
    </row>
    <row r="125" spans="2:10" x14ac:dyDescent="0.2">
      <c r="B125" s="3233" t="s">
        <v>161</v>
      </c>
      <c r="C125" s="3234"/>
      <c r="D125" s="3234"/>
      <c r="E125" s="3234"/>
      <c r="F125" s="3234"/>
      <c r="G125" s="3235"/>
    </row>
    <row r="126" spans="2:10" x14ac:dyDescent="0.2">
      <c r="B126" s="1248"/>
      <c r="C126" s="1307"/>
      <c r="D126" s="1308"/>
      <c r="E126" s="1250"/>
      <c r="F126" s="1251"/>
      <c r="G126" s="1252"/>
      <c r="J126" s="1302"/>
    </row>
    <row r="127" spans="2:10" ht="38.25" x14ac:dyDescent="0.2">
      <c r="B127" s="829">
        <v>1</v>
      </c>
      <c r="C127" s="932" t="s">
        <v>162</v>
      </c>
      <c r="D127" s="2508"/>
      <c r="E127" s="2528"/>
      <c r="F127" s="2450"/>
      <c r="G127" s="2529"/>
    </row>
    <row r="128" spans="2:10" ht="25.5" x14ac:dyDescent="0.2">
      <c r="B128" s="829"/>
      <c r="C128" s="941" t="s">
        <v>1287</v>
      </c>
      <c r="D128" s="937" t="s">
        <v>95</v>
      </c>
      <c r="E128" s="832">
        <v>1031</v>
      </c>
      <c r="F128" s="833">
        <v>0</v>
      </c>
      <c r="G128" s="834">
        <f>E128*F128</f>
        <v>0</v>
      </c>
    </row>
    <row r="129" spans="2:12" ht="38.25" x14ac:dyDescent="0.2">
      <c r="B129" s="829"/>
      <c r="C129" s="941" t="s">
        <v>1288</v>
      </c>
      <c r="D129" s="937" t="s">
        <v>95</v>
      </c>
      <c r="E129" s="832">
        <v>114</v>
      </c>
      <c r="F129" s="833">
        <v>0</v>
      </c>
      <c r="G129" s="834">
        <f>E129*F129</f>
        <v>0</v>
      </c>
      <c r="I129" s="1309"/>
      <c r="J129" s="1263"/>
      <c r="K129" s="1302"/>
      <c r="L129" s="1264"/>
    </row>
    <row r="130" spans="2:12" ht="25.5" x14ac:dyDescent="0.2">
      <c r="B130" s="829"/>
      <c r="C130" s="941" t="s">
        <v>1289</v>
      </c>
      <c r="D130" s="937" t="s">
        <v>95</v>
      </c>
      <c r="E130" s="832">
        <v>508</v>
      </c>
      <c r="F130" s="833">
        <v>0</v>
      </c>
      <c r="G130" s="834">
        <f t="shared" ref="G130:G135" si="0">E130*F130</f>
        <v>0</v>
      </c>
    </row>
    <row r="131" spans="2:12" ht="38.25" x14ac:dyDescent="0.2">
      <c r="B131" s="829"/>
      <c r="C131" s="941" t="s">
        <v>1290</v>
      </c>
      <c r="D131" s="937" t="s">
        <v>95</v>
      </c>
      <c r="E131" s="832">
        <v>57</v>
      </c>
      <c r="F131" s="833">
        <v>0</v>
      </c>
      <c r="G131" s="834">
        <f t="shared" si="0"/>
        <v>0</v>
      </c>
      <c r="K131" s="1302"/>
    </row>
    <row r="132" spans="2:12" ht="66" customHeight="1" x14ac:dyDescent="0.2">
      <c r="B132" s="945">
        <v>2</v>
      </c>
      <c r="C132" s="946" t="s">
        <v>172</v>
      </c>
      <c r="D132" s="2727" t="s">
        <v>95</v>
      </c>
      <c r="E132" s="947">
        <v>1710</v>
      </c>
      <c r="F132" s="833">
        <v>0</v>
      </c>
      <c r="G132" s="834">
        <f t="shared" si="0"/>
        <v>0</v>
      </c>
      <c r="H132" s="1205"/>
    </row>
    <row r="133" spans="2:12" ht="46.5" customHeight="1" x14ac:dyDescent="0.2">
      <c r="B133" s="948" t="s">
        <v>173</v>
      </c>
      <c r="C133" s="946" t="s">
        <v>174</v>
      </c>
      <c r="D133" s="2727" t="s">
        <v>95</v>
      </c>
      <c r="E133" s="947">
        <v>1710</v>
      </c>
      <c r="F133" s="833">
        <v>0</v>
      </c>
      <c r="G133" s="834">
        <f t="shared" si="0"/>
        <v>0</v>
      </c>
      <c r="H133" s="1205"/>
    </row>
    <row r="134" spans="2:12" ht="31.5" customHeight="1" x14ac:dyDescent="0.2">
      <c r="B134" s="948" t="s">
        <v>175</v>
      </c>
      <c r="C134" s="946" t="s">
        <v>176</v>
      </c>
      <c r="D134" s="2727" t="s">
        <v>95</v>
      </c>
      <c r="E134" s="947">
        <v>1710</v>
      </c>
      <c r="F134" s="833">
        <v>0</v>
      </c>
      <c r="G134" s="834">
        <f t="shared" si="0"/>
        <v>0</v>
      </c>
      <c r="H134" s="1205"/>
      <c r="J134" s="1310"/>
    </row>
    <row r="135" spans="2:12" ht="66.75" customHeight="1" x14ac:dyDescent="0.2">
      <c r="B135" s="948" t="s">
        <v>177</v>
      </c>
      <c r="C135" s="946" t="s">
        <v>178</v>
      </c>
      <c r="D135" s="2727" t="s">
        <v>95</v>
      </c>
      <c r="E135" s="947">
        <v>1710</v>
      </c>
      <c r="F135" s="833">
        <v>0</v>
      </c>
      <c r="G135" s="834">
        <f t="shared" si="0"/>
        <v>0</v>
      </c>
      <c r="H135" s="1205"/>
      <c r="J135" s="1302"/>
      <c r="L135" s="1302"/>
    </row>
    <row r="136" spans="2:12" x14ac:dyDescent="0.2">
      <c r="B136" s="829"/>
      <c r="C136" s="1265"/>
      <c r="D136" s="2525"/>
      <c r="E136" s="2242"/>
      <c r="F136" s="834"/>
      <c r="G136" s="2522"/>
    </row>
    <row r="137" spans="2:12" x14ac:dyDescent="0.2">
      <c r="B137" s="2061" t="s">
        <v>1249</v>
      </c>
      <c r="C137" s="2412" t="s">
        <v>1650</v>
      </c>
      <c r="D137" s="2427"/>
      <c r="E137" s="2530"/>
      <c r="F137" s="2531"/>
      <c r="G137" s="2067"/>
    </row>
    <row r="138" spans="2:12" ht="25.5" x14ac:dyDescent="0.2">
      <c r="B138" s="2061"/>
      <c r="C138" s="2408" t="s">
        <v>1097</v>
      </c>
      <c r="D138" s="2068" t="s">
        <v>149</v>
      </c>
      <c r="E138" s="2069">
        <v>1</v>
      </c>
      <c r="F138" s="2066">
        <v>0</v>
      </c>
      <c r="G138" s="2067">
        <f t="shared" ref="G138:G143" si="1">E138*F138</f>
        <v>0</v>
      </c>
    </row>
    <row r="139" spans="2:12" x14ac:dyDescent="0.2">
      <c r="B139" s="2061"/>
      <c r="C139" s="2410" t="s">
        <v>354</v>
      </c>
      <c r="D139" s="2068" t="s">
        <v>149</v>
      </c>
      <c r="E139" s="2069">
        <v>2</v>
      </c>
      <c r="F139" s="2066">
        <v>0</v>
      </c>
      <c r="G139" s="2067">
        <f t="shared" si="1"/>
        <v>0</v>
      </c>
    </row>
    <row r="140" spans="2:12" ht="25.5" x14ac:dyDescent="0.2">
      <c r="B140" s="2061"/>
      <c r="C140" s="2410" t="s">
        <v>195</v>
      </c>
      <c r="D140" s="2068" t="s">
        <v>149</v>
      </c>
      <c r="E140" s="2069">
        <v>1</v>
      </c>
      <c r="F140" s="2066">
        <v>0</v>
      </c>
      <c r="G140" s="2067">
        <f t="shared" si="1"/>
        <v>0</v>
      </c>
    </row>
    <row r="141" spans="2:12" ht="25.5" x14ac:dyDescent="0.2">
      <c r="B141" s="2061"/>
      <c r="C141" s="2410" t="s">
        <v>1292</v>
      </c>
      <c r="D141" s="2068" t="s">
        <v>149</v>
      </c>
      <c r="E141" s="2069">
        <v>1</v>
      </c>
      <c r="F141" s="2066">
        <v>0</v>
      </c>
      <c r="G141" s="2067">
        <f t="shared" si="1"/>
        <v>0</v>
      </c>
    </row>
    <row r="142" spans="2:12" ht="25.5" x14ac:dyDescent="0.2">
      <c r="B142" s="2061"/>
      <c r="C142" s="2410" t="s">
        <v>227</v>
      </c>
      <c r="D142" s="2068" t="s">
        <v>149</v>
      </c>
      <c r="E142" s="2069">
        <v>1</v>
      </c>
      <c r="F142" s="2066">
        <v>0</v>
      </c>
      <c r="G142" s="2067">
        <f t="shared" si="1"/>
        <v>0</v>
      </c>
    </row>
    <row r="143" spans="2:12" ht="25.5" x14ac:dyDescent="0.2">
      <c r="B143" s="2061"/>
      <c r="C143" s="2411" t="s">
        <v>1196</v>
      </c>
      <c r="D143" s="2068" t="s">
        <v>149</v>
      </c>
      <c r="E143" s="2069">
        <v>1</v>
      </c>
      <c r="F143" s="2066">
        <v>0</v>
      </c>
      <c r="G143" s="2067">
        <f t="shared" si="1"/>
        <v>0</v>
      </c>
    </row>
    <row r="144" spans="2:12" x14ac:dyDescent="0.2">
      <c r="B144" s="950"/>
      <c r="C144" s="955"/>
      <c r="D144" s="2515"/>
      <c r="E144" s="2532"/>
      <c r="F144" s="2453"/>
      <c r="G144" s="2453"/>
    </row>
    <row r="145" spans="2:8" x14ac:dyDescent="0.2">
      <c r="B145" s="950" t="s">
        <v>1253</v>
      </c>
      <c r="C145" s="2413" t="s">
        <v>1651</v>
      </c>
      <c r="D145" s="2533"/>
      <c r="E145" s="2534"/>
      <c r="F145" s="971"/>
      <c r="G145" s="2522"/>
    </row>
    <row r="146" spans="2:8" s="136" customFormat="1" x14ac:dyDescent="0.2">
      <c r="B146" s="135"/>
      <c r="C146" s="267" t="s">
        <v>256</v>
      </c>
      <c r="D146" s="231" t="s">
        <v>149</v>
      </c>
      <c r="E146" s="265">
        <v>4</v>
      </c>
      <c r="F146" s="2433">
        <v>0</v>
      </c>
      <c r="G146" s="2434">
        <f t="shared" ref="G146:G171" si="2">E146*F146</f>
        <v>0</v>
      </c>
      <c r="H146" s="2426"/>
    </row>
    <row r="147" spans="2:8" s="136" customFormat="1" ht="24" x14ac:dyDescent="0.2">
      <c r="B147" s="135"/>
      <c r="C147" s="267" t="s">
        <v>208</v>
      </c>
      <c r="D147" s="231" t="s">
        <v>149</v>
      </c>
      <c r="E147" s="265">
        <v>2</v>
      </c>
      <c r="F147" s="2433">
        <v>0</v>
      </c>
      <c r="G147" s="2434">
        <f t="shared" si="2"/>
        <v>0</v>
      </c>
      <c r="H147" s="2426"/>
    </row>
    <row r="148" spans="2:8" s="136" customFormat="1" x14ac:dyDescent="0.2">
      <c r="B148" s="135"/>
      <c r="C148" s="267" t="s">
        <v>257</v>
      </c>
      <c r="D148" s="231" t="s">
        <v>149</v>
      </c>
      <c r="E148" s="265">
        <v>2</v>
      </c>
      <c r="F148" s="2433">
        <v>0</v>
      </c>
      <c r="G148" s="2434">
        <f t="shared" si="2"/>
        <v>0</v>
      </c>
      <c r="H148" s="2426"/>
    </row>
    <row r="149" spans="2:8" s="136" customFormat="1" ht="25.5" customHeight="1" x14ac:dyDescent="0.2">
      <c r="B149" s="135"/>
      <c r="C149" s="267" t="s">
        <v>273</v>
      </c>
      <c r="D149" s="231" t="s">
        <v>149</v>
      </c>
      <c r="E149" s="265">
        <v>2</v>
      </c>
      <c r="F149" s="2433">
        <v>0</v>
      </c>
      <c r="G149" s="2434">
        <f t="shared" si="2"/>
        <v>0</v>
      </c>
      <c r="H149" s="2426"/>
    </row>
    <row r="150" spans="2:8" s="136" customFormat="1" ht="28.5" customHeight="1" x14ac:dyDescent="0.2">
      <c r="B150" s="135"/>
      <c r="C150" s="267" t="s">
        <v>274</v>
      </c>
      <c r="D150" s="231" t="s">
        <v>149</v>
      </c>
      <c r="E150" s="265">
        <v>2</v>
      </c>
      <c r="F150" s="2433">
        <v>0</v>
      </c>
      <c r="G150" s="2434">
        <f t="shared" si="2"/>
        <v>0</v>
      </c>
      <c r="H150" s="2426"/>
    </row>
    <row r="151" spans="2:8" s="136" customFormat="1" ht="24.75" customHeight="1" x14ac:dyDescent="0.2">
      <c r="B151" s="135"/>
      <c r="C151" s="267" t="s">
        <v>275</v>
      </c>
      <c r="D151" s="231" t="s">
        <v>149</v>
      </c>
      <c r="E151" s="265">
        <v>1</v>
      </c>
      <c r="F151" s="2433">
        <v>0</v>
      </c>
      <c r="G151" s="2434">
        <f t="shared" si="2"/>
        <v>0</v>
      </c>
      <c r="H151" s="2426"/>
    </row>
    <row r="152" spans="2:8" s="136" customFormat="1" ht="12" customHeight="1" x14ac:dyDescent="0.2">
      <c r="B152" s="135"/>
      <c r="C152" s="268" t="s">
        <v>276</v>
      </c>
      <c r="D152" s="231" t="s">
        <v>149</v>
      </c>
      <c r="E152" s="265">
        <v>2</v>
      </c>
      <c r="F152" s="2433">
        <v>0</v>
      </c>
      <c r="G152" s="2434">
        <f t="shared" si="2"/>
        <v>0</v>
      </c>
      <c r="H152" s="2426"/>
    </row>
    <row r="153" spans="2:8" s="136" customFormat="1" ht="12.75" customHeight="1" x14ac:dyDescent="0.2">
      <c r="B153" s="135"/>
      <c r="C153" s="268" t="s">
        <v>277</v>
      </c>
      <c r="D153" s="231" t="s">
        <v>149</v>
      </c>
      <c r="E153" s="265">
        <v>1</v>
      </c>
      <c r="F153" s="2433">
        <v>0</v>
      </c>
      <c r="G153" s="2434">
        <f t="shared" si="2"/>
        <v>0</v>
      </c>
      <c r="H153" s="2426"/>
    </row>
    <row r="154" spans="2:8" s="136" customFormat="1" ht="12.75" customHeight="1" x14ac:dyDescent="0.2">
      <c r="B154" s="135"/>
      <c r="C154" s="268" t="s">
        <v>278</v>
      </c>
      <c r="D154" s="231" t="s">
        <v>149</v>
      </c>
      <c r="E154" s="265">
        <v>1</v>
      </c>
      <c r="F154" s="2433">
        <v>0</v>
      </c>
      <c r="G154" s="2434">
        <f t="shared" si="2"/>
        <v>0</v>
      </c>
      <c r="H154" s="2426"/>
    </row>
    <row r="155" spans="2:8" s="136" customFormat="1" x14ac:dyDescent="0.2">
      <c r="B155" s="135"/>
      <c r="C155" s="268" t="s">
        <v>262</v>
      </c>
      <c r="D155" s="231" t="s">
        <v>149</v>
      </c>
      <c r="E155" s="265">
        <v>1</v>
      </c>
      <c r="F155" s="2433">
        <v>0</v>
      </c>
      <c r="G155" s="2434">
        <f t="shared" si="2"/>
        <v>0</v>
      </c>
      <c r="H155" s="2426"/>
    </row>
    <row r="156" spans="2:8" s="136" customFormat="1" ht="26.25" customHeight="1" x14ac:dyDescent="0.2">
      <c r="B156" s="135"/>
      <c r="C156" s="268" t="s">
        <v>279</v>
      </c>
      <c r="D156" s="231" t="s">
        <v>149</v>
      </c>
      <c r="E156" s="265">
        <v>1</v>
      </c>
      <c r="F156" s="2433">
        <v>0</v>
      </c>
      <c r="G156" s="2434">
        <f t="shared" si="2"/>
        <v>0</v>
      </c>
      <c r="H156" s="2426"/>
    </row>
    <row r="157" spans="2:8" s="136" customFormat="1" ht="26.25" customHeight="1" x14ac:dyDescent="0.2">
      <c r="B157" s="135"/>
      <c r="C157" s="268" t="s">
        <v>280</v>
      </c>
      <c r="D157" s="231" t="s">
        <v>149</v>
      </c>
      <c r="E157" s="265">
        <v>1</v>
      </c>
      <c r="F157" s="2433">
        <v>0</v>
      </c>
      <c r="G157" s="2434">
        <f t="shared" si="2"/>
        <v>0</v>
      </c>
      <c r="H157" s="2426"/>
    </row>
    <row r="158" spans="2:8" s="136" customFormat="1" ht="29.25" customHeight="1" x14ac:dyDescent="0.2">
      <c r="B158" s="135"/>
      <c r="C158" s="268" t="s">
        <v>281</v>
      </c>
      <c r="D158" s="231" t="s">
        <v>149</v>
      </c>
      <c r="E158" s="265">
        <v>1</v>
      </c>
      <c r="F158" s="2433">
        <v>0</v>
      </c>
      <c r="G158" s="2434">
        <f t="shared" si="2"/>
        <v>0</v>
      </c>
      <c r="H158" s="2426"/>
    </row>
    <row r="159" spans="2:8" s="136" customFormat="1" ht="15" customHeight="1" x14ac:dyDescent="0.2">
      <c r="B159" s="135"/>
      <c r="C159" s="268" t="s">
        <v>282</v>
      </c>
      <c r="D159" s="231" t="s">
        <v>149</v>
      </c>
      <c r="E159" s="265">
        <v>1</v>
      </c>
      <c r="F159" s="2433">
        <v>0</v>
      </c>
      <c r="G159" s="2434">
        <f t="shared" si="2"/>
        <v>0</v>
      </c>
      <c r="H159" s="2426"/>
    </row>
    <row r="160" spans="2:8" s="136" customFormat="1" ht="18.75" customHeight="1" x14ac:dyDescent="0.2">
      <c r="B160" s="135"/>
      <c r="C160" s="2435" t="s">
        <v>283</v>
      </c>
      <c r="D160" s="231" t="s">
        <v>149</v>
      </c>
      <c r="E160" s="265">
        <v>2</v>
      </c>
      <c r="F160" s="2433">
        <v>0</v>
      </c>
      <c r="G160" s="2434">
        <f t="shared" si="2"/>
        <v>0</v>
      </c>
      <c r="H160" s="2426"/>
    </row>
    <row r="161" spans="2:8" s="136" customFormat="1" ht="66" customHeight="1" x14ac:dyDescent="0.2">
      <c r="B161" s="135"/>
      <c r="C161" s="2435" t="s">
        <v>284</v>
      </c>
      <c r="D161" s="231" t="s">
        <v>149</v>
      </c>
      <c r="E161" s="265">
        <v>1</v>
      </c>
      <c r="F161" s="2433">
        <v>0</v>
      </c>
      <c r="G161" s="2434">
        <f t="shared" si="2"/>
        <v>0</v>
      </c>
      <c r="H161" s="2426"/>
    </row>
    <row r="162" spans="2:8" s="136" customFormat="1" ht="51" customHeight="1" x14ac:dyDescent="0.2">
      <c r="B162" s="135"/>
      <c r="C162" s="268" t="s">
        <v>285</v>
      </c>
      <c r="D162" s="231" t="s">
        <v>149</v>
      </c>
      <c r="E162" s="265">
        <v>1</v>
      </c>
      <c r="F162" s="2433">
        <v>0</v>
      </c>
      <c r="G162" s="2434">
        <f t="shared" si="2"/>
        <v>0</v>
      </c>
      <c r="H162" s="2426"/>
    </row>
    <row r="163" spans="2:8" s="136" customFormat="1" x14ac:dyDescent="0.2">
      <c r="B163" s="135"/>
      <c r="C163" s="267" t="s">
        <v>191</v>
      </c>
      <c r="D163" s="231" t="s">
        <v>149</v>
      </c>
      <c r="E163" s="265">
        <v>2</v>
      </c>
      <c r="F163" s="2433">
        <v>0</v>
      </c>
      <c r="G163" s="2434">
        <f t="shared" si="2"/>
        <v>0</v>
      </c>
      <c r="H163" s="2426"/>
    </row>
    <row r="164" spans="2:8" s="136" customFormat="1" x14ac:dyDescent="0.2">
      <c r="B164" s="135"/>
      <c r="C164" s="268" t="s">
        <v>193</v>
      </c>
      <c r="D164" s="231" t="s">
        <v>149</v>
      </c>
      <c r="E164" s="265">
        <v>1</v>
      </c>
      <c r="F164" s="2433">
        <v>0</v>
      </c>
      <c r="G164" s="2434">
        <f t="shared" si="2"/>
        <v>0</v>
      </c>
      <c r="H164" s="2426"/>
    </row>
    <row r="165" spans="2:8" s="136" customFormat="1" x14ac:dyDescent="0.2">
      <c r="B165" s="135"/>
      <c r="C165" s="268" t="s">
        <v>194</v>
      </c>
      <c r="D165" s="231" t="s">
        <v>149</v>
      </c>
      <c r="E165" s="265">
        <v>1</v>
      </c>
      <c r="F165" s="2433">
        <v>0</v>
      </c>
      <c r="G165" s="2434">
        <f t="shared" si="2"/>
        <v>0</v>
      </c>
      <c r="H165" s="2426"/>
    </row>
    <row r="166" spans="2:8" s="136" customFormat="1" x14ac:dyDescent="0.2">
      <c r="B166" s="135"/>
      <c r="C166" s="267" t="s">
        <v>286</v>
      </c>
      <c r="D166" s="231" t="s">
        <v>149</v>
      </c>
      <c r="E166" s="265">
        <v>1</v>
      </c>
      <c r="F166" s="2433">
        <v>0</v>
      </c>
      <c r="G166" s="2434">
        <f t="shared" si="2"/>
        <v>0</v>
      </c>
      <c r="H166" s="2426"/>
    </row>
    <row r="167" spans="2:8" s="136" customFormat="1" ht="29.25" customHeight="1" x14ac:dyDescent="0.2">
      <c r="B167" s="135"/>
      <c r="C167" s="2435" t="s">
        <v>195</v>
      </c>
      <c r="D167" s="231" t="s">
        <v>149</v>
      </c>
      <c r="E167" s="265">
        <v>6</v>
      </c>
      <c r="F167" s="2433">
        <v>0</v>
      </c>
      <c r="G167" s="2434">
        <f t="shared" si="2"/>
        <v>0</v>
      </c>
      <c r="H167" s="2426"/>
    </row>
    <row r="168" spans="2:8" s="136" customFormat="1" ht="15" customHeight="1" x14ac:dyDescent="0.2">
      <c r="B168" s="135"/>
      <c r="C168" s="2435" t="s">
        <v>218</v>
      </c>
      <c r="D168" s="231" t="s">
        <v>149</v>
      </c>
      <c r="E168" s="265">
        <v>6</v>
      </c>
      <c r="F168" s="2433">
        <v>0</v>
      </c>
      <c r="G168" s="2434">
        <f t="shared" si="2"/>
        <v>0</v>
      </c>
      <c r="H168" s="2426"/>
    </row>
    <row r="169" spans="2:8" s="136" customFormat="1" ht="24" x14ac:dyDescent="0.2">
      <c r="B169" s="135"/>
      <c r="C169" s="2435" t="s">
        <v>227</v>
      </c>
      <c r="D169" s="231" t="s">
        <v>149</v>
      </c>
      <c r="E169" s="265">
        <v>2</v>
      </c>
      <c r="F169" s="2433">
        <v>0</v>
      </c>
      <c r="G169" s="2434">
        <f t="shared" si="2"/>
        <v>0</v>
      </c>
      <c r="H169" s="2426"/>
    </row>
    <row r="170" spans="2:8" s="136" customFormat="1" ht="24" x14ac:dyDescent="0.2">
      <c r="B170" s="135"/>
      <c r="C170" s="2435" t="s">
        <v>197</v>
      </c>
      <c r="D170" s="231" t="s">
        <v>149</v>
      </c>
      <c r="E170" s="265">
        <v>1</v>
      </c>
      <c r="F170" s="2433">
        <v>0</v>
      </c>
      <c r="G170" s="2434">
        <f t="shared" si="2"/>
        <v>0</v>
      </c>
      <c r="H170" s="2426"/>
    </row>
    <row r="171" spans="2:8" s="136" customFormat="1" ht="24" x14ac:dyDescent="0.2">
      <c r="B171" s="135"/>
      <c r="C171" s="2436" t="s">
        <v>198</v>
      </c>
      <c r="D171" s="231" t="s">
        <v>149</v>
      </c>
      <c r="E171" s="265">
        <v>1</v>
      </c>
      <c r="F171" s="2433">
        <v>0</v>
      </c>
      <c r="G171" s="2434">
        <f t="shared" si="2"/>
        <v>0</v>
      </c>
      <c r="H171" s="2426"/>
    </row>
    <row r="172" spans="2:8" x14ac:dyDescent="0.2">
      <c r="B172" s="950"/>
      <c r="C172" s="955"/>
      <c r="D172" s="2515"/>
      <c r="E172" s="2532"/>
      <c r="F172" s="2453"/>
      <c r="G172" s="2453"/>
    </row>
    <row r="173" spans="2:8" x14ac:dyDescent="0.2">
      <c r="B173" s="2061" t="s">
        <v>1256</v>
      </c>
      <c r="C173" s="2412" t="s">
        <v>1652</v>
      </c>
      <c r="D173" s="2427"/>
      <c r="E173" s="2530"/>
      <c r="F173" s="2531"/>
      <c r="G173" s="2067"/>
    </row>
    <row r="174" spans="2:8" x14ac:dyDescent="0.2">
      <c r="B174" s="2061"/>
      <c r="C174" s="2408" t="s">
        <v>207</v>
      </c>
      <c r="D174" s="2068" t="s">
        <v>149</v>
      </c>
      <c r="E174" s="2069">
        <v>2</v>
      </c>
      <c r="F174" s="2066">
        <v>0</v>
      </c>
      <c r="G174" s="2067">
        <f t="shared" ref="G174" si="3">E174*F174</f>
        <v>0</v>
      </c>
    </row>
    <row r="175" spans="2:8" ht="38.25" x14ac:dyDescent="0.2">
      <c r="B175" s="2061"/>
      <c r="C175" s="2409" t="s">
        <v>223</v>
      </c>
      <c r="D175" s="2068" t="s">
        <v>149</v>
      </c>
      <c r="E175" s="2069">
        <v>2</v>
      </c>
      <c r="F175" s="2066">
        <v>0</v>
      </c>
      <c r="G175" s="2067">
        <f t="shared" ref="G175:G184" si="4">E175*F175</f>
        <v>0</v>
      </c>
    </row>
    <row r="176" spans="2:8" ht="25.5" x14ac:dyDescent="0.2">
      <c r="B176" s="2061"/>
      <c r="C176" s="2409" t="s">
        <v>213</v>
      </c>
      <c r="D176" s="2068" t="s">
        <v>149</v>
      </c>
      <c r="E176" s="2069">
        <v>2</v>
      </c>
      <c r="F176" s="2066">
        <v>0</v>
      </c>
      <c r="G176" s="2067">
        <f t="shared" si="4"/>
        <v>0</v>
      </c>
    </row>
    <row r="177" spans="2:7" x14ac:dyDescent="0.2">
      <c r="B177" s="2061"/>
      <c r="C177" s="2409" t="s">
        <v>224</v>
      </c>
      <c r="D177" s="2068" t="s">
        <v>149</v>
      </c>
      <c r="E177" s="2069">
        <v>2</v>
      </c>
      <c r="F177" s="2066">
        <v>0</v>
      </c>
      <c r="G177" s="2067">
        <f t="shared" si="4"/>
        <v>0</v>
      </c>
    </row>
    <row r="178" spans="2:7" x14ac:dyDescent="0.2">
      <c r="B178" s="2061"/>
      <c r="C178" s="2409" t="s">
        <v>225</v>
      </c>
      <c r="D178" s="2068" t="s">
        <v>149</v>
      </c>
      <c r="E178" s="2069">
        <v>2</v>
      </c>
      <c r="F178" s="2066">
        <v>0</v>
      </c>
      <c r="G178" s="2067">
        <f t="shared" si="4"/>
        <v>0</v>
      </c>
    </row>
    <row r="179" spans="2:7" x14ac:dyDescent="0.2">
      <c r="B179" s="2061"/>
      <c r="C179" s="2410" t="s">
        <v>226</v>
      </c>
      <c r="D179" s="2068" t="s">
        <v>149</v>
      </c>
      <c r="E179" s="2069">
        <v>2</v>
      </c>
      <c r="F179" s="2066">
        <v>0</v>
      </c>
      <c r="G179" s="2067">
        <f t="shared" si="4"/>
        <v>0</v>
      </c>
    </row>
    <row r="180" spans="2:7" x14ac:dyDescent="0.2">
      <c r="B180" s="2061"/>
      <c r="C180" s="2410" t="s">
        <v>217</v>
      </c>
      <c r="D180" s="2068" t="s">
        <v>149</v>
      </c>
      <c r="E180" s="2069">
        <v>2</v>
      </c>
      <c r="F180" s="2066">
        <v>0</v>
      </c>
      <c r="G180" s="2067">
        <f t="shared" si="4"/>
        <v>0</v>
      </c>
    </row>
    <row r="181" spans="2:7" ht="25.5" x14ac:dyDescent="0.2">
      <c r="B181" s="2061"/>
      <c r="C181" s="2410" t="s">
        <v>195</v>
      </c>
      <c r="D181" s="2068" t="s">
        <v>149</v>
      </c>
      <c r="E181" s="2069">
        <v>4</v>
      </c>
      <c r="F181" s="2066">
        <v>0</v>
      </c>
      <c r="G181" s="2067">
        <f t="shared" si="4"/>
        <v>0</v>
      </c>
    </row>
    <row r="182" spans="2:7" ht="25.5" x14ac:dyDescent="0.2">
      <c r="B182" s="2061"/>
      <c r="C182" s="2410" t="s">
        <v>1292</v>
      </c>
      <c r="D182" s="2068" t="s">
        <v>149</v>
      </c>
      <c r="E182" s="2069">
        <v>4</v>
      </c>
      <c r="F182" s="2066">
        <v>0</v>
      </c>
      <c r="G182" s="2067">
        <f t="shared" si="4"/>
        <v>0</v>
      </c>
    </row>
    <row r="183" spans="2:7" ht="25.5" x14ac:dyDescent="0.2">
      <c r="B183" s="2061"/>
      <c r="C183" s="2410" t="s">
        <v>227</v>
      </c>
      <c r="D183" s="2068" t="s">
        <v>149</v>
      </c>
      <c r="E183" s="2069">
        <v>2</v>
      </c>
      <c r="F183" s="2066">
        <v>0</v>
      </c>
      <c r="G183" s="2067">
        <f t="shared" si="4"/>
        <v>0</v>
      </c>
    </row>
    <row r="184" spans="2:7" ht="25.5" x14ac:dyDescent="0.2">
      <c r="B184" s="2061"/>
      <c r="C184" s="2411" t="s">
        <v>1196</v>
      </c>
      <c r="D184" s="2068" t="s">
        <v>149</v>
      </c>
      <c r="E184" s="2069">
        <v>2</v>
      </c>
      <c r="F184" s="2066">
        <v>0</v>
      </c>
      <c r="G184" s="2067">
        <f t="shared" si="4"/>
        <v>0</v>
      </c>
    </row>
    <row r="185" spans="2:7" x14ac:dyDescent="0.2">
      <c r="B185" s="950"/>
      <c r="C185" s="955"/>
      <c r="D185" s="2515"/>
      <c r="E185" s="2532"/>
      <c r="F185" s="2453"/>
      <c r="G185" s="2453"/>
    </row>
    <row r="186" spans="2:7" x14ac:dyDescent="0.2">
      <c r="B186" s="2061" t="s">
        <v>1259</v>
      </c>
      <c r="C186" s="2414" t="s">
        <v>1653</v>
      </c>
      <c r="D186" s="2427"/>
      <c r="E186" s="2535"/>
      <c r="F186" s="2536"/>
      <c r="G186" s="2537"/>
    </row>
    <row r="187" spans="2:7" x14ac:dyDescent="0.2">
      <c r="B187" s="2061"/>
      <c r="C187" s="2408" t="s">
        <v>207</v>
      </c>
      <c r="D187" s="2068" t="s">
        <v>149</v>
      </c>
      <c r="E187" s="2069">
        <v>3</v>
      </c>
      <c r="F187" s="2066">
        <v>0</v>
      </c>
      <c r="G187" s="2067">
        <f t="shared" ref="G187:G194" si="5">E187*F187</f>
        <v>0</v>
      </c>
    </row>
    <row r="188" spans="2:7" ht="51" x14ac:dyDescent="0.2">
      <c r="B188" s="2061"/>
      <c r="C188" s="2409" t="s">
        <v>192</v>
      </c>
      <c r="D188" s="2068" t="s">
        <v>149</v>
      </c>
      <c r="E188" s="2069">
        <v>3</v>
      </c>
      <c r="F188" s="2066">
        <v>0</v>
      </c>
      <c r="G188" s="2067">
        <f t="shared" si="5"/>
        <v>0</v>
      </c>
    </row>
    <row r="189" spans="2:7" x14ac:dyDescent="0.2">
      <c r="B189" s="2061"/>
      <c r="C189" s="2409" t="s">
        <v>193</v>
      </c>
      <c r="D189" s="2068" t="s">
        <v>149</v>
      </c>
      <c r="E189" s="2069">
        <v>3</v>
      </c>
      <c r="F189" s="2066">
        <v>0</v>
      </c>
      <c r="G189" s="2067">
        <f t="shared" si="5"/>
        <v>0</v>
      </c>
    </row>
    <row r="190" spans="2:7" x14ac:dyDescent="0.2">
      <c r="B190" s="2061"/>
      <c r="C190" s="2409" t="s">
        <v>194</v>
      </c>
      <c r="D190" s="2068" t="s">
        <v>149</v>
      </c>
      <c r="E190" s="2069">
        <v>3</v>
      </c>
      <c r="F190" s="2066">
        <v>0</v>
      </c>
      <c r="G190" s="2067">
        <f t="shared" si="5"/>
        <v>0</v>
      </c>
    </row>
    <row r="191" spans="2:7" ht="25.5" x14ac:dyDescent="0.2">
      <c r="B191" s="2061"/>
      <c r="C191" s="2409" t="s">
        <v>235</v>
      </c>
      <c r="D191" s="2068" t="s">
        <v>149</v>
      </c>
      <c r="E191" s="2069">
        <v>6</v>
      </c>
      <c r="F191" s="2066">
        <v>0</v>
      </c>
      <c r="G191" s="2067">
        <f t="shared" si="5"/>
        <v>0</v>
      </c>
    </row>
    <row r="192" spans="2:7" ht="25.5" x14ac:dyDescent="0.2">
      <c r="B192" s="2061"/>
      <c r="C192" s="2409" t="s">
        <v>1307</v>
      </c>
      <c r="D192" s="2068" t="s">
        <v>149</v>
      </c>
      <c r="E192" s="2069">
        <v>6</v>
      </c>
      <c r="F192" s="2066">
        <v>0</v>
      </c>
      <c r="G192" s="2067">
        <f t="shared" si="5"/>
        <v>0</v>
      </c>
    </row>
    <row r="193" spans="2:7" ht="25.5" x14ac:dyDescent="0.2">
      <c r="B193" s="2061"/>
      <c r="C193" s="2409" t="s">
        <v>197</v>
      </c>
      <c r="D193" s="2068" t="s">
        <v>149</v>
      </c>
      <c r="E193" s="2069">
        <v>3</v>
      </c>
      <c r="F193" s="2066">
        <v>0</v>
      </c>
      <c r="G193" s="2067">
        <f t="shared" si="5"/>
        <v>0</v>
      </c>
    </row>
    <row r="194" spans="2:7" ht="25.5" x14ac:dyDescent="0.2">
      <c r="B194" s="2061"/>
      <c r="C194" s="2409" t="s">
        <v>1196</v>
      </c>
      <c r="D194" s="2068" t="s">
        <v>149</v>
      </c>
      <c r="E194" s="2069">
        <v>3</v>
      </c>
      <c r="F194" s="2066">
        <v>0</v>
      </c>
      <c r="G194" s="2067">
        <f t="shared" si="5"/>
        <v>0</v>
      </c>
    </row>
    <row r="195" spans="2:7" x14ac:dyDescent="0.2">
      <c r="B195" s="950"/>
      <c r="C195" s="955"/>
      <c r="D195" s="2515"/>
      <c r="E195" s="2532"/>
      <c r="F195" s="2453"/>
      <c r="G195" s="2453"/>
    </row>
    <row r="196" spans="2:7" x14ac:dyDescent="0.2">
      <c r="B196" s="2061" t="s">
        <v>1261</v>
      </c>
      <c r="C196" s="2414" t="s">
        <v>1654</v>
      </c>
      <c r="D196" s="2427"/>
      <c r="E196" s="2535"/>
      <c r="F196" s="2536"/>
      <c r="G196" s="2537"/>
    </row>
    <row r="197" spans="2:7" x14ac:dyDescent="0.2">
      <c r="B197" s="2061"/>
      <c r="C197" s="2408" t="s">
        <v>207</v>
      </c>
      <c r="D197" s="2068" t="s">
        <v>149</v>
      </c>
      <c r="E197" s="2069">
        <v>2</v>
      </c>
      <c r="F197" s="2066">
        <v>0</v>
      </c>
      <c r="G197" s="2067">
        <f t="shared" ref="G197:G212" si="6">E197*F197</f>
        <v>0</v>
      </c>
    </row>
    <row r="198" spans="2:7" ht="25.5" x14ac:dyDescent="0.2">
      <c r="B198" s="2061"/>
      <c r="C198" s="2408" t="s">
        <v>208</v>
      </c>
      <c r="D198" s="2068" t="s">
        <v>149</v>
      </c>
      <c r="E198" s="2069">
        <v>4</v>
      </c>
      <c r="F198" s="2066">
        <v>0</v>
      </c>
      <c r="G198" s="2067">
        <f t="shared" si="6"/>
        <v>0</v>
      </c>
    </row>
    <row r="199" spans="2:7" ht="25.5" x14ac:dyDescent="0.2">
      <c r="B199" s="2061"/>
      <c r="C199" s="2409" t="s">
        <v>843</v>
      </c>
      <c r="D199" s="2068" t="s">
        <v>149</v>
      </c>
      <c r="E199" s="2069">
        <v>2</v>
      </c>
      <c r="F199" s="2066">
        <v>0</v>
      </c>
      <c r="G199" s="2067">
        <f t="shared" si="6"/>
        <v>0</v>
      </c>
    </row>
    <row r="200" spans="2:7" x14ac:dyDescent="0.2">
      <c r="B200" s="2061"/>
      <c r="C200" s="2409" t="s">
        <v>210</v>
      </c>
      <c r="D200" s="2068" t="s">
        <v>149</v>
      </c>
      <c r="E200" s="2069">
        <v>2</v>
      </c>
      <c r="F200" s="2066">
        <v>0</v>
      </c>
      <c r="G200" s="2067">
        <f t="shared" si="6"/>
        <v>0</v>
      </c>
    </row>
    <row r="201" spans="2:7" x14ac:dyDescent="0.2">
      <c r="B201" s="2061"/>
      <c r="C201" s="2409" t="s">
        <v>211</v>
      </c>
      <c r="D201" s="2068" t="s">
        <v>149</v>
      </c>
      <c r="E201" s="2069">
        <v>2</v>
      </c>
      <c r="F201" s="2066">
        <v>0</v>
      </c>
      <c r="G201" s="2067">
        <f t="shared" si="6"/>
        <v>0</v>
      </c>
    </row>
    <row r="202" spans="2:7" x14ac:dyDescent="0.2">
      <c r="B202" s="2061"/>
      <c r="C202" s="2409" t="s">
        <v>212</v>
      </c>
      <c r="D202" s="2068" t="s">
        <v>149</v>
      </c>
      <c r="E202" s="2069">
        <v>2</v>
      </c>
      <c r="F202" s="2066">
        <v>0</v>
      </c>
      <c r="G202" s="2067">
        <f t="shared" si="6"/>
        <v>0</v>
      </c>
    </row>
    <row r="203" spans="2:7" x14ac:dyDescent="0.2">
      <c r="B203" s="2061"/>
      <c r="C203" s="2409" t="s">
        <v>1104</v>
      </c>
      <c r="D203" s="2068" t="s">
        <v>149</v>
      </c>
      <c r="E203" s="2069">
        <v>2</v>
      </c>
      <c r="F203" s="2066">
        <v>0</v>
      </c>
      <c r="G203" s="2067">
        <f t="shared" si="6"/>
        <v>0</v>
      </c>
    </row>
    <row r="204" spans="2:7" x14ac:dyDescent="0.2">
      <c r="B204" s="2061"/>
      <c r="C204" s="2409" t="s">
        <v>214</v>
      </c>
      <c r="D204" s="2068" t="s">
        <v>149</v>
      </c>
      <c r="E204" s="2069">
        <v>2</v>
      </c>
      <c r="F204" s="2066">
        <v>0</v>
      </c>
      <c r="G204" s="2067">
        <f t="shared" si="6"/>
        <v>0</v>
      </c>
    </row>
    <row r="205" spans="2:7" x14ac:dyDescent="0.2">
      <c r="B205" s="2061"/>
      <c r="C205" s="2409" t="s">
        <v>215</v>
      </c>
      <c r="D205" s="2068" t="s">
        <v>149</v>
      </c>
      <c r="E205" s="2069">
        <v>2</v>
      </c>
      <c r="F205" s="2066">
        <v>0</v>
      </c>
      <c r="G205" s="2067">
        <f t="shared" si="6"/>
        <v>0</v>
      </c>
    </row>
    <row r="206" spans="2:7" x14ac:dyDescent="0.2">
      <c r="B206" s="2061"/>
      <c r="C206" s="2410" t="s">
        <v>216</v>
      </c>
      <c r="D206" s="2068" t="s">
        <v>149</v>
      </c>
      <c r="E206" s="2069">
        <v>2</v>
      </c>
      <c r="F206" s="2066">
        <v>0</v>
      </c>
      <c r="G206" s="2067">
        <f t="shared" si="6"/>
        <v>0</v>
      </c>
    </row>
    <row r="207" spans="2:7" x14ac:dyDescent="0.2">
      <c r="B207" s="2061"/>
      <c r="C207" s="2410" t="s">
        <v>329</v>
      </c>
      <c r="D207" s="2068" t="s">
        <v>149</v>
      </c>
      <c r="E207" s="2069">
        <v>2</v>
      </c>
      <c r="F207" s="2066">
        <v>0</v>
      </c>
      <c r="G207" s="2067">
        <f t="shared" si="6"/>
        <v>0</v>
      </c>
    </row>
    <row r="208" spans="2:7" ht="25.5" x14ac:dyDescent="0.2">
      <c r="B208" s="2061"/>
      <c r="C208" s="2410" t="s">
        <v>235</v>
      </c>
      <c r="D208" s="2068" t="s">
        <v>149</v>
      </c>
      <c r="E208" s="2069">
        <v>4</v>
      </c>
      <c r="F208" s="2066">
        <v>0</v>
      </c>
      <c r="G208" s="2067">
        <f t="shared" si="6"/>
        <v>0</v>
      </c>
    </row>
    <row r="209" spans="2:7" ht="25.5" x14ac:dyDescent="0.2">
      <c r="B209" s="2061"/>
      <c r="C209" s="2410" t="s">
        <v>1294</v>
      </c>
      <c r="D209" s="2068" t="s">
        <v>149</v>
      </c>
      <c r="E209" s="2069">
        <v>4</v>
      </c>
      <c r="F209" s="2066">
        <v>0</v>
      </c>
      <c r="G209" s="2067">
        <f t="shared" si="6"/>
        <v>0</v>
      </c>
    </row>
    <row r="210" spans="2:7" ht="25.5" x14ac:dyDescent="0.2">
      <c r="B210" s="2061"/>
      <c r="C210" s="2410" t="s">
        <v>219</v>
      </c>
      <c r="D210" s="2068" t="s">
        <v>149</v>
      </c>
      <c r="E210" s="2069">
        <v>2</v>
      </c>
      <c r="F210" s="2066">
        <v>0</v>
      </c>
      <c r="G210" s="2067">
        <f t="shared" si="6"/>
        <v>0</v>
      </c>
    </row>
    <row r="211" spans="2:7" ht="25.5" x14ac:dyDescent="0.2">
      <c r="B211" s="2061"/>
      <c r="C211" s="2410" t="s">
        <v>227</v>
      </c>
      <c r="D211" s="2068" t="s">
        <v>149</v>
      </c>
      <c r="E211" s="2069">
        <v>6</v>
      </c>
      <c r="F211" s="2066">
        <v>0</v>
      </c>
      <c r="G211" s="2067">
        <f t="shared" si="6"/>
        <v>0</v>
      </c>
    </row>
    <row r="212" spans="2:7" ht="25.5" x14ac:dyDescent="0.2">
      <c r="B212" s="2061"/>
      <c r="C212" s="2411" t="s">
        <v>1196</v>
      </c>
      <c r="D212" s="2068" t="s">
        <v>149</v>
      </c>
      <c r="E212" s="2069">
        <v>2</v>
      </c>
      <c r="F212" s="2066">
        <v>0</v>
      </c>
      <c r="G212" s="2067">
        <f t="shared" si="6"/>
        <v>0</v>
      </c>
    </row>
    <row r="213" spans="2:7" x14ac:dyDescent="0.2">
      <c r="B213" s="950"/>
      <c r="C213" s="955"/>
      <c r="D213" s="2515"/>
      <c r="E213" s="2532"/>
      <c r="F213" s="2453"/>
      <c r="G213" s="2453"/>
    </row>
    <row r="214" spans="2:7" x14ac:dyDescent="0.2">
      <c r="B214" s="2061" t="s">
        <v>1264</v>
      </c>
      <c r="C214" s="2412" t="s">
        <v>1655</v>
      </c>
      <c r="D214" s="2427"/>
      <c r="E214" s="2530"/>
      <c r="F214" s="2531"/>
      <c r="G214" s="2067"/>
    </row>
    <row r="215" spans="2:7" ht="38.25" x14ac:dyDescent="0.2">
      <c r="B215" s="2061"/>
      <c r="C215" s="2404" t="s">
        <v>1656</v>
      </c>
      <c r="D215" s="2427" t="s">
        <v>149</v>
      </c>
      <c r="E215" s="2069">
        <v>1</v>
      </c>
      <c r="F215" s="2066">
        <v>0</v>
      </c>
      <c r="G215" s="2067">
        <f t="shared" ref="G215:G232" si="7">E215*F215</f>
        <v>0</v>
      </c>
    </row>
    <row r="216" spans="2:7" ht="25.5" x14ac:dyDescent="0.2">
      <c r="B216" s="2061"/>
      <c r="C216" s="2410" t="s">
        <v>195</v>
      </c>
      <c r="D216" s="2427" t="s">
        <v>149</v>
      </c>
      <c r="E216" s="2069">
        <v>4</v>
      </c>
      <c r="F216" s="2066">
        <v>0</v>
      </c>
      <c r="G216" s="2067">
        <f t="shared" si="7"/>
        <v>0</v>
      </c>
    </row>
    <row r="217" spans="2:7" ht="25.5" x14ac:dyDescent="0.2">
      <c r="B217" s="2061"/>
      <c r="C217" s="2410" t="s">
        <v>1292</v>
      </c>
      <c r="D217" s="2427" t="s">
        <v>149</v>
      </c>
      <c r="E217" s="2069">
        <v>4</v>
      </c>
      <c r="F217" s="2066">
        <v>0</v>
      </c>
      <c r="G217" s="2067">
        <f t="shared" si="7"/>
        <v>0</v>
      </c>
    </row>
    <row r="218" spans="2:7" ht="38.25" x14ac:dyDescent="0.2">
      <c r="B218" s="2061"/>
      <c r="C218" s="2409" t="s">
        <v>1388</v>
      </c>
      <c r="D218" s="2068" t="s">
        <v>149</v>
      </c>
      <c r="E218" s="2069">
        <v>1</v>
      </c>
      <c r="F218" s="2066">
        <v>0</v>
      </c>
      <c r="G218" s="2067">
        <f t="shared" si="7"/>
        <v>0</v>
      </c>
    </row>
    <row r="219" spans="2:7" ht="25.5" x14ac:dyDescent="0.2">
      <c r="B219" s="2061"/>
      <c r="C219" s="2410" t="s">
        <v>1292</v>
      </c>
      <c r="D219" s="2068" t="s">
        <v>149</v>
      </c>
      <c r="E219" s="2069">
        <v>2</v>
      </c>
      <c r="F219" s="2066">
        <v>0</v>
      </c>
      <c r="G219" s="2067">
        <f t="shared" si="7"/>
        <v>0</v>
      </c>
    </row>
    <row r="220" spans="2:7" x14ac:dyDescent="0.2">
      <c r="B220" s="2061"/>
      <c r="C220" s="2410" t="s">
        <v>1391</v>
      </c>
      <c r="D220" s="2068" t="s">
        <v>149</v>
      </c>
      <c r="E220" s="2069">
        <v>2</v>
      </c>
      <c r="F220" s="2066">
        <v>0</v>
      </c>
      <c r="G220" s="2067">
        <f t="shared" si="7"/>
        <v>0</v>
      </c>
    </row>
    <row r="221" spans="2:7" ht="25.5" x14ac:dyDescent="0.2">
      <c r="B221" s="2061"/>
      <c r="C221" s="2410" t="s">
        <v>203</v>
      </c>
      <c r="D221" s="2068" t="s">
        <v>149</v>
      </c>
      <c r="E221" s="2069">
        <v>1</v>
      </c>
      <c r="F221" s="2066">
        <v>0</v>
      </c>
      <c r="G221" s="2067">
        <f t="shared" si="7"/>
        <v>0</v>
      </c>
    </row>
    <row r="222" spans="2:7" ht="25.5" x14ac:dyDescent="0.2">
      <c r="B222" s="2061"/>
      <c r="C222" s="2411" t="s">
        <v>1196</v>
      </c>
      <c r="D222" s="2068" t="s">
        <v>149</v>
      </c>
      <c r="E222" s="2069">
        <v>1</v>
      </c>
      <c r="F222" s="2066">
        <v>0</v>
      </c>
      <c r="G222" s="2067">
        <f t="shared" si="7"/>
        <v>0</v>
      </c>
    </row>
    <row r="223" spans="2:7" x14ac:dyDescent="0.2">
      <c r="B223" s="2061"/>
      <c r="C223" s="2408" t="s">
        <v>191</v>
      </c>
      <c r="D223" s="2068" t="s">
        <v>149</v>
      </c>
      <c r="E223" s="2069">
        <v>1</v>
      </c>
      <c r="F223" s="2066">
        <v>0</v>
      </c>
      <c r="G223" s="2067">
        <f t="shared" si="7"/>
        <v>0</v>
      </c>
    </row>
    <row r="224" spans="2:7" ht="51" x14ac:dyDescent="0.2">
      <c r="B224" s="2061"/>
      <c r="C224" s="2409" t="s">
        <v>192</v>
      </c>
      <c r="D224" s="2068" t="s">
        <v>149</v>
      </c>
      <c r="E224" s="2069">
        <v>1</v>
      </c>
      <c r="F224" s="2066">
        <v>0</v>
      </c>
      <c r="G224" s="2067">
        <f t="shared" si="7"/>
        <v>0</v>
      </c>
    </row>
    <row r="225" spans="2:7" x14ac:dyDescent="0.2">
      <c r="B225" s="2061"/>
      <c r="C225" s="2409" t="s">
        <v>193</v>
      </c>
      <c r="D225" s="2068" t="s">
        <v>149</v>
      </c>
      <c r="E225" s="2069">
        <v>1</v>
      </c>
      <c r="F225" s="2066">
        <v>0</v>
      </c>
      <c r="G225" s="2067">
        <f t="shared" si="7"/>
        <v>0</v>
      </c>
    </row>
    <row r="226" spans="2:7" x14ac:dyDescent="0.2">
      <c r="B226" s="2061"/>
      <c r="C226" s="2409" t="s">
        <v>194</v>
      </c>
      <c r="D226" s="2068" t="s">
        <v>149</v>
      </c>
      <c r="E226" s="2069">
        <v>1</v>
      </c>
      <c r="F226" s="2066">
        <v>0</v>
      </c>
      <c r="G226" s="2067">
        <f t="shared" si="7"/>
        <v>0</v>
      </c>
    </row>
    <row r="227" spans="2:7" ht="25.5" x14ac:dyDescent="0.2">
      <c r="B227" s="2061"/>
      <c r="C227" s="2409" t="s">
        <v>195</v>
      </c>
      <c r="D227" s="2068" t="s">
        <v>149</v>
      </c>
      <c r="E227" s="2069">
        <v>2</v>
      </c>
      <c r="F227" s="2066">
        <v>0</v>
      </c>
      <c r="G227" s="2067">
        <f t="shared" si="7"/>
        <v>0</v>
      </c>
    </row>
    <row r="228" spans="2:7" ht="25.5" x14ac:dyDescent="0.2">
      <c r="B228" s="2061"/>
      <c r="C228" s="2409" t="s">
        <v>1328</v>
      </c>
      <c r="D228" s="2068" t="s">
        <v>149</v>
      </c>
      <c r="E228" s="2069">
        <v>2</v>
      </c>
      <c r="F228" s="2066">
        <v>0</v>
      </c>
      <c r="G228" s="2067">
        <f t="shared" si="7"/>
        <v>0</v>
      </c>
    </row>
    <row r="229" spans="2:7" ht="25.5" x14ac:dyDescent="0.2">
      <c r="B229" s="2061"/>
      <c r="C229" s="2410" t="s">
        <v>227</v>
      </c>
      <c r="D229" s="2068" t="s">
        <v>149</v>
      </c>
      <c r="E229" s="2069">
        <v>1</v>
      </c>
      <c r="F229" s="2066">
        <v>0</v>
      </c>
      <c r="G229" s="2067">
        <f t="shared" si="7"/>
        <v>0</v>
      </c>
    </row>
    <row r="230" spans="2:7" ht="25.5" x14ac:dyDescent="0.2">
      <c r="B230" s="2061"/>
      <c r="C230" s="2409" t="s">
        <v>197</v>
      </c>
      <c r="D230" s="2068" t="s">
        <v>149</v>
      </c>
      <c r="E230" s="2069">
        <v>1</v>
      </c>
      <c r="F230" s="2066">
        <v>0</v>
      </c>
      <c r="G230" s="2067">
        <f t="shared" si="7"/>
        <v>0</v>
      </c>
    </row>
    <row r="231" spans="2:7" ht="25.5" x14ac:dyDescent="0.2">
      <c r="B231" s="2061"/>
      <c r="C231" s="2409" t="s">
        <v>1196</v>
      </c>
      <c r="D231" s="2068" t="s">
        <v>149</v>
      </c>
      <c r="E231" s="2069">
        <v>1</v>
      </c>
      <c r="F231" s="2066">
        <v>0</v>
      </c>
      <c r="G231" s="2067">
        <f t="shared" si="7"/>
        <v>0</v>
      </c>
    </row>
    <row r="232" spans="2:7" ht="25.5" x14ac:dyDescent="0.2">
      <c r="B232" s="2061"/>
      <c r="C232" s="2410" t="s">
        <v>183</v>
      </c>
      <c r="D232" s="2437" t="s">
        <v>149</v>
      </c>
      <c r="E232" s="2438">
        <v>4</v>
      </c>
      <c r="F232" s="2066">
        <v>0</v>
      </c>
      <c r="G232" s="2067">
        <f t="shared" si="7"/>
        <v>0</v>
      </c>
    </row>
    <row r="233" spans="2:7" x14ac:dyDescent="0.2">
      <c r="B233" s="950"/>
      <c r="C233" s="955"/>
      <c r="D233" s="2515"/>
      <c r="E233" s="2532"/>
      <c r="F233" s="2453"/>
      <c r="G233" s="2453"/>
    </row>
    <row r="234" spans="2:7" x14ac:dyDescent="0.2">
      <c r="B234" s="2061" t="s">
        <v>1270</v>
      </c>
      <c r="C234" s="2412" t="s">
        <v>1657</v>
      </c>
      <c r="D234" s="2518"/>
      <c r="E234" s="2538"/>
      <c r="F234" s="2539"/>
      <c r="G234" s="2539"/>
    </row>
    <row r="235" spans="2:7" ht="25.5" x14ac:dyDescent="0.2">
      <c r="B235" s="2061"/>
      <c r="C235" s="2408" t="s">
        <v>238</v>
      </c>
      <c r="D235" s="2068" t="s">
        <v>149</v>
      </c>
      <c r="E235" s="2069">
        <v>1</v>
      </c>
      <c r="F235" s="2066">
        <v>0</v>
      </c>
      <c r="G235" s="2067">
        <f t="shared" ref="G235:G243" si="8">E235*F235</f>
        <v>0</v>
      </c>
    </row>
    <row r="236" spans="2:7" ht="25.5" x14ac:dyDescent="0.2">
      <c r="B236" s="2061"/>
      <c r="C236" s="2410" t="s">
        <v>235</v>
      </c>
      <c r="D236" s="2068" t="s">
        <v>149</v>
      </c>
      <c r="E236" s="2069">
        <v>2</v>
      </c>
      <c r="F236" s="2066">
        <v>0</v>
      </c>
      <c r="G236" s="2067">
        <f t="shared" si="8"/>
        <v>0</v>
      </c>
    </row>
    <row r="237" spans="2:7" ht="25.5" x14ac:dyDescent="0.2">
      <c r="B237" s="2061"/>
      <c r="C237" s="2410" t="s">
        <v>239</v>
      </c>
      <c r="D237" s="2068" t="s">
        <v>149</v>
      </c>
      <c r="E237" s="2069">
        <v>1</v>
      </c>
      <c r="F237" s="2066">
        <v>0</v>
      </c>
      <c r="G237" s="2067">
        <f t="shared" si="8"/>
        <v>0</v>
      </c>
    </row>
    <row r="238" spans="2:7" ht="25.5" x14ac:dyDescent="0.2">
      <c r="B238" s="2061"/>
      <c r="C238" s="2410" t="s">
        <v>1294</v>
      </c>
      <c r="D238" s="2068" t="s">
        <v>149</v>
      </c>
      <c r="E238" s="2069">
        <v>2</v>
      </c>
      <c r="F238" s="2066">
        <v>0</v>
      </c>
      <c r="G238" s="2067">
        <f t="shared" si="8"/>
        <v>0</v>
      </c>
    </row>
    <row r="239" spans="2:7" ht="25.5" x14ac:dyDescent="0.2">
      <c r="B239" s="2061"/>
      <c r="C239" s="2410" t="s">
        <v>1267</v>
      </c>
      <c r="D239" s="2068" t="s">
        <v>149</v>
      </c>
      <c r="E239" s="2069">
        <v>1</v>
      </c>
      <c r="F239" s="2066">
        <v>0</v>
      </c>
      <c r="G239" s="2067">
        <f t="shared" si="8"/>
        <v>0</v>
      </c>
    </row>
    <row r="240" spans="2:7" x14ac:dyDescent="0.2">
      <c r="B240" s="2061"/>
      <c r="C240" s="2410" t="s">
        <v>1268</v>
      </c>
      <c r="D240" s="2068" t="s">
        <v>149</v>
      </c>
      <c r="E240" s="2069">
        <v>1</v>
      </c>
      <c r="F240" s="2066">
        <v>0</v>
      </c>
      <c r="G240" s="2067">
        <f t="shared" si="8"/>
        <v>0</v>
      </c>
    </row>
    <row r="241" spans="2:7" ht="25.5" x14ac:dyDescent="0.2">
      <c r="B241" s="2061"/>
      <c r="C241" s="2410" t="s">
        <v>1269</v>
      </c>
      <c r="D241" s="2068" t="s">
        <v>149</v>
      </c>
      <c r="E241" s="2069">
        <v>1</v>
      </c>
      <c r="F241" s="2066">
        <v>0</v>
      </c>
      <c r="G241" s="2067">
        <f t="shared" si="8"/>
        <v>0</v>
      </c>
    </row>
    <row r="242" spans="2:7" ht="25.5" x14ac:dyDescent="0.2">
      <c r="B242" s="2061"/>
      <c r="C242" s="2410" t="s">
        <v>227</v>
      </c>
      <c r="D242" s="2068" t="s">
        <v>149</v>
      </c>
      <c r="E242" s="2069">
        <v>1</v>
      </c>
      <c r="F242" s="2066">
        <v>0</v>
      </c>
      <c r="G242" s="2067">
        <f t="shared" si="8"/>
        <v>0</v>
      </c>
    </row>
    <row r="243" spans="2:7" ht="25.5" x14ac:dyDescent="0.2">
      <c r="B243" s="2061"/>
      <c r="C243" s="2411" t="s">
        <v>1196</v>
      </c>
      <c r="D243" s="2068" t="s">
        <v>149</v>
      </c>
      <c r="E243" s="2069">
        <v>1</v>
      </c>
      <c r="F243" s="2066">
        <v>0</v>
      </c>
      <c r="G243" s="2067">
        <f t="shared" si="8"/>
        <v>0</v>
      </c>
    </row>
    <row r="244" spans="2:7" x14ac:dyDescent="0.2">
      <c r="B244" s="950"/>
      <c r="C244" s="955"/>
      <c r="D244" s="2515"/>
      <c r="E244" s="2532"/>
      <c r="F244" s="2453"/>
      <c r="G244" s="2453"/>
    </row>
    <row r="245" spans="2:7" x14ac:dyDescent="0.2">
      <c r="B245" s="2061" t="s">
        <v>1275</v>
      </c>
      <c r="C245" s="2412" t="s">
        <v>1658</v>
      </c>
      <c r="D245" s="2518"/>
      <c r="E245" s="2538"/>
      <c r="F245" s="2539"/>
      <c r="G245" s="2539"/>
    </row>
    <row r="246" spans="2:7" ht="25.5" x14ac:dyDescent="0.2">
      <c r="B246" s="2061"/>
      <c r="C246" s="2408" t="s">
        <v>238</v>
      </c>
      <c r="D246" s="2068" t="s">
        <v>149</v>
      </c>
      <c r="E246" s="2069">
        <v>1</v>
      </c>
      <c r="F246" s="2066">
        <v>0</v>
      </c>
      <c r="G246" s="2067">
        <f t="shared" ref="G246:G254" si="9">E246*F246</f>
        <v>0</v>
      </c>
    </row>
    <row r="247" spans="2:7" ht="25.5" x14ac:dyDescent="0.2">
      <c r="B247" s="2061"/>
      <c r="C247" s="2410" t="s">
        <v>195</v>
      </c>
      <c r="D247" s="2068" t="s">
        <v>149</v>
      </c>
      <c r="E247" s="2069">
        <v>2</v>
      </c>
      <c r="F247" s="2066">
        <v>0</v>
      </c>
      <c r="G247" s="2067">
        <f t="shared" si="9"/>
        <v>0</v>
      </c>
    </row>
    <row r="248" spans="2:7" ht="25.5" x14ac:dyDescent="0.2">
      <c r="B248" s="2061"/>
      <c r="C248" s="2410" t="s">
        <v>239</v>
      </c>
      <c r="D248" s="2068" t="s">
        <v>149</v>
      </c>
      <c r="E248" s="2069">
        <v>1</v>
      </c>
      <c r="F248" s="2066">
        <v>0</v>
      </c>
      <c r="G248" s="2067">
        <f t="shared" si="9"/>
        <v>0</v>
      </c>
    </row>
    <row r="249" spans="2:7" ht="25.5" x14ac:dyDescent="0.2">
      <c r="B249" s="2061"/>
      <c r="C249" s="2410" t="s">
        <v>1292</v>
      </c>
      <c r="D249" s="2068" t="s">
        <v>149</v>
      </c>
      <c r="E249" s="2069">
        <v>2</v>
      </c>
      <c r="F249" s="2066">
        <v>0</v>
      </c>
      <c r="G249" s="2067">
        <f t="shared" si="9"/>
        <v>0</v>
      </c>
    </row>
    <row r="250" spans="2:7" ht="25.5" x14ac:dyDescent="0.2">
      <c r="B250" s="2061"/>
      <c r="C250" s="2410" t="s">
        <v>1267</v>
      </c>
      <c r="D250" s="2068" t="s">
        <v>149</v>
      </c>
      <c r="E250" s="2069">
        <v>1</v>
      </c>
      <c r="F250" s="2066">
        <v>0</v>
      </c>
      <c r="G250" s="2067">
        <f t="shared" si="9"/>
        <v>0</v>
      </c>
    </row>
    <row r="251" spans="2:7" x14ac:dyDescent="0.2">
      <c r="B251" s="2061"/>
      <c r="C251" s="2410" t="s">
        <v>1268</v>
      </c>
      <c r="D251" s="2068" t="s">
        <v>149</v>
      </c>
      <c r="E251" s="2069">
        <v>1</v>
      </c>
      <c r="F251" s="2066">
        <v>0</v>
      </c>
      <c r="G251" s="2067">
        <f t="shared" si="9"/>
        <v>0</v>
      </c>
    </row>
    <row r="252" spans="2:7" ht="25.5" x14ac:dyDescent="0.2">
      <c r="B252" s="2061"/>
      <c r="C252" s="2410" t="s">
        <v>1269</v>
      </c>
      <c r="D252" s="2068" t="s">
        <v>149</v>
      </c>
      <c r="E252" s="2069">
        <v>1</v>
      </c>
      <c r="F252" s="2066">
        <v>0</v>
      </c>
      <c r="G252" s="2067">
        <f t="shared" si="9"/>
        <v>0</v>
      </c>
    </row>
    <row r="253" spans="2:7" ht="25.5" x14ac:dyDescent="0.2">
      <c r="B253" s="2061"/>
      <c r="C253" s="2410" t="s">
        <v>227</v>
      </c>
      <c r="D253" s="2068" t="s">
        <v>149</v>
      </c>
      <c r="E253" s="2069">
        <v>1</v>
      </c>
      <c r="F253" s="2066">
        <v>0</v>
      </c>
      <c r="G253" s="2067">
        <f t="shared" si="9"/>
        <v>0</v>
      </c>
    </row>
    <row r="254" spans="2:7" ht="25.5" x14ac:dyDescent="0.2">
      <c r="B254" s="2061"/>
      <c r="C254" s="2411" t="s">
        <v>1196</v>
      </c>
      <c r="D254" s="2068" t="s">
        <v>149</v>
      </c>
      <c r="E254" s="2069">
        <v>1</v>
      </c>
      <c r="F254" s="2066">
        <v>0</v>
      </c>
      <c r="G254" s="2067">
        <f t="shared" si="9"/>
        <v>0</v>
      </c>
    </row>
    <row r="255" spans="2:7" x14ac:dyDescent="0.2">
      <c r="B255" s="950"/>
      <c r="C255" s="955"/>
      <c r="D255" s="2515"/>
      <c r="E255" s="2532"/>
      <c r="F255" s="2453"/>
      <c r="G255" s="2453"/>
    </row>
    <row r="256" spans="2:7" x14ac:dyDescent="0.2">
      <c r="B256" s="2061" t="s">
        <v>1303</v>
      </c>
      <c r="C256" s="2412" t="s">
        <v>1659</v>
      </c>
      <c r="D256" s="2518"/>
      <c r="E256" s="2538"/>
      <c r="F256" s="2539"/>
      <c r="G256" s="2539"/>
    </row>
    <row r="257" spans="2:7" ht="25.5" x14ac:dyDescent="0.2">
      <c r="B257" s="2061"/>
      <c r="C257" s="2408" t="s">
        <v>233</v>
      </c>
      <c r="D257" s="2068" t="s">
        <v>149</v>
      </c>
      <c r="E257" s="2069">
        <v>1</v>
      </c>
      <c r="F257" s="2066">
        <v>0</v>
      </c>
      <c r="G257" s="2067">
        <f t="shared" ref="G257:G264" si="10">E257*F257</f>
        <v>0</v>
      </c>
    </row>
    <row r="258" spans="2:7" ht="25.5" x14ac:dyDescent="0.2">
      <c r="B258" s="2061"/>
      <c r="C258" s="2410" t="s">
        <v>195</v>
      </c>
      <c r="D258" s="2068" t="s">
        <v>149</v>
      </c>
      <c r="E258" s="2069">
        <v>1</v>
      </c>
      <c r="F258" s="2066">
        <v>0</v>
      </c>
      <c r="G258" s="2067">
        <f t="shared" si="10"/>
        <v>0</v>
      </c>
    </row>
    <row r="259" spans="2:7" ht="25.5" x14ac:dyDescent="0.2">
      <c r="B259" s="2061"/>
      <c r="C259" s="2410" t="s">
        <v>235</v>
      </c>
      <c r="D259" s="2068" t="s">
        <v>149</v>
      </c>
      <c r="E259" s="2069">
        <v>2</v>
      </c>
      <c r="F259" s="2066">
        <v>0</v>
      </c>
      <c r="G259" s="2067">
        <f t="shared" si="10"/>
        <v>0</v>
      </c>
    </row>
    <row r="260" spans="2:7" ht="25.5" x14ac:dyDescent="0.2">
      <c r="B260" s="2061"/>
      <c r="C260" s="2410" t="s">
        <v>1292</v>
      </c>
      <c r="D260" s="2068" t="s">
        <v>149</v>
      </c>
      <c r="E260" s="2069">
        <v>1</v>
      </c>
      <c r="F260" s="2066">
        <v>0</v>
      </c>
      <c r="G260" s="2067">
        <f t="shared" si="10"/>
        <v>0</v>
      </c>
    </row>
    <row r="261" spans="2:7" ht="25.5" x14ac:dyDescent="0.2">
      <c r="B261" s="2061"/>
      <c r="C261" s="2410" t="s">
        <v>1294</v>
      </c>
      <c r="D261" s="2068" t="s">
        <v>149</v>
      </c>
      <c r="E261" s="2069">
        <v>2</v>
      </c>
      <c r="F261" s="2066">
        <v>0</v>
      </c>
      <c r="G261" s="2067">
        <f t="shared" si="10"/>
        <v>0</v>
      </c>
    </row>
    <row r="262" spans="2:7" ht="25.5" x14ac:dyDescent="0.2">
      <c r="B262" s="2061"/>
      <c r="C262" s="2410" t="s">
        <v>227</v>
      </c>
      <c r="D262" s="2068" t="s">
        <v>149</v>
      </c>
      <c r="E262" s="2069">
        <v>1</v>
      </c>
      <c r="F262" s="2066">
        <v>0</v>
      </c>
      <c r="G262" s="2067">
        <f t="shared" si="10"/>
        <v>0</v>
      </c>
    </row>
    <row r="263" spans="2:7" ht="25.5" x14ac:dyDescent="0.2">
      <c r="B263" s="2061"/>
      <c r="C263" s="2411" t="s">
        <v>1196</v>
      </c>
      <c r="D263" s="2068" t="s">
        <v>149</v>
      </c>
      <c r="E263" s="2069">
        <v>1</v>
      </c>
      <c r="F263" s="2066">
        <v>0</v>
      </c>
      <c r="G263" s="2067">
        <f t="shared" si="10"/>
        <v>0</v>
      </c>
    </row>
    <row r="264" spans="2:7" x14ac:dyDescent="0.2">
      <c r="B264" s="2061"/>
      <c r="C264" s="2411" t="s">
        <v>1660</v>
      </c>
      <c r="D264" s="2068" t="s">
        <v>149</v>
      </c>
      <c r="E264" s="2069">
        <v>1</v>
      </c>
      <c r="F264" s="2066">
        <v>0</v>
      </c>
      <c r="G264" s="2067">
        <f t="shared" si="10"/>
        <v>0</v>
      </c>
    </row>
    <row r="265" spans="2:7" x14ac:dyDescent="0.2">
      <c r="B265" s="950"/>
      <c r="C265" s="955"/>
      <c r="D265" s="2515"/>
      <c r="E265" s="2532"/>
      <c r="F265" s="2453"/>
      <c r="G265" s="2453"/>
    </row>
    <row r="266" spans="2:7" x14ac:dyDescent="0.2">
      <c r="B266" s="2061" t="s">
        <v>1305</v>
      </c>
      <c r="C266" s="2412" t="s">
        <v>1661</v>
      </c>
      <c r="D266" s="2427"/>
      <c r="E266" s="2530"/>
      <c r="F266" s="2531"/>
      <c r="G266" s="2067"/>
    </row>
    <row r="267" spans="2:7" x14ac:dyDescent="0.2">
      <c r="B267" s="2061"/>
      <c r="C267" s="2408" t="s">
        <v>207</v>
      </c>
      <c r="D267" s="2068" t="s">
        <v>149</v>
      </c>
      <c r="E267" s="2069">
        <v>1</v>
      </c>
      <c r="F267" s="2066">
        <v>0</v>
      </c>
      <c r="G267" s="2067">
        <f t="shared" ref="G267:G277" si="11">E267*F267</f>
        <v>0</v>
      </c>
    </row>
    <row r="268" spans="2:7" ht="38.25" x14ac:dyDescent="0.2">
      <c r="B268" s="2061"/>
      <c r="C268" s="2409" t="s">
        <v>223</v>
      </c>
      <c r="D268" s="2068" t="s">
        <v>149</v>
      </c>
      <c r="E268" s="2069">
        <v>1</v>
      </c>
      <c r="F268" s="2066">
        <v>0</v>
      </c>
      <c r="G268" s="2067">
        <f t="shared" si="11"/>
        <v>0</v>
      </c>
    </row>
    <row r="269" spans="2:7" ht="25.5" x14ac:dyDescent="0.2">
      <c r="B269" s="2061"/>
      <c r="C269" s="2409" t="s">
        <v>213</v>
      </c>
      <c r="D269" s="2068" t="s">
        <v>149</v>
      </c>
      <c r="E269" s="2069">
        <v>1</v>
      </c>
      <c r="F269" s="2066">
        <v>0</v>
      </c>
      <c r="G269" s="2067">
        <f t="shared" si="11"/>
        <v>0</v>
      </c>
    </row>
    <row r="270" spans="2:7" x14ac:dyDescent="0.2">
      <c r="B270" s="2061"/>
      <c r="C270" s="2409" t="s">
        <v>224</v>
      </c>
      <c r="D270" s="2068" t="s">
        <v>149</v>
      </c>
      <c r="E270" s="2069">
        <v>1</v>
      </c>
      <c r="F270" s="2066">
        <v>0</v>
      </c>
      <c r="G270" s="2067">
        <f t="shared" si="11"/>
        <v>0</v>
      </c>
    </row>
    <row r="271" spans="2:7" x14ac:dyDescent="0.2">
      <c r="B271" s="2061"/>
      <c r="C271" s="2409" t="s">
        <v>225</v>
      </c>
      <c r="D271" s="2068" t="s">
        <v>149</v>
      </c>
      <c r="E271" s="2069">
        <v>1</v>
      </c>
      <c r="F271" s="2066">
        <v>0</v>
      </c>
      <c r="G271" s="2067">
        <f t="shared" si="11"/>
        <v>0</v>
      </c>
    </row>
    <row r="272" spans="2:7" x14ac:dyDescent="0.2">
      <c r="B272" s="2061"/>
      <c r="C272" s="2410" t="s">
        <v>226</v>
      </c>
      <c r="D272" s="2068" t="s">
        <v>149</v>
      </c>
      <c r="E272" s="2069">
        <v>1</v>
      </c>
      <c r="F272" s="2066">
        <v>0</v>
      </c>
      <c r="G272" s="2067">
        <f t="shared" si="11"/>
        <v>0</v>
      </c>
    </row>
    <row r="273" spans="2:8" x14ac:dyDescent="0.2">
      <c r="B273" s="2061"/>
      <c r="C273" s="2410" t="s">
        <v>217</v>
      </c>
      <c r="D273" s="2068" t="s">
        <v>149</v>
      </c>
      <c r="E273" s="2069">
        <v>1</v>
      </c>
      <c r="F273" s="2066">
        <v>0</v>
      </c>
      <c r="G273" s="2067">
        <f t="shared" si="11"/>
        <v>0</v>
      </c>
    </row>
    <row r="274" spans="2:8" ht="25.5" x14ac:dyDescent="0.2">
      <c r="B274" s="2061"/>
      <c r="C274" s="2410" t="s">
        <v>235</v>
      </c>
      <c r="D274" s="2068" t="s">
        <v>149</v>
      </c>
      <c r="E274" s="2069">
        <v>2</v>
      </c>
      <c r="F274" s="2066">
        <v>0</v>
      </c>
      <c r="G274" s="2067">
        <f t="shared" si="11"/>
        <v>0</v>
      </c>
    </row>
    <row r="275" spans="2:8" ht="25.5" x14ac:dyDescent="0.2">
      <c r="B275" s="2061"/>
      <c r="C275" s="2410" t="s">
        <v>1294</v>
      </c>
      <c r="D275" s="2068" t="s">
        <v>149</v>
      </c>
      <c r="E275" s="2069">
        <v>2</v>
      </c>
      <c r="F275" s="2066">
        <v>0</v>
      </c>
      <c r="G275" s="2067">
        <f t="shared" si="11"/>
        <v>0</v>
      </c>
    </row>
    <row r="276" spans="2:8" ht="25.5" x14ac:dyDescent="0.2">
      <c r="B276" s="2061"/>
      <c r="C276" s="2410" t="s">
        <v>227</v>
      </c>
      <c r="D276" s="2068" t="s">
        <v>149</v>
      </c>
      <c r="E276" s="2069">
        <v>1</v>
      </c>
      <c r="F276" s="2066">
        <v>0</v>
      </c>
      <c r="G276" s="2067">
        <f t="shared" si="11"/>
        <v>0</v>
      </c>
    </row>
    <row r="277" spans="2:8" ht="25.5" x14ac:dyDescent="0.2">
      <c r="B277" s="2061"/>
      <c r="C277" s="2411" t="s">
        <v>1196</v>
      </c>
      <c r="D277" s="2068" t="s">
        <v>149</v>
      </c>
      <c r="E277" s="2069">
        <v>1</v>
      </c>
      <c r="F277" s="2066">
        <v>0</v>
      </c>
      <c r="G277" s="2067">
        <f t="shared" si="11"/>
        <v>0</v>
      </c>
    </row>
    <row r="278" spans="2:8" x14ac:dyDescent="0.2">
      <c r="B278" s="950"/>
      <c r="C278" s="955"/>
      <c r="D278" s="2515"/>
      <c r="E278" s="2532"/>
      <c r="F278" s="2453"/>
      <c r="G278" s="2453"/>
    </row>
    <row r="279" spans="2:8" ht="38.25" x14ac:dyDescent="0.2">
      <c r="B279" s="950" t="s">
        <v>1305</v>
      </c>
      <c r="C279" s="959" t="s">
        <v>229</v>
      </c>
      <c r="D279" s="2515"/>
      <c r="E279" s="2532"/>
      <c r="F279" s="2453"/>
      <c r="G279" s="2453"/>
    </row>
    <row r="280" spans="2:8" x14ac:dyDescent="0.2">
      <c r="B280" s="950"/>
      <c r="C280" s="955" t="s">
        <v>1583</v>
      </c>
      <c r="D280" s="2515" t="s">
        <v>149</v>
      </c>
      <c r="E280" s="2532">
        <v>8</v>
      </c>
      <c r="F280" s="2010">
        <v>0</v>
      </c>
      <c r="G280" s="976">
        <f t="shared" ref="G280" si="12">E280*F280</f>
        <v>0</v>
      </c>
    </row>
    <row r="281" spans="2:8" x14ac:dyDescent="0.2">
      <c r="B281" s="950"/>
      <c r="C281" s="955"/>
      <c r="D281" s="2515"/>
      <c r="E281" s="2532"/>
      <c r="F281" s="2453"/>
      <c r="G281" s="2453"/>
      <c r="H281" s="741"/>
    </row>
    <row r="282" spans="2:8" x14ac:dyDescent="0.2">
      <c r="B282" s="950" t="s">
        <v>1308</v>
      </c>
      <c r="C282" s="963" t="s">
        <v>1599</v>
      </c>
      <c r="D282" s="2540"/>
      <c r="E282" s="2541"/>
      <c r="F282" s="2452"/>
      <c r="G282" s="2452"/>
      <c r="H282" s="741"/>
    </row>
    <row r="283" spans="2:8" ht="25.5" x14ac:dyDescent="0.2">
      <c r="B283" s="950"/>
      <c r="C283" s="962" t="s">
        <v>1600</v>
      </c>
      <c r="D283" s="2540" t="s">
        <v>149</v>
      </c>
      <c r="E283" s="2541">
        <v>18</v>
      </c>
      <c r="F283" s="914">
        <v>0</v>
      </c>
      <c r="G283" s="915">
        <f t="shared" ref="G283" si="13">E283*F283</f>
        <v>0</v>
      </c>
      <c r="H283" s="741"/>
    </row>
    <row r="284" spans="2:8" ht="25.5" x14ac:dyDescent="0.2">
      <c r="B284" s="950"/>
      <c r="C284" s="962" t="s">
        <v>1585</v>
      </c>
      <c r="D284" s="2540" t="s">
        <v>149</v>
      </c>
      <c r="E284" s="2541">
        <v>8</v>
      </c>
      <c r="F284" s="914">
        <v>0</v>
      </c>
      <c r="G284" s="915">
        <f t="shared" ref="G284" si="14">E284*F284</f>
        <v>0</v>
      </c>
      <c r="H284" s="741"/>
    </row>
    <row r="285" spans="2:8" x14ac:dyDescent="0.2">
      <c r="B285" s="950"/>
      <c r="C285" s="955"/>
      <c r="D285" s="2515"/>
      <c r="E285" s="2532"/>
      <c r="F285" s="2453"/>
      <c r="G285" s="2453"/>
      <c r="H285" s="741"/>
    </row>
    <row r="286" spans="2:8" x14ac:dyDescent="0.2">
      <c r="B286" s="950" t="s">
        <v>1395</v>
      </c>
      <c r="C286" s="967" t="s">
        <v>244</v>
      </c>
      <c r="D286" s="2255"/>
      <c r="E286" s="2532"/>
      <c r="F286" s="2453"/>
      <c r="G286" s="2453"/>
      <c r="H286" s="741"/>
    </row>
    <row r="287" spans="2:8" x14ac:dyDescent="0.2">
      <c r="B287" s="950"/>
      <c r="C287" s="967" t="s">
        <v>849</v>
      </c>
      <c r="D287" s="960"/>
      <c r="E287" s="961"/>
      <c r="F287" s="968"/>
      <c r="G287" s="969"/>
      <c r="H287" s="741"/>
    </row>
    <row r="288" spans="2:8" ht="51" x14ac:dyDescent="0.2">
      <c r="B288" s="950"/>
      <c r="C288" s="959" t="s">
        <v>1428</v>
      </c>
      <c r="D288" s="960" t="s">
        <v>149</v>
      </c>
      <c r="E288" s="961">
        <v>8</v>
      </c>
      <c r="F288" s="914">
        <v>0</v>
      </c>
      <c r="G288" s="915">
        <f t="shared" ref="G288:G290" si="15">E288*F288</f>
        <v>0</v>
      </c>
      <c r="H288" s="741"/>
    </row>
    <row r="289" spans="2:8" ht="25.5" x14ac:dyDescent="0.2">
      <c r="B289" s="950"/>
      <c r="C289" s="962" t="s">
        <v>247</v>
      </c>
      <c r="D289" s="960" t="s">
        <v>149</v>
      </c>
      <c r="E289" s="961">
        <v>8</v>
      </c>
      <c r="F289" s="914">
        <v>0</v>
      </c>
      <c r="G289" s="915">
        <f t="shared" si="15"/>
        <v>0</v>
      </c>
      <c r="H289" s="741"/>
    </row>
    <row r="290" spans="2:8" ht="25.5" x14ac:dyDescent="0.2">
      <c r="B290" s="950"/>
      <c r="C290" s="869" t="s">
        <v>1196</v>
      </c>
      <c r="D290" s="960" t="s">
        <v>149</v>
      </c>
      <c r="E290" s="961">
        <v>8</v>
      </c>
      <c r="F290" s="914">
        <v>0</v>
      </c>
      <c r="G290" s="915">
        <f t="shared" si="15"/>
        <v>0</v>
      </c>
      <c r="H290" s="741"/>
    </row>
    <row r="291" spans="2:8" x14ac:dyDescent="0.2">
      <c r="B291" s="950"/>
      <c r="C291" s="967" t="s">
        <v>249</v>
      </c>
      <c r="D291" s="960"/>
      <c r="E291" s="961"/>
      <c r="F291" s="968"/>
      <c r="G291" s="969"/>
      <c r="H291" s="741"/>
    </row>
    <row r="292" spans="2:8" ht="51" x14ac:dyDescent="0.2">
      <c r="B292" s="950"/>
      <c r="C292" s="959" t="s">
        <v>1427</v>
      </c>
      <c r="D292" s="960" t="s">
        <v>149</v>
      </c>
      <c r="E292" s="961">
        <v>7</v>
      </c>
      <c r="F292" s="914">
        <v>0</v>
      </c>
      <c r="G292" s="915">
        <f t="shared" ref="G292:G294" si="16">E292*F292</f>
        <v>0</v>
      </c>
      <c r="H292" s="741"/>
    </row>
    <row r="293" spans="2:8" ht="25.5" x14ac:dyDescent="0.2">
      <c r="B293" s="950"/>
      <c r="C293" s="962" t="s">
        <v>247</v>
      </c>
      <c r="D293" s="960" t="s">
        <v>149</v>
      </c>
      <c r="E293" s="961">
        <v>7</v>
      </c>
      <c r="F293" s="914">
        <v>0</v>
      </c>
      <c r="G293" s="915">
        <f t="shared" si="16"/>
        <v>0</v>
      </c>
      <c r="H293" s="741"/>
    </row>
    <row r="294" spans="2:8" ht="25.5" x14ac:dyDescent="0.2">
      <c r="B294" s="950"/>
      <c r="C294" s="869" t="s">
        <v>1196</v>
      </c>
      <c r="D294" s="960" t="s">
        <v>149</v>
      </c>
      <c r="E294" s="961">
        <v>7</v>
      </c>
      <c r="F294" s="914">
        <v>0</v>
      </c>
      <c r="G294" s="915">
        <f t="shared" si="16"/>
        <v>0</v>
      </c>
      <c r="H294" s="741"/>
    </row>
    <row r="295" spans="2:8" x14ac:dyDescent="0.2">
      <c r="B295" s="845"/>
      <c r="C295" s="848"/>
      <c r="D295" s="2126"/>
      <c r="E295" s="2242"/>
      <c r="F295" s="834"/>
      <c r="G295" s="2522"/>
    </row>
    <row r="296" spans="2:8" x14ac:dyDescent="0.2">
      <c r="B296" s="1292"/>
      <c r="C296" s="1293"/>
      <c r="D296" s="2542"/>
      <c r="E296" s="2543"/>
      <c r="F296" s="2458"/>
      <c r="G296" s="2544"/>
    </row>
    <row r="297" spans="2:8" x14ac:dyDescent="0.2">
      <c r="B297" s="984" t="s">
        <v>17</v>
      </c>
      <c r="C297" s="985" t="s">
        <v>302</v>
      </c>
      <c r="D297" s="986"/>
      <c r="E297" s="987"/>
      <c r="F297" s="988"/>
      <c r="G297" s="876">
        <f>SUM(G127:G295)</f>
        <v>0</v>
      </c>
    </row>
    <row r="298" spans="2:8" x14ac:dyDescent="0.2">
      <c r="B298" s="1296"/>
      <c r="C298" s="1295"/>
      <c r="D298" s="1296"/>
      <c r="E298" s="990"/>
      <c r="F298" s="910"/>
    </row>
  </sheetData>
  <mergeCells count="4">
    <mergeCell ref="B59:G59"/>
    <mergeCell ref="B123:G123"/>
    <mergeCell ref="B124:G124"/>
    <mergeCell ref="B125:G125"/>
  </mergeCells>
  <pageMargins left="0.7" right="0.7" top="0.75" bottom="0.75" header="0.3" footer="0.3"/>
  <pageSetup paperSize="9" scale="73" orientation="portrait" r:id="rId1"/>
  <headerFooter alignWithMargins="0"/>
  <rowBreaks count="3" manualBreakCount="3">
    <brk id="55" max="16383" man="1"/>
    <brk id="85" min="1" max="6" man="1"/>
    <brk id="1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0046-2C35-48ED-9C36-979BCF720C83}">
  <sheetPr codeName="Sheet36">
    <tabColor rgb="FF0070C0"/>
  </sheetPr>
  <dimension ref="A2:L100"/>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1662</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G100</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944</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 t="shared" ref="G65:G70" si="3">E65*F65</f>
        <v>0</v>
      </c>
      <c r="H65" s="122"/>
      <c r="I65" s="121"/>
      <c r="J65" s="121"/>
      <c r="K65" s="121"/>
      <c r="L65" s="121"/>
    </row>
    <row r="66" spans="1:12" s="2" customFormat="1" ht="60" x14ac:dyDescent="0.2">
      <c r="A66" s="121"/>
      <c r="B66" s="153"/>
      <c r="C66" s="311" t="s">
        <v>781</v>
      </c>
      <c r="D66" s="207" t="s">
        <v>98</v>
      </c>
      <c r="E66" s="199">
        <v>2</v>
      </c>
      <c r="F66" s="269">
        <v>0</v>
      </c>
      <c r="G66" s="270">
        <f t="shared" si="3"/>
        <v>0</v>
      </c>
      <c r="H66" s="122"/>
      <c r="I66" s="121"/>
      <c r="J66" s="121"/>
      <c r="K66" s="121"/>
      <c r="L66" s="121"/>
    </row>
    <row r="67" spans="1:12" s="2" customFormat="1" ht="72" x14ac:dyDescent="0.2">
      <c r="A67" s="121"/>
      <c r="B67" s="153"/>
      <c r="C67" s="311" t="s">
        <v>533</v>
      </c>
      <c r="D67" s="10" t="s">
        <v>123</v>
      </c>
      <c r="E67" s="199">
        <v>1</v>
      </c>
      <c r="F67" s="269">
        <v>0</v>
      </c>
      <c r="G67" s="270">
        <f t="shared" si="3"/>
        <v>0</v>
      </c>
      <c r="H67" s="122"/>
      <c r="I67" s="121"/>
      <c r="J67" s="121"/>
      <c r="K67" s="121"/>
      <c r="L67" s="121"/>
    </row>
    <row r="68" spans="1:12" s="2" customFormat="1" ht="36" x14ac:dyDescent="0.2">
      <c r="A68" s="121"/>
      <c r="B68" s="153"/>
      <c r="C68" s="311" t="s">
        <v>782</v>
      </c>
      <c r="D68" s="207" t="s">
        <v>123</v>
      </c>
      <c r="E68" s="199">
        <v>1</v>
      </c>
      <c r="F68" s="269">
        <v>0</v>
      </c>
      <c r="G68" s="270">
        <f t="shared" si="3"/>
        <v>0</v>
      </c>
      <c r="H68" s="122"/>
      <c r="I68" s="121"/>
      <c r="J68" s="121"/>
      <c r="K68" s="121"/>
      <c r="L68" s="121"/>
    </row>
    <row r="69" spans="1:12" s="2" customFormat="1" ht="132" x14ac:dyDescent="0.2">
      <c r="A69" s="121"/>
      <c r="B69" s="153"/>
      <c r="C69" s="311" t="s">
        <v>508</v>
      </c>
      <c r="D69" s="207" t="s">
        <v>123</v>
      </c>
      <c r="E69" s="199">
        <v>1</v>
      </c>
      <c r="F69" s="269">
        <v>0</v>
      </c>
      <c r="G69" s="270">
        <f t="shared" si="3"/>
        <v>0</v>
      </c>
      <c r="H69" s="122"/>
      <c r="I69" s="121"/>
      <c r="J69" s="121"/>
      <c r="K69" s="121"/>
      <c r="L69" s="121"/>
    </row>
    <row r="70" spans="1:12" s="2" customFormat="1" ht="132" x14ac:dyDescent="0.2">
      <c r="A70" s="121"/>
      <c r="B70" s="153"/>
      <c r="C70" s="311" t="s">
        <v>567</v>
      </c>
      <c r="D70" s="10" t="s">
        <v>123</v>
      </c>
      <c r="E70" s="199">
        <v>1</v>
      </c>
      <c r="F70" s="269">
        <v>0</v>
      </c>
      <c r="G70" s="270">
        <f t="shared" si="3"/>
        <v>0</v>
      </c>
      <c r="H70" s="122"/>
      <c r="I70" s="121"/>
      <c r="J70" s="121"/>
      <c r="K70" s="121"/>
      <c r="L70" s="121"/>
    </row>
    <row r="71" spans="1:12" s="2" customFormat="1" x14ac:dyDescent="0.2">
      <c r="A71" s="121"/>
      <c r="B71" s="153">
        <v>5</v>
      </c>
      <c r="C71" s="357" t="s">
        <v>784</v>
      </c>
      <c r="D71" s="207"/>
      <c r="E71" s="199"/>
      <c r="F71" s="269"/>
      <c r="G71" s="270"/>
      <c r="H71" s="122"/>
      <c r="I71" s="121"/>
      <c r="J71" s="121"/>
      <c r="K71" s="121"/>
      <c r="L71" s="121"/>
    </row>
    <row r="72" spans="1:12" s="2" customFormat="1" x14ac:dyDescent="0.2">
      <c r="A72" s="121"/>
      <c r="B72" s="153"/>
      <c r="C72" s="311" t="s">
        <v>643</v>
      </c>
      <c r="D72" s="207" t="s">
        <v>644</v>
      </c>
      <c r="E72" s="199">
        <v>20</v>
      </c>
      <c r="F72" s="269">
        <v>0</v>
      </c>
      <c r="G72" s="270">
        <f t="shared" ref="G72:G80" si="4">E72*F72</f>
        <v>0</v>
      </c>
      <c r="H72" s="122"/>
      <c r="I72" s="121"/>
      <c r="J72" s="121"/>
      <c r="K72" s="121"/>
      <c r="L72" s="121"/>
    </row>
    <row r="73" spans="1:12" s="2" customFormat="1" x14ac:dyDescent="0.2">
      <c r="A73" s="121"/>
      <c r="B73" s="153"/>
      <c r="C73" s="311" t="s">
        <v>645</v>
      </c>
      <c r="D73" s="207" t="s">
        <v>644</v>
      </c>
      <c r="E73" s="199">
        <v>30</v>
      </c>
      <c r="F73" s="269">
        <v>0</v>
      </c>
      <c r="G73" s="270">
        <f t="shared" si="4"/>
        <v>0</v>
      </c>
      <c r="H73" s="122"/>
      <c r="I73" s="121"/>
      <c r="J73" s="121"/>
      <c r="K73" s="121"/>
      <c r="L73" s="121"/>
    </row>
    <row r="74" spans="1:12" s="2" customFormat="1" x14ac:dyDescent="0.2">
      <c r="A74" s="121"/>
      <c r="B74" s="153"/>
      <c r="C74" s="311" t="s">
        <v>646</v>
      </c>
      <c r="D74" s="207" t="s">
        <v>644</v>
      </c>
      <c r="E74" s="199">
        <v>100</v>
      </c>
      <c r="F74" s="269">
        <v>0</v>
      </c>
      <c r="G74" s="270">
        <f t="shared" si="4"/>
        <v>0</v>
      </c>
      <c r="H74" s="122"/>
      <c r="I74" s="121"/>
      <c r="J74" s="121"/>
      <c r="K74" s="121"/>
      <c r="L74" s="121"/>
    </row>
    <row r="75" spans="1:12" s="2" customFormat="1" x14ac:dyDescent="0.2">
      <c r="A75" s="121"/>
      <c r="B75" s="153"/>
      <c r="C75" s="311" t="s">
        <v>647</v>
      </c>
      <c r="D75" s="207" t="s">
        <v>644</v>
      </c>
      <c r="E75" s="199">
        <v>50</v>
      </c>
      <c r="F75" s="269">
        <v>0</v>
      </c>
      <c r="G75" s="270">
        <f t="shared" si="4"/>
        <v>0</v>
      </c>
      <c r="H75" s="122"/>
      <c r="I75" s="121"/>
      <c r="J75" s="121"/>
      <c r="K75" s="121"/>
      <c r="L75" s="121"/>
    </row>
    <row r="76" spans="1:12" s="2" customFormat="1" x14ac:dyDescent="0.2">
      <c r="A76" s="121"/>
      <c r="B76" s="153"/>
      <c r="C76" s="311" t="s">
        <v>648</v>
      </c>
      <c r="D76" s="207" t="s">
        <v>644</v>
      </c>
      <c r="E76" s="199">
        <v>30</v>
      </c>
      <c r="F76" s="269">
        <v>0</v>
      </c>
      <c r="G76" s="270">
        <f t="shared" si="4"/>
        <v>0</v>
      </c>
      <c r="H76" s="122"/>
      <c r="I76" s="121"/>
      <c r="J76" s="121"/>
      <c r="K76" s="121"/>
      <c r="L76" s="121"/>
    </row>
    <row r="77" spans="1:12" s="2" customFormat="1" x14ac:dyDescent="0.2">
      <c r="A77" s="121"/>
      <c r="B77" s="153"/>
      <c r="C77" s="311" t="s">
        <v>650</v>
      </c>
      <c r="D77" s="207" t="s">
        <v>123</v>
      </c>
      <c r="E77" s="199">
        <v>2</v>
      </c>
      <c r="F77" s="269">
        <v>0</v>
      </c>
      <c r="G77" s="270">
        <f t="shared" si="4"/>
        <v>0</v>
      </c>
      <c r="H77" s="122"/>
      <c r="I77" s="121"/>
      <c r="J77" s="121"/>
      <c r="K77" s="121"/>
      <c r="L77" s="121"/>
    </row>
    <row r="78" spans="1:12" s="2" customFormat="1" x14ac:dyDescent="0.2">
      <c r="A78" s="121"/>
      <c r="B78" s="153"/>
      <c r="C78" s="311" t="s">
        <v>651</v>
      </c>
      <c r="D78" s="207" t="s">
        <v>644</v>
      </c>
      <c r="E78" s="199">
        <v>50</v>
      </c>
      <c r="F78" s="269">
        <v>0</v>
      </c>
      <c r="G78" s="270">
        <f t="shared" si="4"/>
        <v>0</v>
      </c>
      <c r="H78" s="122"/>
      <c r="I78" s="121"/>
      <c r="J78" s="121"/>
      <c r="K78" s="121"/>
      <c r="L78" s="121"/>
    </row>
    <row r="79" spans="1:12" s="2" customFormat="1" x14ac:dyDescent="0.2">
      <c r="A79" s="121"/>
      <c r="B79" s="153"/>
      <c r="C79" s="311" t="s">
        <v>652</v>
      </c>
      <c r="D79" s="207" t="s">
        <v>644</v>
      </c>
      <c r="E79" s="199">
        <v>30</v>
      </c>
      <c r="F79" s="269">
        <v>0</v>
      </c>
      <c r="G79" s="270">
        <f t="shared" si="4"/>
        <v>0</v>
      </c>
      <c r="H79" s="122"/>
      <c r="I79" s="121"/>
      <c r="J79" s="121"/>
      <c r="K79" s="121"/>
      <c r="L79" s="121"/>
    </row>
    <row r="80" spans="1:12" s="2" customFormat="1" x14ac:dyDescent="0.2">
      <c r="A80" s="121"/>
      <c r="B80" s="153"/>
      <c r="C80" s="311" t="s">
        <v>632</v>
      </c>
      <c r="D80" s="207" t="s">
        <v>98</v>
      </c>
      <c r="E80" s="199">
        <v>1</v>
      </c>
      <c r="F80" s="269">
        <v>0</v>
      </c>
      <c r="G80" s="270">
        <f t="shared" si="4"/>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20</v>
      </c>
      <c r="F82" s="269">
        <v>0</v>
      </c>
      <c r="G82" s="270">
        <f t="shared" ref="G82:G89" si="5">E82*F82</f>
        <v>0</v>
      </c>
      <c r="I82" s="11"/>
      <c r="J82" s="11"/>
      <c r="K82" s="11"/>
      <c r="L82" s="11"/>
    </row>
    <row r="83" spans="1:12" s="12" customFormat="1" x14ac:dyDescent="0.2">
      <c r="A83" s="11"/>
      <c r="B83" s="153"/>
      <c r="C83" s="311" t="s">
        <v>667</v>
      </c>
      <c r="D83" s="207" t="s">
        <v>644</v>
      </c>
      <c r="E83" s="199">
        <v>50</v>
      </c>
      <c r="F83" s="269">
        <v>0</v>
      </c>
      <c r="G83" s="270">
        <f t="shared" si="5"/>
        <v>0</v>
      </c>
      <c r="I83" s="11"/>
      <c r="J83" s="11"/>
      <c r="K83" s="11"/>
      <c r="L83" s="11"/>
    </row>
    <row r="84" spans="1:12" s="12" customFormat="1" x14ac:dyDescent="0.2">
      <c r="A84" s="11"/>
      <c r="B84" s="153"/>
      <c r="C84" s="311" t="s">
        <v>668</v>
      </c>
      <c r="D84" s="207" t="s">
        <v>644</v>
      </c>
      <c r="E84" s="199">
        <v>20</v>
      </c>
      <c r="F84" s="269">
        <v>0</v>
      </c>
      <c r="G84" s="270">
        <f t="shared" si="5"/>
        <v>0</v>
      </c>
      <c r="I84" s="11"/>
      <c r="J84" s="11"/>
      <c r="K84" s="11"/>
      <c r="L84" s="11"/>
    </row>
    <row r="85" spans="1:12" s="12" customFormat="1" x14ac:dyDescent="0.2">
      <c r="A85" s="11"/>
      <c r="B85" s="153"/>
      <c r="C85" s="311" t="s">
        <v>673</v>
      </c>
      <c r="D85" s="207" t="s">
        <v>123</v>
      </c>
      <c r="E85" s="199">
        <v>2</v>
      </c>
      <c r="F85" s="269">
        <v>0</v>
      </c>
      <c r="G85" s="270">
        <f t="shared" si="5"/>
        <v>0</v>
      </c>
      <c r="I85" s="11"/>
      <c r="J85" s="11"/>
      <c r="K85" s="11"/>
      <c r="L85" s="11"/>
    </row>
    <row r="86" spans="1:12" s="12" customFormat="1" x14ac:dyDescent="0.2">
      <c r="A86" s="11"/>
      <c r="B86" s="153"/>
      <c r="C86" s="311" t="s">
        <v>787</v>
      </c>
      <c r="D86" s="207" t="s">
        <v>123</v>
      </c>
      <c r="E86" s="199">
        <v>1</v>
      </c>
      <c r="F86" s="269">
        <v>0</v>
      </c>
      <c r="G86" s="270">
        <f t="shared" si="5"/>
        <v>0</v>
      </c>
      <c r="I86" s="11"/>
      <c r="J86" s="11"/>
      <c r="K86" s="11"/>
      <c r="L86" s="11"/>
    </row>
    <row r="87" spans="1:12" s="12" customFormat="1" x14ac:dyDescent="0.2">
      <c r="A87" s="11"/>
      <c r="B87" s="153"/>
      <c r="C87" s="311" t="s">
        <v>675</v>
      </c>
      <c r="D87" s="207" t="s">
        <v>123</v>
      </c>
      <c r="E87" s="199">
        <v>3</v>
      </c>
      <c r="F87" s="269">
        <v>0</v>
      </c>
      <c r="G87" s="270">
        <f t="shared" si="5"/>
        <v>0</v>
      </c>
      <c r="I87" s="11"/>
      <c r="J87" s="11"/>
      <c r="K87" s="11"/>
      <c r="L87" s="11"/>
    </row>
    <row r="88" spans="1:12" s="12" customFormat="1" x14ac:dyDescent="0.2">
      <c r="A88" s="11"/>
      <c r="B88" s="153"/>
      <c r="C88" s="311" t="s">
        <v>676</v>
      </c>
      <c r="D88" s="207" t="s">
        <v>123</v>
      </c>
      <c r="E88" s="199">
        <v>2</v>
      </c>
      <c r="F88" s="269">
        <v>0</v>
      </c>
      <c r="G88" s="270">
        <f t="shared" si="5"/>
        <v>0</v>
      </c>
      <c r="I88" s="11"/>
      <c r="J88" s="11"/>
      <c r="K88" s="11"/>
      <c r="L88" s="11"/>
    </row>
    <row r="89" spans="1:12" s="12" customFormat="1" ht="24" x14ac:dyDescent="0.2">
      <c r="A89" s="11"/>
      <c r="B89" s="153"/>
      <c r="C89" s="311" t="s">
        <v>677</v>
      </c>
      <c r="D89" s="207" t="s">
        <v>123</v>
      </c>
      <c r="E89" s="199">
        <v>1</v>
      </c>
      <c r="F89" s="269">
        <v>0</v>
      </c>
      <c r="G89" s="270">
        <f t="shared" si="5"/>
        <v>0</v>
      </c>
      <c r="I89" s="11"/>
      <c r="J89" s="11"/>
      <c r="K89" s="11"/>
      <c r="L89" s="11"/>
    </row>
    <row r="90" spans="1:12" s="2" customFormat="1" x14ac:dyDescent="0.2">
      <c r="A90" s="121"/>
      <c r="B90" s="153">
        <v>7</v>
      </c>
      <c r="C90" s="357" t="s">
        <v>788</v>
      </c>
      <c r="D90" s="207"/>
      <c r="E90" s="199"/>
      <c r="F90" s="269"/>
      <c r="G90" s="270"/>
      <c r="H90" s="122"/>
      <c r="I90" s="121"/>
      <c r="J90" s="121"/>
      <c r="K90" s="121"/>
      <c r="L90" s="121"/>
    </row>
    <row r="91" spans="1:12" s="2" customFormat="1" x14ac:dyDescent="0.2">
      <c r="A91" s="121"/>
      <c r="B91" s="153"/>
      <c r="C91" s="197" t="s">
        <v>655</v>
      </c>
      <c r="D91" s="207" t="s">
        <v>644</v>
      </c>
      <c r="E91" s="199">
        <v>40</v>
      </c>
      <c r="F91" s="200">
        <v>0</v>
      </c>
      <c r="G91" s="270">
        <f>E91*F91</f>
        <v>0</v>
      </c>
      <c r="H91" s="122"/>
      <c r="I91" s="121"/>
      <c r="J91" s="121"/>
      <c r="K91" s="121"/>
      <c r="L91" s="121"/>
    </row>
    <row r="92" spans="1:12" s="2" customFormat="1" ht="36" x14ac:dyDescent="0.2">
      <c r="A92" s="121"/>
      <c r="B92" s="153"/>
      <c r="C92" s="197" t="s">
        <v>656</v>
      </c>
      <c r="D92" s="207" t="s">
        <v>98</v>
      </c>
      <c r="E92" s="199">
        <v>2</v>
      </c>
      <c r="F92" s="200">
        <v>0</v>
      </c>
      <c r="G92" s="270">
        <f>E92*F92</f>
        <v>0</v>
      </c>
      <c r="H92" s="122"/>
      <c r="I92" s="121"/>
      <c r="J92" s="121"/>
      <c r="K92" s="121"/>
      <c r="L92" s="121"/>
    </row>
    <row r="93" spans="1:12" s="2" customFormat="1" ht="24" x14ac:dyDescent="0.2">
      <c r="A93" s="121"/>
      <c r="B93" s="153"/>
      <c r="C93" s="197" t="s">
        <v>657</v>
      </c>
      <c r="D93" s="207" t="s">
        <v>98</v>
      </c>
      <c r="E93" s="199">
        <v>1</v>
      </c>
      <c r="F93" s="200">
        <v>0</v>
      </c>
      <c r="G93" s="270">
        <f>E93*F93</f>
        <v>0</v>
      </c>
      <c r="H93" s="122"/>
      <c r="I93" s="121"/>
      <c r="J93" s="121"/>
      <c r="K93" s="121"/>
      <c r="L93" s="121"/>
    </row>
    <row r="94" spans="1:12" s="2" customFormat="1" x14ac:dyDescent="0.2">
      <c r="A94" s="121"/>
      <c r="B94" s="153"/>
      <c r="C94" s="197" t="s">
        <v>663</v>
      </c>
      <c r="D94" s="207" t="s">
        <v>98</v>
      </c>
      <c r="E94" s="199">
        <v>1</v>
      </c>
      <c r="F94" s="200">
        <v>0</v>
      </c>
      <c r="G94" s="270">
        <f>E94*F94</f>
        <v>0</v>
      </c>
      <c r="H94" s="122"/>
      <c r="I94" s="121"/>
      <c r="J94" s="121"/>
      <c r="K94" s="121"/>
      <c r="L94" s="121"/>
    </row>
    <row r="95" spans="1:12" s="2" customFormat="1" x14ac:dyDescent="0.2">
      <c r="A95" s="121"/>
      <c r="B95" s="153">
        <v>8</v>
      </c>
      <c r="C95" s="357" t="s">
        <v>679</v>
      </c>
      <c r="D95" s="207"/>
      <c r="E95" s="199"/>
      <c r="F95" s="269"/>
      <c r="G95" s="270"/>
      <c r="H95" s="122"/>
      <c r="I95" s="121"/>
      <c r="J95" s="121"/>
      <c r="K95" s="121"/>
      <c r="L95" s="121"/>
    </row>
    <row r="96" spans="1:12" s="2" customFormat="1" ht="48" x14ac:dyDescent="0.2">
      <c r="A96" s="121"/>
      <c r="B96" s="153"/>
      <c r="C96" s="311" t="s">
        <v>789</v>
      </c>
      <c r="D96" s="207" t="s">
        <v>98</v>
      </c>
      <c r="E96" s="199">
        <v>1</v>
      </c>
      <c r="F96" s="269">
        <v>0</v>
      </c>
      <c r="G96" s="270">
        <f>E96*F96</f>
        <v>0</v>
      </c>
      <c r="H96" s="122"/>
      <c r="I96" s="121"/>
      <c r="J96" s="121"/>
      <c r="K96" s="121"/>
      <c r="L96" s="121"/>
    </row>
    <row r="97" spans="1:12" s="2" customFormat="1" ht="36" x14ac:dyDescent="0.2">
      <c r="A97" s="121"/>
      <c r="B97" s="153"/>
      <c r="C97" s="311" t="s">
        <v>790</v>
      </c>
      <c r="D97" s="207" t="s">
        <v>98</v>
      </c>
      <c r="E97" s="199">
        <v>1</v>
      </c>
      <c r="F97" s="269">
        <v>0</v>
      </c>
      <c r="G97" s="270">
        <f>E97*F97</f>
        <v>0</v>
      </c>
      <c r="H97" s="122"/>
      <c r="I97" s="121"/>
      <c r="J97" s="121"/>
      <c r="K97" s="121"/>
      <c r="L97" s="121"/>
    </row>
    <row r="98" spans="1:12" s="2" customFormat="1" ht="36" x14ac:dyDescent="0.2">
      <c r="A98" s="121"/>
      <c r="B98" s="153"/>
      <c r="C98" s="311" t="s">
        <v>791</v>
      </c>
      <c r="D98" s="207" t="s">
        <v>98</v>
      </c>
      <c r="E98" s="199">
        <v>1</v>
      </c>
      <c r="F98" s="269">
        <v>0</v>
      </c>
      <c r="G98" s="270">
        <f>E98*F98</f>
        <v>0</v>
      </c>
      <c r="H98" s="122"/>
      <c r="I98" s="121"/>
      <c r="J98" s="121"/>
      <c r="K98" s="121"/>
      <c r="L98" s="121"/>
    </row>
    <row r="99" spans="1:12" s="2" customFormat="1" ht="36" x14ac:dyDescent="0.2">
      <c r="A99" s="121"/>
      <c r="B99" s="153"/>
      <c r="C99" s="311" t="s">
        <v>792</v>
      </c>
      <c r="D99" s="207" t="s">
        <v>98</v>
      </c>
      <c r="E99" s="199">
        <v>1</v>
      </c>
      <c r="F99" s="269">
        <v>0</v>
      </c>
      <c r="G99" s="270">
        <f>E99*F99</f>
        <v>0</v>
      </c>
      <c r="H99" s="122"/>
      <c r="I99" s="121"/>
      <c r="J99" s="121"/>
      <c r="K99" s="121"/>
      <c r="L99" s="121"/>
    </row>
    <row r="100" spans="1:12" s="9" customFormat="1" ht="23.25" customHeight="1" x14ac:dyDescent="0.25">
      <c r="A100" s="147"/>
      <c r="B100" s="327" t="s">
        <v>18</v>
      </c>
      <c r="C100" s="214" t="s">
        <v>818</v>
      </c>
      <c r="D100" s="214"/>
      <c r="E100" s="215"/>
      <c r="F100" s="216"/>
      <c r="G100" s="290">
        <f>SUM(G30:G99)</f>
        <v>0</v>
      </c>
      <c r="H100" s="150"/>
      <c r="I100" s="147"/>
      <c r="J100" s="147"/>
      <c r="K100" s="147"/>
      <c r="L100"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ACC9-F6AC-45E0-8B6A-390036AC72E5}">
  <sheetPr codeName="Sheet37">
    <tabColor rgb="FF0070C0"/>
  </sheetPr>
  <dimension ref="A2:L98"/>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1662</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G98</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96" x14ac:dyDescent="0.2">
      <c r="A70" s="121"/>
      <c r="B70" s="153"/>
      <c r="C70" s="311" t="s">
        <v>783</v>
      </c>
      <c r="D70" s="10" t="s">
        <v>123</v>
      </c>
      <c r="E70" s="199">
        <v>1</v>
      </c>
      <c r="F70" s="269">
        <v>0</v>
      </c>
      <c r="G70" s="270">
        <f>E70*F70</f>
        <v>0</v>
      </c>
      <c r="H70" s="122"/>
      <c r="I70" s="121"/>
      <c r="J70" s="121"/>
      <c r="K70" s="121"/>
      <c r="L70" s="121"/>
    </row>
    <row r="71" spans="1:12" s="2" customFormat="1" x14ac:dyDescent="0.2">
      <c r="A71" s="121"/>
      <c r="B71" s="153">
        <v>5</v>
      </c>
      <c r="C71" s="357" t="s">
        <v>784</v>
      </c>
      <c r="D71" s="207"/>
      <c r="E71" s="199"/>
      <c r="F71" s="269"/>
      <c r="G71" s="270"/>
      <c r="H71" s="122"/>
      <c r="I71" s="121"/>
      <c r="J71" s="121"/>
      <c r="K71" s="121"/>
      <c r="L71" s="121"/>
    </row>
    <row r="72" spans="1:12" s="2" customFormat="1" x14ac:dyDescent="0.2">
      <c r="A72" s="121"/>
      <c r="B72" s="153"/>
      <c r="C72" s="311" t="s">
        <v>645</v>
      </c>
      <c r="D72" s="207" t="s">
        <v>644</v>
      </c>
      <c r="E72" s="199">
        <v>15</v>
      </c>
      <c r="F72" s="269">
        <v>0</v>
      </c>
      <c r="G72" s="270">
        <f t="shared" ref="G72:G79" si="3">E72*F72</f>
        <v>0</v>
      </c>
      <c r="H72" s="122"/>
      <c r="I72" s="121"/>
      <c r="J72" s="121"/>
      <c r="K72" s="121"/>
      <c r="L72" s="121"/>
    </row>
    <row r="73" spans="1:12" s="2" customFormat="1" x14ac:dyDescent="0.2">
      <c r="A73" s="121"/>
      <c r="B73" s="153"/>
      <c r="C73" s="311" t="s">
        <v>646</v>
      </c>
      <c r="D73" s="207" t="s">
        <v>644</v>
      </c>
      <c r="E73" s="199">
        <v>50</v>
      </c>
      <c r="F73" s="269">
        <v>0</v>
      </c>
      <c r="G73" s="270">
        <f t="shared" si="3"/>
        <v>0</v>
      </c>
      <c r="H73" s="122"/>
      <c r="I73" s="121"/>
      <c r="J73" s="121"/>
      <c r="K73" s="121"/>
      <c r="L73" s="121"/>
    </row>
    <row r="74" spans="1:12" s="2" customFormat="1" x14ac:dyDescent="0.2">
      <c r="A74" s="121"/>
      <c r="B74" s="153"/>
      <c r="C74" s="311" t="s">
        <v>647</v>
      </c>
      <c r="D74" s="207" t="s">
        <v>644</v>
      </c>
      <c r="E74" s="199">
        <v>25</v>
      </c>
      <c r="F74" s="269">
        <v>0</v>
      </c>
      <c r="G74" s="270">
        <f t="shared" si="3"/>
        <v>0</v>
      </c>
      <c r="H74" s="122"/>
      <c r="I74" s="121"/>
      <c r="J74" s="121"/>
      <c r="K74" s="121"/>
      <c r="L74" s="121"/>
    </row>
    <row r="75" spans="1:12" s="2" customFormat="1" x14ac:dyDescent="0.2">
      <c r="A75" s="121"/>
      <c r="B75" s="153"/>
      <c r="C75" s="311" t="s">
        <v>648</v>
      </c>
      <c r="D75" s="207" t="s">
        <v>644</v>
      </c>
      <c r="E75" s="199">
        <v>15</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20</v>
      </c>
      <c r="F77" s="269">
        <v>0</v>
      </c>
      <c r="G77" s="270">
        <f t="shared" si="3"/>
        <v>0</v>
      </c>
      <c r="H77" s="122"/>
      <c r="I77" s="121"/>
      <c r="J77" s="121"/>
      <c r="K77" s="121"/>
      <c r="L77" s="121"/>
    </row>
    <row r="78" spans="1:12" s="2" customFormat="1" x14ac:dyDescent="0.2">
      <c r="A78" s="121"/>
      <c r="B78" s="153"/>
      <c r="C78" s="311" t="s">
        <v>652</v>
      </c>
      <c r="D78" s="207" t="s">
        <v>644</v>
      </c>
      <c r="E78" s="199">
        <v>15</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8</v>
      </c>
      <c r="F81" s="269">
        <v>0</v>
      </c>
      <c r="G81" s="270">
        <f t="shared" ref="G81:G87"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1</v>
      </c>
      <c r="F84" s="269">
        <v>0</v>
      </c>
      <c r="G84" s="270">
        <f t="shared" si="4"/>
        <v>0</v>
      </c>
      <c r="I84" s="11"/>
      <c r="J84" s="11"/>
      <c r="K84" s="11"/>
      <c r="L84" s="11"/>
    </row>
    <row r="85" spans="1:12" s="12" customFormat="1" x14ac:dyDescent="0.2">
      <c r="A85" s="11"/>
      <c r="B85" s="153"/>
      <c r="C85" s="311" t="s">
        <v>675</v>
      </c>
      <c r="D85" s="207" t="s">
        <v>123</v>
      </c>
      <c r="E85" s="199">
        <v>3</v>
      </c>
      <c r="F85" s="269">
        <v>0</v>
      </c>
      <c r="G85" s="270">
        <f t="shared" si="4"/>
        <v>0</v>
      </c>
      <c r="I85" s="11"/>
      <c r="J85" s="11"/>
      <c r="K85" s="11"/>
      <c r="L85" s="11"/>
    </row>
    <row r="86" spans="1:12" s="12" customFormat="1" x14ac:dyDescent="0.2">
      <c r="A86" s="11"/>
      <c r="B86" s="153"/>
      <c r="C86" s="311" t="s">
        <v>676</v>
      </c>
      <c r="D86" s="207" t="s">
        <v>123</v>
      </c>
      <c r="E86" s="199">
        <v>2</v>
      </c>
      <c r="F86" s="269">
        <v>0</v>
      </c>
      <c r="G86" s="270">
        <f t="shared" si="4"/>
        <v>0</v>
      </c>
      <c r="I86" s="11"/>
      <c r="J86" s="11"/>
      <c r="K86" s="11"/>
      <c r="L86" s="11"/>
    </row>
    <row r="87" spans="1:12" s="12" customFormat="1" ht="24" x14ac:dyDescent="0.2">
      <c r="A87" s="11"/>
      <c r="B87" s="153"/>
      <c r="C87" s="311" t="s">
        <v>677</v>
      </c>
      <c r="D87" s="207" t="s">
        <v>123</v>
      </c>
      <c r="E87" s="199">
        <v>1</v>
      </c>
      <c r="F87" s="269">
        <v>0</v>
      </c>
      <c r="G87" s="270">
        <f t="shared" si="4"/>
        <v>0</v>
      </c>
      <c r="I87" s="11"/>
      <c r="J87" s="11"/>
      <c r="K87" s="11"/>
      <c r="L87" s="11"/>
    </row>
    <row r="88" spans="1:12" s="2" customFormat="1" x14ac:dyDescent="0.2">
      <c r="A88" s="121"/>
      <c r="B88" s="153">
        <v>7</v>
      </c>
      <c r="C88" s="357" t="s">
        <v>788</v>
      </c>
      <c r="D88" s="207"/>
      <c r="E88" s="199"/>
      <c r="F88" s="269"/>
      <c r="G88" s="270"/>
      <c r="H88" s="122"/>
      <c r="I88" s="121"/>
      <c r="J88" s="121"/>
      <c r="K88" s="121"/>
      <c r="L88" s="121"/>
    </row>
    <row r="89" spans="1:12" s="2" customFormat="1" x14ac:dyDescent="0.2">
      <c r="A89" s="121"/>
      <c r="B89" s="153"/>
      <c r="C89" s="197" t="s">
        <v>655</v>
      </c>
      <c r="D89" s="207" t="s">
        <v>644</v>
      </c>
      <c r="E89" s="199">
        <v>10</v>
      </c>
      <c r="F89" s="269">
        <v>0</v>
      </c>
      <c r="G89" s="270">
        <f>E89*F89</f>
        <v>0</v>
      </c>
      <c r="H89" s="122"/>
      <c r="I89" s="121"/>
      <c r="J89" s="121"/>
      <c r="K89" s="121"/>
      <c r="L89" s="121"/>
    </row>
    <row r="90" spans="1:12" s="2" customFormat="1" ht="36" x14ac:dyDescent="0.2">
      <c r="A90" s="121"/>
      <c r="B90" s="153"/>
      <c r="C90" s="197" t="s">
        <v>656</v>
      </c>
      <c r="D90" s="207" t="s">
        <v>98</v>
      </c>
      <c r="E90" s="199">
        <v>1</v>
      </c>
      <c r="F90" s="269">
        <v>0</v>
      </c>
      <c r="G90" s="270">
        <f>E90*F90</f>
        <v>0</v>
      </c>
      <c r="H90" s="122"/>
      <c r="I90" s="121"/>
      <c r="J90" s="121"/>
      <c r="K90" s="121"/>
      <c r="L90" s="121"/>
    </row>
    <row r="91" spans="1:12" s="2" customFormat="1" ht="24" x14ac:dyDescent="0.2">
      <c r="A91" s="121"/>
      <c r="B91" s="153"/>
      <c r="C91" s="197" t="s">
        <v>657</v>
      </c>
      <c r="D91" s="207" t="s">
        <v>98</v>
      </c>
      <c r="E91" s="199">
        <v>1</v>
      </c>
      <c r="F91" s="269">
        <v>0</v>
      </c>
      <c r="G91" s="270">
        <f>E91*F91</f>
        <v>0</v>
      </c>
      <c r="H91" s="122"/>
      <c r="I91" s="121"/>
      <c r="J91" s="121"/>
      <c r="K91" s="121"/>
      <c r="L91" s="121"/>
    </row>
    <row r="92" spans="1:12" s="2" customFormat="1" x14ac:dyDescent="0.2">
      <c r="A92" s="121"/>
      <c r="B92" s="153"/>
      <c r="C92" s="197" t="s">
        <v>663</v>
      </c>
      <c r="D92" s="207" t="s">
        <v>98</v>
      </c>
      <c r="E92" s="199">
        <v>1</v>
      </c>
      <c r="F92" s="269">
        <v>0</v>
      </c>
      <c r="G92" s="270">
        <f>E92*F92</f>
        <v>0</v>
      </c>
      <c r="H92" s="122"/>
      <c r="I92" s="121"/>
      <c r="J92" s="121"/>
      <c r="K92" s="121"/>
      <c r="L92" s="121"/>
    </row>
    <row r="93" spans="1:12" s="2" customFormat="1" x14ac:dyDescent="0.2">
      <c r="A93" s="121"/>
      <c r="B93" s="153">
        <v>8</v>
      </c>
      <c r="C93" s="357" t="s">
        <v>679</v>
      </c>
      <c r="D93" s="207"/>
      <c r="E93" s="199"/>
      <c r="F93" s="269"/>
      <c r="G93" s="270"/>
      <c r="H93" s="122"/>
      <c r="I93" s="121"/>
      <c r="J93" s="121"/>
      <c r="K93" s="121"/>
      <c r="L93" s="121"/>
    </row>
    <row r="94" spans="1:12" s="2" customFormat="1" ht="48" x14ac:dyDescent="0.2">
      <c r="A94" s="121"/>
      <c r="B94" s="153"/>
      <c r="C94" s="311" t="s">
        <v>789</v>
      </c>
      <c r="D94" s="10" t="s">
        <v>98</v>
      </c>
      <c r="E94" s="199">
        <v>1</v>
      </c>
      <c r="F94" s="269">
        <v>0</v>
      </c>
      <c r="G94" s="270">
        <f>E94*F94</f>
        <v>0</v>
      </c>
      <c r="H94" s="122"/>
      <c r="I94" s="121"/>
      <c r="J94" s="121"/>
      <c r="K94" s="121"/>
      <c r="L94" s="121"/>
    </row>
    <row r="95" spans="1:12" s="2" customFormat="1" ht="36" x14ac:dyDescent="0.2">
      <c r="A95" s="121"/>
      <c r="B95" s="153"/>
      <c r="C95" s="311" t="s">
        <v>790</v>
      </c>
      <c r="D95" s="207" t="s">
        <v>98</v>
      </c>
      <c r="E95" s="199">
        <v>1</v>
      </c>
      <c r="F95" s="269">
        <v>0</v>
      </c>
      <c r="G95" s="270">
        <f>E95*F95</f>
        <v>0</v>
      </c>
      <c r="H95" s="122"/>
      <c r="I95" s="121"/>
      <c r="J95" s="121"/>
      <c r="K95" s="121"/>
      <c r="L95" s="121"/>
    </row>
    <row r="96" spans="1:12" s="2" customFormat="1" ht="36" x14ac:dyDescent="0.2">
      <c r="A96" s="121"/>
      <c r="B96" s="153"/>
      <c r="C96" s="311" t="s">
        <v>791</v>
      </c>
      <c r="D96" s="207" t="s">
        <v>98</v>
      </c>
      <c r="E96" s="199">
        <v>1</v>
      </c>
      <c r="F96" s="269">
        <v>0</v>
      </c>
      <c r="G96" s="270">
        <f>E96*F96</f>
        <v>0</v>
      </c>
      <c r="H96" s="122"/>
      <c r="I96" s="121"/>
      <c r="J96" s="121"/>
      <c r="K96" s="121"/>
      <c r="L96" s="121"/>
    </row>
    <row r="97" spans="1:12" s="2" customFormat="1" ht="36" x14ac:dyDescent="0.2">
      <c r="A97" s="121"/>
      <c r="B97" s="153"/>
      <c r="C97" s="311" t="s">
        <v>792</v>
      </c>
      <c r="D97" s="207" t="s">
        <v>98</v>
      </c>
      <c r="E97" s="199">
        <v>1</v>
      </c>
      <c r="F97" s="269">
        <v>0</v>
      </c>
      <c r="G97" s="270">
        <f>E97*F97</f>
        <v>0</v>
      </c>
      <c r="H97" s="122"/>
      <c r="I97" s="121"/>
      <c r="J97" s="121"/>
      <c r="K97" s="121"/>
      <c r="L97" s="121"/>
    </row>
    <row r="98" spans="1:12" s="9" customFormat="1" ht="23.25" customHeight="1" x14ac:dyDescent="0.25">
      <c r="B98" s="327" t="s">
        <v>18</v>
      </c>
      <c r="C98" s="214" t="s">
        <v>818</v>
      </c>
      <c r="D98" s="214"/>
      <c r="E98" s="215"/>
      <c r="F98" s="216"/>
      <c r="G98" s="290">
        <f>SUM(G30:G97)</f>
        <v>0</v>
      </c>
      <c r="H98" s="150"/>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16680-8FAE-4B04-BA58-9EADDEE6DB47}">
  <sheetPr codeName="Sheet38">
    <tabColor rgb="FF0070C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1662</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72" x14ac:dyDescent="0.2">
      <c r="A69" s="121"/>
      <c r="B69" s="153"/>
      <c r="C69" s="311" t="s">
        <v>533</v>
      </c>
      <c r="D69" s="10" t="s">
        <v>123</v>
      </c>
      <c r="E69" s="199">
        <v>1</v>
      </c>
      <c r="F69" s="269">
        <v>0</v>
      </c>
      <c r="G69" s="270">
        <f>E69*F69</f>
        <v>0</v>
      </c>
      <c r="H69" s="122"/>
      <c r="I69" s="121"/>
      <c r="J69" s="121"/>
      <c r="K69" s="121"/>
      <c r="L69" s="121"/>
    </row>
    <row r="70" spans="1:12" s="2" customFormat="1" ht="36" x14ac:dyDescent="0.2">
      <c r="A70" s="121"/>
      <c r="B70" s="153"/>
      <c r="C70" s="311" t="s">
        <v>782</v>
      </c>
      <c r="D70" s="207" t="s">
        <v>123</v>
      </c>
      <c r="E70" s="199">
        <v>1</v>
      </c>
      <c r="F70" s="269">
        <v>0</v>
      </c>
      <c r="G70" s="270">
        <f>E70*F70</f>
        <v>0</v>
      </c>
      <c r="H70" s="122"/>
      <c r="I70" s="121"/>
      <c r="J70" s="121"/>
      <c r="K70" s="121"/>
      <c r="L70" s="121"/>
    </row>
    <row r="71" spans="1:12" s="2" customFormat="1" ht="96" x14ac:dyDescent="0.2">
      <c r="A71" s="121"/>
      <c r="B71" s="153"/>
      <c r="C71" s="311" t="s">
        <v>783</v>
      </c>
      <c r="D71" s="10"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10"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1DD5-FEDA-44FE-8060-A2BB2DE2AC3A}">
  <sheetPr codeName="Sheet39">
    <tabColor rgb="FF0070C0"/>
  </sheetPr>
  <dimension ref="A2:L99"/>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1662</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1666</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942</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2465</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207"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CFC21-D4E8-4CD8-90E2-215735D145DF}">
  <sheetPr codeName="Sheet64">
    <tabColor rgb="FF0070C0"/>
  </sheetPr>
  <dimension ref="B1:R258"/>
  <sheetViews>
    <sheetView topLeftCell="A34" zoomScaleNormal="100" zoomScaleSheetLayoutView="85" workbookViewId="0">
      <selection activeCell="C49" sqref="C49"/>
    </sheetView>
  </sheetViews>
  <sheetFormatPr defaultColWidth="10.42578125" defaultRowHeight="12.75" x14ac:dyDescent="0.2"/>
  <cols>
    <col min="1" max="1" width="4.42578125" style="741" customWidth="1"/>
    <col min="2" max="2" width="7.42578125" style="739" customWidth="1"/>
    <col min="3" max="3" width="30.5703125" style="740" customWidth="1"/>
    <col min="4" max="4" width="9.85546875" style="741" customWidth="1"/>
    <col min="5" max="5" width="12.85546875" style="995" customWidth="1"/>
    <col min="6" max="6" width="13.28515625" style="996" customWidth="1"/>
    <col min="7" max="7" width="16.5703125" style="997"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120"/>
      <c r="C3" s="188"/>
      <c r="D3" s="189"/>
      <c r="E3" s="464"/>
      <c r="F3" s="465"/>
      <c r="G3" s="463"/>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31" t="s">
        <v>1667</v>
      </c>
      <c r="D6" s="3232"/>
      <c r="E6" s="3232"/>
      <c r="F6" s="3232"/>
      <c r="G6" s="760"/>
    </row>
    <row r="7" spans="2:8" ht="15" customHeight="1" x14ac:dyDescent="0.2">
      <c r="B7" s="761"/>
      <c r="C7" s="767"/>
      <c r="D7" s="768"/>
      <c r="E7" s="769"/>
      <c r="F7" s="770"/>
      <c r="G7" s="771"/>
    </row>
    <row r="8" spans="2:8" x14ac:dyDescent="0.2">
      <c r="B8" s="2853" t="s">
        <v>1</v>
      </c>
      <c r="C8" s="2854"/>
      <c r="D8" s="2855"/>
      <c r="E8" s="2855"/>
      <c r="F8" s="2855"/>
      <c r="G8" s="2856"/>
    </row>
    <row r="9" spans="2:8" x14ac:dyDescent="0.2">
      <c r="B9" s="2857" t="s">
        <v>2</v>
      </c>
      <c r="C9" s="2858"/>
      <c r="D9" s="2859"/>
      <c r="E9" s="2860"/>
      <c r="F9" s="2860"/>
      <c r="G9" s="2859"/>
    </row>
    <row r="10" spans="2:8" x14ac:dyDescent="0.2">
      <c r="B10" s="2853" t="s">
        <v>3</v>
      </c>
      <c r="C10" s="2854"/>
      <c r="D10" s="2855"/>
      <c r="E10" s="2855"/>
      <c r="F10" s="2855"/>
      <c r="G10" s="2856"/>
    </row>
    <row r="11" spans="2:8" x14ac:dyDescent="0.2">
      <c r="B11" s="2857" t="s">
        <v>4</v>
      </c>
      <c r="C11" s="2858"/>
      <c r="D11" s="2860"/>
      <c r="E11" s="2860"/>
      <c r="F11" s="2860"/>
      <c r="G11" s="2859"/>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998">
        <f>G51</f>
        <v>0</v>
      </c>
    </row>
    <row r="16" spans="2:8" ht="25.5" x14ac:dyDescent="0.2">
      <c r="B16" s="792" t="s">
        <v>12</v>
      </c>
      <c r="C16" s="793" t="s">
        <v>86</v>
      </c>
      <c r="D16" s="794"/>
      <c r="E16" s="795"/>
      <c r="F16" s="796"/>
      <c r="G16" s="998">
        <f>G97</f>
        <v>0</v>
      </c>
    </row>
    <row r="17" spans="2:18" x14ac:dyDescent="0.2">
      <c r="B17" s="792" t="s">
        <v>17</v>
      </c>
      <c r="C17" s="793" t="s">
        <v>87</v>
      </c>
      <c r="D17" s="794"/>
      <c r="E17" s="795"/>
      <c r="F17" s="796"/>
      <c r="G17" s="998">
        <f>G158</f>
        <v>0</v>
      </c>
    </row>
    <row r="18" spans="2:18" ht="18.75" customHeight="1" x14ac:dyDescent="0.2">
      <c r="B18" s="2830"/>
      <c r="C18" s="2831" t="s">
        <v>88</v>
      </c>
      <c r="D18" s="2832"/>
      <c r="E18" s="2833"/>
      <c r="F18" s="2834"/>
      <c r="G18" s="2835">
        <f>SUM(G15:G17)</f>
        <v>0</v>
      </c>
    </row>
    <row r="19" spans="2:18" x14ac:dyDescent="0.2">
      <c r="B19" s="798"/>
      <c r="C19" s="799"/>
      <c r="D19" s="798"/>
      <c r="E19" s="999"/>
      <c r="F19" s="994"/>
      <c r="G19" s="1000"/>
    </row>
    <row r="20" spans="2:18" x14ac:dyDescent="0.2">
      <c r="G20" s="1001"/>
    </row>
    <row r="21" spans="2:18" ht="27.75" customHeight="1" x14ac:dyDescent="0.2">
      <c r="B21" s="2836" t="s">
        <v>83</v>
      </c>
      <c r="C21" s="2837" t="s">
        <v>89</v>
      </c>
      <c r="D21" s="2744" t="s">
        <v>90</v>
      </c>
      <c r="E21" s="2845" t="s">
        <v>91</v>
      </c>
      <c r="F21" s="2846" t="s">
        <v>92</v>
      </c>
      <c r="G21" s="2847" t="s">
        <v>93</v>
      </c>
    </row>
    <row r="22" spans="2:18" x14ac:dyDescent="0.2">
      <c r="B22" s="129"/>
      <c r="C22" s="197"/>
      <c r="D22" s="198"/>
      <c r="E22" s="353"/>
      <c r="F22" s="358"/>
      <c r="G22" s="350"/>
    </row>
    <row r="23" spans="2:18" ht="20.25" x14ac:dyDescent="0.2">
      <c r="B23" s="686" t="s">
        <v>10</v>
      </c>
      <c r="C23" s="687" t="s">
        <v>85</v>
      </c>
      <c r="D23" s="688"/>
      <c r="E23" s="689"/>
      <c r="F23" s="690"/>
      <c r="G23" s="691"/>
    </row>
    <row r="24" spans="2:18" ht="20.25" x14ac:dyDescent="0.2">
      <c r="B24" s="1002"/>
      <c r="C24" s="1003"/>
      <c r="D24" s="1004"/>
      <c r="E24" s="1005"/>
      <c r="F24" s="1006"/>
      <c r="G24" s="1007"/>
    </row>
    <row r="25" spans="2:18" s="130" customFormat="1" ht="38.25" x14ac:dyDescent="0.2">
      <c r="B25" s="829">
        <v>1.1000000000000001</v>
      </c>
      <c r="C25" s="1008" t="s">
        <v>94</v>
      </c>
      <c r="D25" s="152" t="s">
        <v>95</v>
      </c>
      <c r="E25" s="1009">
        <v>1540</v>
      </c>
      <c r="F25" s="1010">
        <v>0</v>
      </c>
      <c r="G25" s="1011">
        <f>E25*F25</f>
        <v>0</v>
      </c>
    </row>
    <row r="26" spans="2:18" s="130" customFormat="1" x14ac:dyDescent="0.2">
      <c r="B26" s="829"/>
      <c r="C26" s="1008"/>
      <c r="D26" s="152"/>
      <c r="E26" s="1009"/>
      <c r="F26" s="1010"/>
      <c r="G26" s="1011"/>
    </row>
    <row r="27" spans="2:18" ht="213" customHeight="1" x14ac:dyDescent="0.2">
      <c r="B27" s="835">
        <v>1.1000000000000001</v>
      </c>
      <c r="C27" s="1012" t="s">
        <v>99</v>
      </c>
      <c r="D27" s="2121" t="s">
        <v>123</v>
      </c>
      <c r="E27" s="2122">
        <v>1</v>
      </c>
      <c r="F27" s="1010">
        <v>0</v>
      </c>
      <c r="G27" s="1011">
        <f>E27*F27</f>
        <v>0</v>
      </c>
    </row>
    <row r="28" spans="2:18" x14ac:dyDescent="0.2">
      <c r="B28" s="840"/>
      <c r="C28" s="841"/>
      <c r="D28" s="653"/>
      <c r="E28" s="2119"/>
      <c r="F28" s="1011"/>
      <c r="G28" s="2105"/>
    </row>
    <row r="29" spans="2:18" ht="38.25" x14ac:dyDescent="0.2">
      <c r="B29" s="845">
        <v>1.2</v>
      </c>
      <c r="C29" s="841" t="s">
        <v>1135</v>
      </c>
      <c r="D29" s="2124" t="s">
        <v>95</v>
      </c>
      <c r="E29" s="1009">
        <v>1540</v>
      </c>
      <c r="F29" s="1010">
        <v>0</v>
      </c>
      <c r="G29" s="1011">
        <f>E29*F29</f>
        <v>0</v>
      </c>
    </row>
    <row r="30" spans="2:18" x14ac:dyDescent="0.2">
      <c r="B30" s="845"/>
      <c r="C30" s="848"/>
      <c r="D30" s="2124"/>
      <c r="E30" s="2119"/>
      <c r="F30" s="1011"/>
      <c r="G30" s="2105"/>
    </row>
    <row r="31" spans="2:18" ht="25.5" x14ac:dyDescent="0.2">
      <c r="B31" s="845">
        <v>1.3</v>
      </c>
      <c r="C31" s="841" t="s">
        <v>96</v>
      </c>
      <c r="D31" s="2124" t="s">
        <v>123</v>
      </c>
      <c r="E31" s="2119">
        <v>60</v>
      </c>
      <c r="F31" s="1010">
        <v>0</v>
      </c>
      <c r="G31" s="1011">
        <f>E31*F31</f>
        <v>0</v>
      </c>
      <c r="M31" s="849"/>
      <c r="N31" s="850"/>
      <c r="O31" s="851"/>
      <c r="P31" s="1016"/>
      <c r="Q31" s="1017"/>
      <c r="R31" s="1018"/>
    </row>
    <row r="32" spans="2:18" x14ac:dyDescent="0.2">
      <c r="B32" s="855"/>
      <c r="C32" s="841"/>
      <c r="D32" s="653"/>
      <c r="E32" s="2119"/>
      <c r="F32" s="1011"/>
      <c r="G32" s="2105"/>
    </row>
    <row r="33" spans="2:18" ht="80.25" customHeight="1" x14ac:dyDescent="0.2">
      <c r="B33" s="856" t="s">
        <v>641</v>
      </c>
      <c r="C33" s="841" t="s">
        <v>97</v>
      </c>
      <c r="D33" s="2124" t="s">
        <v>123</v>
      </c>
      <c r="E33" s="2119">
        <v>1</v>
      </c>
      <c r="F33" s="1010">
        <v>0</v>
      </c>
      <c r="G33" s="1011">
        <f>E33*F33</f>
        <v>0</v>
      </c>
    </row>
    <row r="34" spans="2:18" x14ac:dyDescent="0.2">
      <c r="B34" s="845"/>
      <c r="C34" s="848"/>
      <c r="D34" s="2126"/>
      <c r="E34" s="2119"/>
      <c r="F34" s="1011"/>
      <c r="G34" s="2105"/>
      <c r="M34" s="858"/>
      <c r="N34" s="1019"/>
      <c r="O34" s="860"/>
      <c r="P34" s="993"/>
      <c r="Q34" s="1017"/>
      <c r="R34" s="1018"/>
    </row>
    <row r="35" spans="2:18" ht="25.5" x14ac:dyDescent="0.2">
      <c r="B35" s="856" t="s">
        <v>664</v>
      </c>
      <c r="C35" s="841" t="s">
        <v>1136</v>
      </c>
      <c r="D35" s="653" t="s">
        <v>123</v>
      </c>
      <c r="E35" s="2119">
        <v>1</v>
      </c>
      <c r="F35" s="1010">
        <v>0</v>
      </c>
      <c r="G35" s="1011">
        <f>E35*F35</f>
        <v>0</v>
      </c>
    </row>
    <row r="36" spans="2:18" x14ac:dyDescent="0.2">
      <c r="B36" s="856"/>
      <c r="C36" s="841"/>
      <c r="D36" s="653"/>
      <c r="E36" s="2119"/>
      <c r="F36" s="1011"/>
      <c r="G36" s="2105"/>
    </row>
    <row r="37" spans="2:18" ht="51" x14ac:dyDescent="0.2">
      <c r="B37" s="861" t="s">
        <v>678</v>
      </c>
      <c r="C37" s="1020" t="s">
        <v>1137</v>
      </c>
      <c r="D37" s="865" t="s">
        <v>123</v>
      </c>
      <c r="E37" s="2122">
        <v>1</v>
      </c>
      <c r="F37" s="1010">
        <v>0</v>
      </c>
      <c r="G37" s="1011">
        <f>E37*F37</f>
        <v>0</v>
      </c>
    </row>
    <row r="38" spans="2:18" x14ac:dyDescent="0.2">
      <c r="B38" s="840"/>
      <c r="C38" s="841"/>
      <c r="D38" s="653"/>
      <c r="E38" s="2119"/>
      <c r="F38" s="1011"/>
      <c r="G38" s="2105"/>
    </row>
    <row r="39" spans="2:18" ht="40.5" customHeight="1" x14ac:dyDescent="0.2">
      <c r="B39" s="856" t="s">
        <v>688</v>
      </c>
      <c r="C39" s="841" t="s">
        <v>100</v>
      </c>
      <c r="D39" s="653" t="s">
        <v>123</v>
      </c>
      <c r="E39" s="2119">
        <v>1</v>
      </c>
      <c r="F39" s="1010">
        <v>0</v>
      </c>
      <c r="G39" s="1011">
        <f>E39*F39</f>
        <v>0</v>
      </c>
    </row>
    <row r="40" spans="2:18" ht="12" customHeight="1" x14ac:dyDescent="0.2">
      <c r="B40" s="856"/>
      <c r="C40" s="841"/>
      <c r="D40" s="653"/>
      <c r="E40" s="2119"/>
      <c r="F40" s="1011"/>
      <c r="G40" s="2105"/>
    </row>
    <row r="41" spans="2:18" ht="51.75" customHeight="1" x14ac:dyDescent="0.2">
      <c r="B41" s="861" t="s">
        <v>1199</v>
      </c>
      <c r="C41" s="3165" t="s">
        <v>2590</v>
      </c>
      <c r="D41" s="865" t="s">
        <v>95</v>
      </c>
      <c r="E41" s="1009">
        <v>1873</v>
      </c>
      <c r="F41" s="1010">
        <v>0</v>
      </c>
      <c r="G41" s="1011">
        <f>E41*F41</f>
        <v>0</v>
      </c>
    </row>
    <row r="42" spans="2:18" ht="11.25" customHeight="1" x14ac:dyDescent="0.2">
      <c r="B42" s="861"/>
      <c r="C42" s="864"/>
      <c r="D42" s="865"/>
      <c r="E42" s="1009"/>
      <c r="F42" s="1011"/>
      <c r="G42" s="2105"/>
    </row>
    <row r="43" spans="2:18" ht="40.5" customHeight="1" x14ac:dyDescent="0.2">
      <c r="B43" s="861" t="s">
        <v>1200</v>
      </c>
      <c r="C43" s="3165" t="s">
        <v>2591</v>
      </c>
      <c r="D43" s="865" t="s">
        <v>98</v>
      </c>
      <c r="E43" s="1009">
        <v>1</v>
      </c>
      <c r="F43" s="1010">
        <v>0</v>
      </c>
      <c r="G43" s="1011">
        <f>E43*F43</f>
        <v>0</v>
      </c>
    </row>
    <row r="44" spans="2:18" ht="11.25" customHeight="1" x14ac:dyDescent="0.2">
      <c r="B44" s="861"/>
      <c r="C44" s="1057"/>
      <c r="D44" s="865"/>
      <c r="E44" s="1009"/>
      <c r="F44" s="1011"/>
      <c r="G44" s="2105"/>
    </row>
    <row r="45" spans="2:18" ht="30.75" customHeight="1" x14ac:dyDescent="0.2">
      <c r="B45" s="861" t="s">
        <v>1201</v>
      </c>
      <c r="C45" s="864" t="s">
        <v>105</v>
      </c>
      <c r="D45" s="865" t="s">
        <v>98</v>
      </c>
      <c r="E45" s="1009">
        <v>1</v>
      </c>
      <c r="F45" s="1010">
        <v>0</v>
      </c>
      <c r="G45" s="1011">
        <f>E45*F45</f>
        <v>0</v>
      </c>
    </row>
    <row r="46" spans="2:18" ht="13.5" customHeight="1" x14ac:dyDescent="0.2">
      <c r="B46" s="861"/>
      <c r="C46" s="864"/>
      <c r="D46" s="865"/>
      <c r="E46" s="1009"/>
      <c r="F46" s="1011"/>
      <c r="G46" s="2105"/>
    </row>
    <row r="47" spans="2:18" ht="72.75" customHeight="1" x14ac:dyDescent="0.2">
      <c r="B47" s="861" t="s">
        <v>1202</v>
      </c>
      <c r="C47" s="864" t="s">
        <v>102</v>
      </c>
      <c r="D47" s="210" t="s">
        <v>98</v>
      </c>
      <c r="E47" s="353">
        <v>1</v>
      </c>
      <c r="F47" s="1010">
        <v>0</v>
      </c>
      <c r="G47" s="1011">
        <f>E47*F47</f>
        <v>0</v>
      </c>
    </row>
    <row r="48" spans="2:18" ht="15" customHeight="1" x14ac:dyDescent="0.2">
      <c r="B48" s="861"/>
      <c r="C48" s="868"/>
      <c r="D48" s="210"/>
      <c r="E48" s="353"/>
      <c r="F48" s="1021"/>
      <c r="G48" s="1022"/>
    </row>
    <row r="49" spans="2:16" ht="72" x14ac:dyDescent="0.2">
      <c r="B49" s="861" t="s">
        <v>1203</v>
      </c>
      <c r="C49" s="3165" t="s">
        <v>2593</v>
      </c>
      <c r="D49" s="210" t="s">
        <v>149</v>
      </c>
      <c r="E49" s="353">
        <v>49</v>
      </c>
      <c r="F49" s="1010">
        <v>0</v>
      </c>
      <c r="G49" s="1011">
        <f>E49*F49</f>
        <v>0</v>
      </c>
    </row>
    <row r="50" spans="2:16" x14ac:dyDescent="0.2">
      <c r="B50" s="855"/>
      <c r="C50" s="841"/>
      <c r="D50" s="842"/>
      <c r="E50" s="1023"/>
      <c r="F50" s="1024"/>
      <c r="G50" s="1014"/>
    </row>
    <row r="51" spans="2:16" x14ac:dyDescent="0.2">
      <c r="B51" s="1025" t="s">
        <v>10</v>
      </c>
      <c r="C51" s="1026" t="s">
        <v>108</v>
      </c>
      <c r="D51" s="1026"/>
      <c r="E51" s="1027"/>
      <c r="F51" s="1028"/>
      <c r="G51" s="1029">
        <f>SUM(G25:G50)</f>
        <v>0</v>
      </c>
    </row>
    <row r="54" spans="2:16" ht="24" x14ac:dyDescent="0.2">
      <c r="B54" s="680" t="s">
        <v>83</v>
      </c>
      <c r="C54" s="681" t="s">
        <v>89</v>
      </c>
      <c r="D54" s="682" t="s">
        <v>90</v>
      </c>
      <c r="E54" s="683" t="s">
        <v>91</v>
      </c>
      <c r="F54" s="684" t="s">
        <v>92</v>
      </c>
      <c r="G54" s="685" t="s">
        <v>93</v>
      </c>
    </row>
    <row r="55" spans="2:16" x14ac:dyDescent="0.2">
      <c r="B55" s="129"/>
      <c r="C55" s="217"/>
      <c r="D55" s="207"/>
      <c r="E55" s="353"/>
      <c r="F55" s="358"/>
      <c r="G55" s="350"/>
    </row>
    <row r="56" spans="2:16" ht="20.25" x14ac:dyDescent="0.3">
      <c r="B56" s="686" t="s">
        <v>12</v>
      </c>
      <c r="C56" s="693" t="s">
        <v>109</v>
      </c>
      <c r="D56" s="694"/>
      <c r="E56" s="689"/>
      <c r="F56" s="690"/>
      <c r="G56" s="691"/>
    </row>
    <row r="57" spans="2:16" ht="85.5" customHeight="1" x14ac:dyDescent="0.2">
      <c r="B57" s="3233" t="s">
        <v>110</v>
      </c>
      <c r="C57" s="3234"/>
      <c r="D57" s="3234"/>
      <c r="E57" s="3234"/>
      <c r="F57" s="3234"/>
      <c r="G57" s="3235"/>
    </row>
    <row r="58" spans="2:16" ht="12.75" customHeight="1" x14ac:dyDescent="0.2">
      <c r="B58" s="802"/>
      <c r="C58" s="799"/>
    </row>
    <row r="59" spans="2:16" ht="38.25" x14ac:dyDescent="0.2">
      <c r="B59" s="653" t="s">
        <v>1205</v>
      </c>
      <c r="C59" s="2123" t="s">
        <v>1206</v>
      </c>
      <c r="D59" s="653" t="s">
        <v>1207</v>
      </c>
      <c r="E59" s="2503">
        <v>50</v>
      </c>
      <c r="F59" s="1010">
        <v>0</v>
      </c>
      <c r="G59" s="1011">
        <f>E59*F59</f>
        <v>0</v>
      </c>
      <c r="J59" s="881"/>
      <c r="L59" s="744"/>
      <c r="N59" s="881"/>
      <c r="O59" s="881"/>
      <c r="P59" s="881"/>
    </row>
    <row r="60" spans="2:16" ht="13.5" customHeight="1" x14ac:dyDescent="0.2">
      <c r="B60" s="653"/>
      <c r="C60" s="2123"/>
      <c r="D60" s="653"/>
      <c r="E60" s="2503"/>
      <c r="F60" s="1011"/>
      <c r="G60" s="2105"/>
      <c r="J60" s="881"/>
    </row>
    <row r="61" spans="2:16" ht="64.5" customHeight="1" x14ac:dyDescent="0.2">
      <c r="B61" s="653">
        <v>2.2000000000000002</v>
      </c>
      <c r="C61" s="2123" t="s">
        <v>1208</v>
      </c>
      <c r="D61" s="2124" t="s">
        <v>1207</v>
      </c>
      <c r="E61" s="2503">
        <v>185</v>
      </c>
      <c r="F61" s="1010">
        <v>0</v>
      </c>
      <c r="G61" s="1011">
        <f>E61*F61</f>
        <v>0</v>
      </c>
    </row>
    <row r="62" spans="2:16" ht="12.75" customHeight="1" x14ac:dyDescent="0.2">
      <c r="B62" s="2124"/>
      <c r="C62" s="2123"/>
      <c r="D62" s="2124"/>
      <c r="E62" s="2503"/>
      <c r="F62" s="1011"/>
      <c r="G62" s="2105"/>
    </row>
    <row r="63" spans="2:16" ht="63.75" x14ac:dyDescent="0.2">
      <c r="B63" s="653">
        <v>2.2999999999999998</v>
      </c>
      <c r="C63" s="2123" t="s">
        <v>1209</v>
      </c>
      <c r="D63" s="653" t="s">
        <v>112</v>
      </c>
      <c r="E63" s="2503">
        <v>1695</v>
      </c>
      <c r="F63" s="1010">
        <v>0</v>
      </c>
      <c r="G63" s="1011">
        <f t="shared" ref="G63" si="0">E63*F63</f>
        <v>0</v>
      </c>
      <c r="I63" s="744"/>
    </row>
    <row r="64" spans="2:16" x14ac:dyDescent="0.2">
      <c r="B64" s="653"/>
      <c r="C64" s="2123"/>
      <c r="D64" s="653"/>
      <c r="E64" s="2503"/>
      <c r="F64" s="1011"/>
      <c r="G64" s="2105"/>
      <c r="I64" s="744"/>
    </row>
    <row r="65" spans="2:16" ht="38.25" x14ac:dyDescent="0.2">
      <c r="B65" s="2230" t="s">
        <v>1210</v>
      </c>
      <c r="C65" s="2229" t="s">
        <v>1211</v>
      </c>
      <c r="D65" s="2230" t="s">
        <v>117</v>
      </c>
      <c r="E65" s="2504">
        <v>1200</v>
      </c>
      <c r="F65" s="1010">
        <v>0</v>
      </c>
      <c r="G65" s="1011">
        <f t="shared" ref="G65" si="1">E65*F65</f>
        <v>0</v>
      </c>
    </row>
    <row r="66" spans="2:16" x14ac:dyDescent="0.2">
      <c r="B66" s="653"/>
      <c r="C66" s="2123"/>
      <c r="D66" s="653"/>
      <c r="E66" s="2503"/>
      <c r="F66" s="1011"/>
      <c r="G66" s="2105"/>
    </row>
    <row r="67" spans="2:16" ht="38.25" x14ac:dyDescent="0.2">
      <c r="B67" s="653">
        <v>2.5</v>
      </c>
      <c r="C67" s="2123" t="s">
        <v>1212</v>
      </c>
      <c r="D67" s="653" t="s">
        <v>1213</v>
      </c>
      <c r="E67" s="2503">
        <v>1129.2</v>
      </c>
      <c r="F67" s="1010">
        <v>0</v>
      </c>
      <c r="G67" s="1011">
        <f t="shared" ref="G67" si="2">E67*F67</f>
        <v>0</v>
      </c>
    </row>
    <row r="68" spans="2:16" x14ac:dyDescent="0.2">
      <c r="B68" s="653"/>
      <c r="C68" s="2123"/>
      <c r="D68" s="653"/>
      <c r="E68" s="2503"/>
      <c r="F68" s="1011"/>
      <c r="G68" s="2105"/>
    </row>
    <row r="69" spans="2:16" ht="45" customHeight="1" x14ac:dyDescent="0.2">
      <c r="B69" s="653">
        <v>2.6</v>
      </c>
      <c r="C69" s="2123" t="s">
        <v>1216</v>
      </c>
      <c r="D69" s="653" t="s">
        <v>1207</v>
      </c>
      <c r="E69" s="2503">
        <v>1050</v>
      </c>
      <c r="F69" s="1010">
        <v>0</v>
      </c>
      <c r="G69" s="1011">
        <f t="shared" ref="G69" si="3">E69*F69</f>
        <v>0</v>
      </c>
      <c r="I69" s="744"/>
    </row>
    <row r="70" spans="2:16" ht="13.5" customHeight="1" x14ac:dyDescent="0.2">
      <c r="B70" s="653"/>
      <c r="C70" s="2123"/>
      <c r="D70" s="653"/>
      <c r="E70" s="2503"/>
      <c r="F70" s="1011"/>
      <c r="G70" s="2105"/>
      <c r="I70" s="744"/>
    </row>
    <row r="71" spans="2:16" ht="41.25" customHeight="1" x14ac:dyDescent="0.2">
      <c r="B71" s="653">
        <v>2.7</v>
      </c>
      <c r="C71" s="2123" t="s">
        <v>1217</v>
      </c>
      <c r="D71" s="653" t="s">
        <v>1207</v>
      </c>
      <c r="E71" s="2503">
        <v>336.76</v>
      </c>
      <c r="F71" s="1010">
        <v>0</v>
      </c>
      <c r="G71" s="1011">
        <f t="shared" ref="G71" si="4">E71*F71</f>
        <v>0</v>
      </c>
      <c r="P71" s="744"/>
    </row>
    <row r="72" spans="2:16" ht="13.5" customHeight="1" x14ac:dyDescent="0.2">
      <c r="B72" s="653"/>
      <c r="C72" s="2123"/>
      <c r="D72" s="653"/>
      <c r="E72" s="2503"/>
      <c r="F72" s="1011"/>
      <c r="G72" s="2105"/>
      <c r="P72" s="744"/>
    </row>
    <row r="73" spans="2:16" ht="68.25" customHeight="1" x14ac:dyDescent="0.2">
      <c r="B73" s="865">
        <v>2.8</v>
      </c>
      <c r="C73" s="2233" t="s">
        <v>1278</v>
      </c>
      <c r="D73" s="2100" t="s">
        <v>1219</v>
      </c>
      <c r="E73" s="2503">
        <v>551.67999999999995</v>
      </c>
      <c r="F73" s="1010">
        <v>0</v>
      </c>
      <c r="G73" s="1011">
        <f t="shared" ref="G73" si="5">E73*F73</f>
        <v>0</v>
      </c>
      <c r="P73" s="744"/>
    </row>
    <row r="74" spans="2:16" ht="15" customHeight="1" x14ac:dyDescent="0.2">
      <c r="B74" s="653"/>
      <c r="C74" s="2123"/>
      <c r="D74" s="653"/>
      <c r="E74" s="2503"/>
      <c r="F74" s="1011"/>
      <c r="G74" s="2105"/>
    </row>
    <row r="75" spans="2:16" ht="25.5" x14ac:dyDescent="0.2">
      <c r="B75" s="653">
        <v>2.9</v>
      </c>
      <c r="C75" s="2123" t="s">
        <v>1221</v>
      </c>
      <c r="D75" s="653" t="s">
        <v>112</v>
      </c>
      <c r="E75" s="2503">
        <v>937.8</v>
      </c>
      <c r="F75" s="1010">
        <v>0</v>
      </c>
      <c r="G75" s="1011">
        <f t="shared" ref="G75" si="6">E75*F75</f>
        <v>0</v>
      </c>
      <c r="I75" s="888"/>
    </row>
    <row r="76" spans="2:16" x14ac:dyDescent="0.2">
      <c r="B76" s="653"/>
      <c r="C76" s="2123"/>
      <c r="D76" s="653"/>
      <c r="E76" s="2503"/>
      <c r="F76" s="1011"/>
      <c r="G76" s="2105"/>
    </row>
    <row r="77" spans="2:16" ht="25.5" x14ac:dyDescent="0.2">
      <c r="B77" s="2505" t="s">
        <v>1220</v>
      </c>
      <c r="C77" s="2123" t="s">
        <v>1223</v>
      </c>
      <c r="D77" s="653" t="s">
        <v>112</v>
      </c>
      <c r="E77" s="2503">
        <v>937.8</v>
      </c>
      <c r="F77" s="1010">
        <v>0</v>
      </c>
      <c r="G77" s="1011">
        <f t="shared" ref="G77" si="7">E77*F77</f>
        <v>0</v>
      </c>
    </row>
    <row r="78" spans="2:16" x14ac:dyDescent="0.2">
      <c r="B78" s="653"/>
      <c r="C78" s="2123"/>
      <c r="D78" s="653"/>
      <c r="E78" s="2503"/>
      <c r="F78" s="1011"/>
      <c r="G78" s="2105"/>
    </row>
    <row r="79" spans="2:16" ht="29.25" customHeight="1" x14ac:dyDescent="0.2">
      <c r="B79" s="2505" t="s">
        <v>1222</v>
      </c>
      <c r="C79" s="2123" t="s">
        <v>1225</v>
      </c>
      <c r="D79" s="653" t="s">
        <v>1226</v>
      </c>
      <c r="E79" s="2503">
        <v>174</v>
      </c>
      <c r="F79" s="1010">
        <v>0</v>
      </c>
      <c r="G79" s="1011">
        <f t="shared" ref="G79" si="8">E79*F79</f>
        <v>0</v>
      </c>
    </row>
    <row r="80" spans="2:16" x14ac:dyDescent="0.2">
      <c r="B80" s="2505"/>
      <c r="C80" s="2123"/>
      <c r="D80" s="653"/>
      <c r="E80" s="2503"/>
      <c r="F80" s="1011"/>
      <c r="G80" s="2105"/>
    </row>
    <row r="81" spans="2:18" ht="28.5" customHeight="1" x14ac:dyDescent="0.2">
      <c r="B81" s="2505" t="s">
        <v>1224</v>
      </c>
      <c r="C81" s="2123" t="s">
        <v>1228</v>
      </c>
      <c r="D81" s="2124" t="s">
        <v>1213</v>
      </c>
      <c r="E81" s="2503">
        <v>174</v>
      </c>
      <c r="F81" s="1010">
        <v>0</v>
      </c>
      <c r="G81" s="1011">
        <f t="shared" ref="G81" si="9">E81*F81</f>
        <v>0</v>
      </c>
      <c r="L81" s="893"/>
      <c r="M81" s="894"/>
      <c r="N81" s="895"/>
      <c r="O81" s="896"/>
      <c r="P81" s="897"/>
      <c r="Q81" s="897"/>
      <c r="R81" s="897"/>
    </row>
    <row r="82" spans="2:18" x14ac:dyDescent="0.2">
      <c r="B82" s="653"/>
      <c r="C82" s="653"/>
      <c r="D82" s="2126"/>
      <c r="E82" s="2503"/>
      <c r="F82" s="1011"/>
      <c r="G82" s="2105"/>
      <c r="L82" s="893"/>
      <c r="M82" s="894"/>
      <c r="N82" s="895"/>
      <c r="O82" s="896"/>
      <c r="P82" s="897"/>
      <c r="Q82" s="897"/>
      <c r="R82" s="897"/>
    </row>
    <row r="83" spans="2:18" ht="90.75" customHeight="1" x14ac:dyDescent="0.2">
      <c r="B83" s="2505" t="s">
        <v>1227</v>
      </c>
      <c r="C83" s="2506" t="s">
        <v>1230</v>
      </c>
      <c r="D83" s="653" t="s">
        <v>1213</v>
      </c>
      <c r="E83" s="2503">
        <v>174</v>
      </c>
      <c r="F83" s="1010">
        <v>0</v>
      </c>
      <c r="G83" s="1011">
        <f t="shared" ref="G83" si="10">E83*F83</f>
        <v>0</v>
      </c>
      <c r="L83" s="899"/>
      <c r="M83" s="900"/>
      <c r="N83" s="901"/>
      <c r="O83" s="902"/>
      <c r="P83" s="1030"/>
      <c r="Q83" s="1030"/>
      <c r="R83" s="1030"/>
    </row>
    <row r="84" spans="2:18" ht="12" customHeight="1" x14ac:dyDescent="0.2">
      <c r="B84" s="2124"/>
      <c r="C84" s="2123"/>
      <c r="D84" s="2124"/>
      <c r="E84" s="2503"/>
      <c r="F84" s="1011"/>
      <c r="G84" s="2105"/>
      <c r="L84" s="899"/>
      <c r="M84" s="900"/>
      <c r="N84" s="901"/>
      <c r="O84" s="902"/>
      <c r="P84" s="1030"/>
      <c r="Q84" s="1030"/>
      <c r="R84" s="1030"/>
    </row>
    <row r="85" spans="2:18" ht="64.5" customHeight="1" x14ac:dyDescent="0.2">
      <c r="B85" s="2505" t="s">
        <v>1229</v>
      </c>
      <c r="C85" s="2506" t="s">
        <v>1232</v>
      </c>
      <c r="D85" s="653" t="s">
        <v>1213</v>
      </c>
      <c r="E85" s="2503">
        <v>174</v>
      </c>
      <c r="F85" s="1010">
        <v>0</v>
      </c>
      <c r="G85" s="1011">
        <f t="shared" ref="G85" si="11">E85*F85</f>
        <v>0</v>
      </c>
      <c r="L85" s="899"/>
      <c r="M85" s="900"/>
      <c r="N85" s="901"/>
      <c r="O85" s="902"/>
      <c r="P85" s="1030"/>
      <c r="Q85" s="1030"/>
      <c r="R85" s="1030"/>
    </row>
    <row r="86" spans="2:18" x14ac:dyDescent="0.2">
      <c r="B86" s="2505"/>
      <c r="C86" s="2506"/>
      <c r="D86" s="653"/>
      <c r="E86" s="2503"/>
      <c r="F86" s="1011"/>
      <c r="G86" s="2105"/>
    </row>
    <row r="87" spans="2:18" ht="25.5" x14ac:dyDescent="0.2">
      <c r="B87" s="2505" t="s">
        <v>1231</v>
      </c>
      <c r="C87" s="2123" t="s">
        <v>1234</v>
      </c>
      <c r="D87" s="653" t="s">
        <v>137</v>
      </c>
      <c r="E87" s="2503">
        <v>34.799999999999997</v>
      </c>
      <c r="F87" s="1010">
        <v>0</v>
      </c>
      <c r="G87" s="1011">
        <f t="shared" ref="G87" si="12">E87*F87</f>
        <v>0</v>
      </c>
    </row>
    <row r="88" spans="2:18" x14ac:dyDescent="0.2">
      <c r="B88" s="653"/>
      <c r="C88" s="2123"/>
      <c r="D88" s="653"/>
      <c r="E88" s="2503"/>
      <c r="F88" s="1011"/>
      <c r="G88" s="2105"/>
    </row>
    <row r="89" spans="2:18" ht="38.25" x14ac:dyDescent="0.2">
      <c r="B89" s="2505" t="s">
        <v>1233</v>
      </c>
      <c r="C89" s="2123" t="s">
        <v>1236</v>
      </c>
      <c r="D89" s="2124" t="s">
        <v>117</v>
      </c>
      <c r="E89" s="2503">
        <v>450</v>
      </c>
      <c r="F89" s="1010">
        <v>0</v>
      </c>
      <c r="G89" s="1011">
        <f t="shared" ref="G89" si="13">E89*F89</f>
        <v>0</v>
      </c>
    </row>
    <row r="90" spans="2:18" x14ac:dyDescent="0.2">
      <c r="B90" s="2505"/>
      <c r="C90" s="2123"/>
      <c r="D90" s="2124"/>
      <c r="E90" s="2503"/>
      <c r="F90" s="1011"/>
      <c r="G90" s="2105"/>
    </row>
    <row r="91" spans="2:18" ht="41.25" customHeight="1" x14ac:dyDescent="0.2">
      <c r="B91" s="2505" t="s">
        <v>1235</v>
      </c>
      <c r="C91" s="922" t="s">
        <v>1240</v>
      </c>
      <c r="D91" s="2235" t="s">
        <v>112</v>
      </c>
      <c r="E91" s="2507">
        <v>15</v>
      </c>
      <c r="F91" s="1010">
        <v>0</v>
      </c>
      <c r="G91" s="1011">
        <f t="shared" ref="G91" si="14">E91*F91</f>
        <v>0</v>
      </c>
    </row>
    <row r="92" spans="2:18" x14ac:dyDescent="0.2">
      <c r="B92" s="2505"/>
      <c r="C92" s="922"/>
      <c r="D92" s="2235"/>
      <c r="E92" s="2507"/>
      <c r="F92" s="1011"/>
      <c r="G92" s="2105"/>
    </row>
    <row r="93" spans="2:18" ht="36.75" customHeight="1" x14ac:dyDescent="0.2">
      <c r="B93" s="2505" t="s">
        <v>1237</v>
      </c>
      <c r="C93" s="922" t="s">
        <v>1242</v>
      </c>
      <c r="D93" s="2235" t="s">
        <v>149</v>
      </c>
      <c r="E93" s="2507">
        <v>12</v>
      </c>
      <c r="F93" s="1010">
        <v>0</v>
      </c>
      <c r="G93" s="1011">
        <f t="shared" ref="G93" si="15">E93*F93</f>
        <v>0</v>
      </c>
      <c r="H93" s="923"/>
      <c r="I93" s="130"/>
    </row>
    <row r="94" spans="2:18" ht="13.5" customHeight="1" x14ac:dyDescent="0.2">
      <c r="B94" s="2505"/>
      <c r="C94" s="922"/>
      <c r="D94" s="2235"/>
      <c r="E94" s="2507"/>
      <c r="F94" s="1011"/>
      <c r="G94" s="2105"/>
      <c r="H94" s="923"/>
      <c r="I94" s="130"/>
    </row>
    <row r="95" spans="2:18" ht="36.75" customHeight="1" x14ac:dyDescent="0.2">
      <c r="B95" s="2505" t="s">
        <v>1239</v>
      </c>
      <c r="C95" s="924" t="s">
        <v>153</v>
      </c>
      <c r="D95" s="925" t="s">
        <v>112</v>
      </c>
      <c r="E95" s="926">
        <v>12</v>
      </c>
      <c r="F95" s="1010">
        <v>0</v>
      </c>
      <c r="G95" s="1011">
        <f>E95*F95</f>
        <v>0</v>
      </c>
      <c r="H95" s="923"/>
      <c r="I95" s="130"/>
    </row>
    <row r="96" spans="2:18" ht="16.5" customHeight="1" x14ac:dyDescent="0.2">
      <c r="B96" s="892"/>
      <c r="C96" s="927"/>
      <c r="D96" s="1038"/>
      <c r="E96" s="1036"/>
      <c r="F96" s="1015"/>
      <c r="G96" s="1014"/>
    </row>
    <row r="97" spans="2:9" ht="13.5" customHeight="1" x14ac:dyDescent="0.2">
      <c r="B97" s="1025" t="s">
        <v>12</v>
      </c>
      <c r="C97" s="1026" t="s">
        <v>157</v>
      </c>
      <c r="D97" s="1025"/>
      <c r="E97" s="1027"/>
      <c r="F97" s="1028"/>
      <c r="G97" s="1029">
        <f>SUM(G59:G95)</f>
        <v>0</v>
      </c>
    </row>
    <row r="98" spans="2:9" ht="18.75" customHeight="1" x14ac:dyDescent="0.2"/>
    <row r="99" spans="2:9" ht="25.5" customHeight="1" x14ac:dyDescent="0.2">
      <c r="B99" s="680" t="s">
        <v>83</v>
      </c>
      <c r="C99" s="681" t="s">
        <v>89</v>
      </c>
      <c r="D99" s="681" t="s">
        <v>90</v>
      </c>
      <c r="E99" s="683" t="s">
        <v>91</v>
      </c>
      <c r="F99" s="684" t="s">
        <v>92</v>
      </c>
      <c r="G99" s="685" t="s">
        <v>93</v>
      </c>
    </row>
    <row r="100" spans="2:9" ht="18" customHeight="1" x14ac:dyDescent="0.2">
      <c r="B100" s="129"/>
      <c r="C100" s="197"/>
      <c r="D100" s="207"/>
      <c r="E100" s="353"/>
      <c r="F100" s="358"/>
      <c r="G100" s="350"/>
    </row>
    <row r="101" spans="2:9" ht="18" customHeight="1" x14ac:dyDescent="0.2">
      <c r="B101" s="1039" t="s">
        <v>17</v>
      </c>
      <c r="C101" s="1040" t="s">
        <v>158</v>
      </c>
      <c r="D101" s="694"/>
      <c r="E101" s="689"/>
      <c r="F101" s="690"/>
      <c r="G101" s="691"/>
    </row>
    <row r="102" spans="2:9" ht="18" customHeight="1" x14ac:dyDescent="0.2">
      <c r="B102" s="2853" t="s">
        <v>1</v>
      </c>
      <c r="C102" s="2854"/>
      <c r="D102" s="2855"/>
      <c r="E102" s="2855"/>
      <c r="F102" s="2855"/>
      <c r="G102" s="2856"/>
    </row>
    <row r="103" spans="2:9" ht="15.75" customHeight="1" x14ac:dyDescent="0.2">
      <c r="B103" s="2857" t="s">
        <v>2</v>
      </c>
      <c r="C103" s="2858"/>
      <c r="D103" s="2859"/>
      <c r="E103" s="2860"/>
      <c r="F103" s="2860"/>
      <c r="G103" s="2859"/>
    </row>
    <row r="104" spans="2:9" ht="18" customHeight="1" x14ac:dyDescent="0.2">
      <c r="B104" s="2853" t="s">
        <v>3</v>
      </c>
      <c r="C104" s="2854"/>
      <c r="D104" s="2855"/>
      <c r="E104" s="2855"/>
      <c r="F104" s="2855"/>
      <c r="G104" s="2856"/>
    </row>
    <row r="105" spans="2:9" ht="18" customHeight="1" x14ac:dyDescent="0.2">
      <c r="B105" s="2857" t="s">
        <v>4</v>
      </c>
      <c r="C105" s="2858"/>
      <c r="D105" s="2860"/>
      <c r="E105" s="2860"/>
      <c r="F105" s="2860"/>
      <c r="G105" s="2859"/>
    </row>
    <row r="106" spans="2:9" ht="15.75" customHeight="1" x14ac:dyDescent="0.2">
      <c r="B106" s="3226" t="s">
        <v>159</v>
      </c>
      <c r="C106" s="3227"/>
      <c r="D106" s="3227"/>
      <c r="E106" s="3227"/>
      <c r="F106" s="3227"/>
      <c r="G106" s="3228"/>
    </row>
    <row r="107" spans="2:9" x14ac:dyDescent="0.2">
      <c r="B107" s="3226" t="s">
        <v>160</v>
      </c>
      <c r="C107" s="3227"/>
      <c r="D107" s="3227"/>
      <c r="E107" s="3227"/>
      <c r="F107" s="3227"/>
      <c r="G107" s="3228"/>
    </row>
    <row r="108" spans="2:9" ht="12.75" customHeight="1" x14ac:dyDescent="0.2">
      <c r="B108" s="3226" t="s">
        <v>161</v>
      </c>
      <c r="C108" s="3227"/>
      <c r="D108" s="3227"/>
      <c r="E108" s="3227"/>
      <c r="F108" s="3227"/>
      <c r="G108" s="3228"/>
    </row>
    <row r="109" spans="2:9" ht="12.75" customHeight="1" x14ac:dyDescent="0.2">
      <c r="B109" s="845"/>
      <c r="C109" s="848"/>
      <c r="D109" s="857"/>
      <c r="E109" s="1013"/>
      <c r="F109" s="1015"/>
      <c r="G109" s="1014"/>
    </row>
    <row r="110" spans="2:9" ht="45.75" customHeight="1" x14ac:dyDescent="0.2">
      <c r="B110" s="829">
        <v>1</v>
      </c>
      <c r="C110" s="932" t="s">
        <v>162</v>
      </c>
      <c r="D110" s="2508"/>
      <c r="E110" s="2509"/>
      <c r="F110" s="2510"/>
      <c r="G110" s="2511"/>
    </row>
    <row r="111" spans="2:9" ht="24.75" customHeight="1" x14ac:dyDescent="0.2">
      <c r="B111" s="829"/>
      <c r="C111" s="941" t="s">
        <v>1245</v>
      </c>
      <c r="D111" s="937" t="s">
        <v>95</v>
      </c>
      <c r="E111" s="832">
        <v>1387</v>
      </c>
      <c r="F111" s="1010">
        <v>0</v>
      </c>
      <c r="G111" s="1011">
        <f>E111*F111</f>
        <v>0</v>
      </c>
      <c r="I111" s="940"/>
    </row>
    <row r="112" spans="2:9" ht="44.25" customHeight="1" x14ac:dyDescent="0.2">
      <c r="B112" s="829"/>
      <c r="C112" s="941" t="s">
        <v>1668</v>
      </c>
      <c r="D112" s="937" t="s">
        <v>95</v>
      </c>
      <c r="E112" s="832">
        <v>153</v>
      </c>
      <c r="F112" s="1010">
        <v>0</v>
      </c>
      <c r="G112" s="1011">
        <f t="shared" ref="G112:G114" si="16">E112*F112</f>
        <v>0</v>
      </c>
      <c r="I112" s="940"/>
    </row>
    <row r="113" spans="2:15" ht="30" customHeight="1" x14ac:dyDescent="0.2">
      <c r="B113" s="829"/>
      <c r="C113" s="942" t="s">
        <v>1247</v>
      </c>
      <c r="D113" s="937" t="s">
        <v>95</v>
      </c>
      <c r="E113" s="832">
        <v>299</v>
      </c>
      <c r="F113" s="1010">
        <v>0</v>
      </c>
      <c r="G113" s="1011">
        <f t="shared" si="16"/>
        <v>0</v>
      </c>
      <c r="I113" s="940"/>
    </row>
    <row r="114" spans="2:15" ht="44.25" customHeight="1" x14ac:dyDescent="0.2">
      <c r="B114" s="829"/>
      <c r="C114" s="943" t="s">
        <v>1248</v>
      </c>
      <c r="D114" s="937" t="s">
        <v>95</v>
      </c>
      <c r="E114" s="832">
        <v>34</v>
      </c>
      <c r="F114" s="1010">
        <v>0</v>
      </c>
      <c r="G114" s="1011">
        <f t="shared" si="16"/>
        <v>0</v>
      </c>
    </row>
    <row r="115" spans="2:15" ht="15.75" customHeight="1" x14ac:dyDescent="0.2">
      <c r="B115" s="1041"/>
      <c r="C115" s="943"/>
      <c r="D115" s="937"/>
      <c r="E115" s="832"/>
      <c r="F115" s="2510"/>
      <c r="G115" s="2511"/>
    </row>
    <row r="116" spans="2:15" ht="69" customHeight="1" x14ac:dyDescent="0.2">
      <c r="B116" s="3181" t="s">
        <v>167</v>
      </c>
      <c r="C116" s="1058" t="s">
        <v>168</v>
      </c>
      <c r="D116" s="912"/>
      <c r="E116" s="913"/>
      <c r="F116" s="1034"/>
      <c r="G116" s="1035"/>
    </row>
    <row r="117" spans="2:15" ht="36" customHeight="1" x14ac:dyDescent="0.2">
      <c r="B117" s="3183"/>
      <c r="C117" s="916" t="s">
        <v>171</v>
      </c>
      <c r="D117" s="912" t="s">
        <v>95</v>
      </c>
      <c r="E117" s="913">
        <v>75</v>
      </c>
      <c r="F117" s="1034">
        <v>0</v>
      </c>
      <c r="G117" s="1035">
        <f>E117*F117</f>
        <v>0</v>
      </c>
    </row>
    <row r="118" spans="2:15" ht="12" customHeight="1" x14ac:dyDescent="0.2">
      <c r="B118" s="829"/>
      <c r="C118" s="944"/>
      <c r="D118" s="937"/>
      <c r="E118" s="938"/>
      <c r="F118" s="2512"/>
      <c r="G118" s="2511"/>
    </row>
    <row r="119" spans="2:15" ht="67.5" customHeight="1" x14ac:dyDescent="0.2">
      <c r="B119" s="945">
        <v>2</v>
      </c>
      <c r="C119" s="946" t="s">
        <v>172</v>
      </c>
      <c r="D119" s="411" t="s">
        <v>95</v>
      </c>
      <c r="E119" s="947">
        <f>SUM(E111:E114)</f>
        <v>1873</v>
      </c>
      <c r="F119" s="1010">
        <v>0</v>
      </c>
      <c r="G119" s="1011">
        <f>E119*F119</f>
        <v>0</v>
      </c>
    </row>
    <row r="120" spans="2:15" ht="58.5" customHeight="1" x14ac:dyDescent="0.2">
      <c r="B120" s="1042" t="s">
        <v>173</v>
      </c>
      <c r="C120" s="946" t="s">
        <v>174</v>
      </c>
      <c r="D120" s="411" t="s">
        <v>95</v>
      </c>
      <c r="E120" s="947">
        <f>E119</f>
        <v>1873</v>
      </c>
      <c r="F120" s="1010">
        <v>0</v>
      </c>
      <c r="G120" s="1011">
        <f>E120*F120</f>
        <v>0</v>
      </c>
    </row>
    <row r="121" spans="2:15" ht="42" customHeight="1" x14ac:dyDescent="0.2">
      <c r="B121" s="1042" t="s">
        <v>175</v>
      </c>
      <c r="C121" s="946" t="s">
        <v>176</v>
      </c>
      <c r="D121" s="411" t="s">
        <v>95</v>
      </c>
      <c r="E121" s="947">
        <f>E119</f>
        <v>1873</v>
      </c>
      <c r="F121" s="1010">
        <v>0</v>
      </c>
      <c r="G121" s="1011">
        <f>E121*F121</f>
        <v>0</v>
      </c>
    </row>
    <row r="122" spans="2:15" ht="69" customHeight="1" x14ac:dyDescent="0.2">
      <c r="B122" s="1042" t="s">
        <v>177</v>
      </c>
      <c r="C122" s="946" t="s">
        <v>178</v>
      </c>
      <c r="D122" s="411" t="s">
        <v>95</v>
      </c>
      <c r="E122" s="947">
        <f>E119</f>
        <v>1873</v>
      </c>
      <c r="F122" s="1010">
        <v>0</v>
      </c>
      <c r="G122" s="1011">
        <f>E122*F122</f>
        <v>0</v>
      </c>
    </row>
    <row r="123" spans="2:15" x14ac:dyDescent="0.2">
      <c r="B123" s="845"/>
      <c r="C123" s="904"/>
      <c r="D123" s="2124"/>
      <c r="E123" s="2122"/>
      <c r="F123" s="2114"/>
      <c r="G123" s="2105"/>
    </row>
    <row r="124" spans="2:15" x14ac:dyDescent="0.2">
      <c r="B124" s="2061" t="s">
        <v>1249</v>
      </c>
      <c r="C124" s="2412" t="s">
        <v>1669</v>
      </c>
      <c r="D124" s="2427"/>
      <c r="E124" s="2513"/>
      <c r="F124" s="2514"/>
      <c r="G124" s="2514"/>
      <c r="H124" s="1048"/>
      <c r="I124" s="964"/>
      <c r="J124" s="723"/>
      <c r="K124" s="723"/>
      <c r="L124" s="723"/>
      <c r="M124" s="723"/>
      <c r="N124" s="723"/>
      <c r="O124" s="723"/>
    </row>
    <row r="125" spans="2:15" x14ac:dyDescent="0.2">
      <c r="B125" s="2061"/>
      <c r="C125" s="2439" t="s">
        <v>841</v>
      </c>
      <c r="D125" s="2440" t="s">
        <v>149</v>
      </c>
      <c r="E125" s="2441">
        <v>4</v>
      </c>
      <c r="F125" s="2034">
        <v>0</v>
      </c>
      <c r="G125" s="2035">
        <f t="shared" ref="G125:G134" si="17">E125*F125</f>
        <v>0</v>
      </c>
      <c r="H125" s="1048"/>
      <c r="I125" s="964"/>
      <c r="J125" s="723"/>
      <c r="K125" s="723"/>
      <c r="L125" s="723"/>
      <c r="M125" s="723"/>
      <c r="N125" s="723"/>
      <c r="O125" s="723"/>
    </row>
    <row r="126" spans="2:15" ht="63.75" x14ac:dyDescent="0.2">
      <c r="B126" s="2061"/>
      <c r="C126" s="2442" t="s">
        <v>285</v>
      </c>
      <c r="D126" s="2440" t="s">
        <v>149</v>
      </c>
      <c r="E126" s="2441">
        <v>4</v>
      </c>
      <c r="F126" s="2034">
        <v>0</v>
      </c>
      <c r="G126" s="2035">
        <f t="shared" si="17"/>
        <v>0</v>
      </c>
      <c r="H126" s="1048"/>
      <c r="I126" s="964"/>
      <c r="J126" s="723"/>
      <c r="K126" s="723"/>
      <c r="L126" s="723"/>
      <c r="M126" s="723"/>
      <c r="N126" s="723"/>
      <c r="O126" s="723"/>
    </row>
    <row r="127" spans="2:15" x14ac:dyDescent="0.2">
      <c r="B127" s="2061"/>
      <c r="C127" s="2442" t="s">
        <v>193</v>
      </c>
      <c r="D127" s="2440" t="s">
        <v>149</v>
      </c>
      <c r="E127" s="2441">
        <v>4</v>
      </c>
      <c r="F127" s="2034">
        <v>0</v>
      </c>
      <c r="G127" s="2035">
        <f t="shared" si="17"/>
        <v>0</v>
      </c>
      <c r="H127" s="1048"/>
      <c r="I127" s="964"/>
      <c r="J127" s="723"/>
      <c r="K127" s="723"/>
      <c r="L127" s="723"/>
      <c r="M127" s="723"/>
      <c r="N127" s="723"/>
      <c r="O127" s="723"/>
    </row>
    <row r="128" spans="2:15" x14ac:dyDescent="0.2">
      <c r="B128" s="2061"/>
      <c r="C128" s="2442" t="s">
        <v>194</v>
      </c>
      <c r="D128" s="2440" t="s">
        <v>149</v>
      </c>
      <c r="E128" s="2441">
        <v>4</v>
      </c>
      <c r="F128" s="2034">
        <v>0</v>
      </c>
      <c r="G128" s="2035">
        <f t="shared" si="17"/>
        <v>0</v>
      </c>
      <c r="H128" s="1048"/>
      <c r="I128" s="964"/>
      <c r="J128" s="723"/>
      <c r="K128" s="723"/>
      <c r="L128" s="723"/>
      <c r="M128" s="723"/>
      <c r="N128" s="723"/>
      <c r="O128" s="723"/>
    </row>
    <row r="129" spans="2:15" ht="25.5" x14ac:dyDescent="0.2">
      <c r="B129" s="2061"/>
      <c r="C129" s="2410" t="s">
        <v>239</v>
      </c>
      <c r="D129" s="2440" t="s">
        <v>149</v>
      </c>
      <c r="E129" s="2441">
        <v>8</v>
      </c>
      <c r="F129" s="2034">
        <v>0</v>
      </c>
      <c r="G129" s="2035">
        <f t="shared" si="17"/>
        <v>0</v>
      </c>
      <c r="H129" s="1048"/>
      <c r="I129" s="964"/>
      <c r="J129" s="723"/>
      <c r="K129" s="723"/>
      <c r="L129" s="723"/>
      <c r="M129" s="723"/>
      <c r="N129" s="723"/>
      <c r="O129" s="723"/>
    </row>
    <row r="130" spans="2:15" ht="25.5" x14ac:dyDescent="0.2">
      <c r="B130" s="2061"/>
      <c r="C130" s="2410" t="s">
        <v>1267</v>
      </c>
      <c r="D130" s="2440" t="s">
        <v>149</v>
      </c>
      <c r="E130" s="2441">
        <v>8</v>
      </c>
      <c r="F130" s="2034">
        <v>0</v>
      </c>
      <c r="G130" s="2035">
        <f t="shared" si="17"/>
        <v>0</v>
      </c>
      <c r="H130" s="1048"/>
      <c r="I130" s="964"/>
      <c r="J130" s="723"/>
      <c r="K130" s="723"/>
      <c r="L130" s="723"/>
      <c r="M130" s="723"/>
      <c r="N130" s="723"/>
      <c r="O130" s="723"/>
    </row>
    <row r="131" spans="2:15" x14ac:dyDescent="0.2">
      <c r="B131" s="2061"/>
      <c r="C131" s="2410" t="s">
        <v>1268</v>
      </c>
      <c r="D131" s="2440" t="s">
        <v>149</v>
      </c>
      <c r="E131" s="2441">
        <v>8</v>
      </c>
      <c r="F131" s="2034">
        <v>0</v>
      </c>
      <c r="G131" s="2035">
        <f t="shared" si="17"/>
        <v>0</v>
      </c>
      <c r="H131" s="1048"/>
      <c r="I131" s="964"/>
      <c r="J131" s="723"/>
      <c r="K131" s="723"/>
      <c r="L131" s="723"/>
      <c r="M131" s="723"/>
      <c r="N131" s="723"/>
      <c r="O131" s="723"/>
    </row>
    <row r="132" spans="2:15" ht="25.5" x14ac:dyDescent="0.2">
      <c r="B132" s="2061"/>
      <c r="C132" s="2410" t="s">
        <v>1269</v>
      </c>
      <c r="D132" s="2440" t="s">
        <v>149</v>
      </c>
      <c r="E132" s="2441">
        <v>8</v>
      </c>
      <c r="F132" s="2034">
        <v>0</v>
      </c>
      <c r="G132" s="2035">
        <f t="shared" si="17"/>
        <v>0</v>
      </c>
      <c r="H132" s="1048"/>
      <c r="I132" s="964"/>
      <c r="J132" s="723"/>
      <c r="K132" s="723"/>
      <c r="L132" s="723"/>
      <c r="M132" s="723"/>
      <c r="N132" s="723"/>
      <c r="O132" s="723"/>
    </row>
    <row r="133" spans="2:15" ht="25.5" x14ac:dyDescent="0.2">
      <c r="B133" s="2061"/>
      <c r="C133" s="2410" t="s">
        <v>197</v>
      </c>
      <c r="D133" s="2440" t="s">
        <v>149</v>
      </c>
      <c r="E133" s="2441">
        <v>4</v>
      </c>
      <c r="F133" s="2034">
        <v>0</v>
      </c>
      <c r="G133" s="2035">
        <f t="shared" si="17"/>
        <v>0</v>
      </c>
      <c r="H133" s="1048"/>
      <c r="I133" s="964"/>
      <c r="J133" s="723"/>
      <c r="K133" s="723"/>
      <c r="L133" s="723"/>
      <c r="M133" s="723"/>
      <c r="N133" s="723"/>
      <c r="O133" s="723"/>
    </row>
    <row r="134" spans="2:15" ht="25.5" x14ac:dyDescent="0.2">
      <c r="B134" s="2061"/>
      <c r="C134" s="2411" t="s">
        <v>1196</v>
      </c>
      <c r="D134" s="2440" t="s">
        <v>149</v>
      </c>
      <c r="E134" s="2441">
        <v>4</v>
      </c>
      <c r="F134" s="2034">
        <v>0</v>
      </c>
      <c r="G134" s="2035">
        <f t="shared" si="17"/>
        <v>0</v>
      </c>
      <c r="H134" s="1048"/>
      <c r="I134" s="964"/>
      <c r="J134" s="723"/>
      <c r="K134" s="723"/>
      <c r="L134" s="723"/>
      <c r="M134" s="723"/>
      <c r="N134" s="723"/>
      <c r="O134" s="723"/>
    </row>
    <row r="135" spans="2:15" x14ac:dyDescent="0.2">
      <c r="B135" s="950"/>
      <c r="C135" s="955"/>
      <c r="D135" s="2515"/>
      <c r="E135" s="2516"/>
      <c r="F135" s="2517"/>
      <c r="G135" s="2517"/>
      <c r="H135" s="1048"/>
      <c r="I135" s="964"/>
      <c r="J135" s="723"/>
      <c r="K135" s="723"/>
      <c r="L135" s="723"/>
      <c r="M135" s="723"/>
      <c r="N135" s="723"/>
      <c r="O135" s="723"/>
    </row>
    <row r="136" spans="2:15" x14ac:dyDescent="0.2">
      <c r="B136" s="2061" t="s">
        <v>1253</v>
      </c>
      <c r="C136" s="2412" t="s">
        <v>1670</v>
      </c>
      <c r="D136" s="2518"/>
      <c r="E136" s="2513"/>
      <c r="F136" s="2514"/>
      <c r="G136" s="2514"/>
      <c r="H136" s="1048"/>
      <c r="I136" s="964"/>
      <c r="J136" s="723"/>
      <c r="K136" s="723"/>
      <c r="L136" s="723"/>
      <c r="M136" s="723"/>
      <c r="N136" s="723"/>
      <c r="O136" s="723"/>
    </row>
    <row r="137" spans="2:15" ht="39" customHeight="1" x14ac:dyDescent="0.2">
      <c r="B137" s="2061"/>
      <c r="C137" s="2442" t="s">
        <v>1388</v>
      </c>
      <c r="D137" s="2440" t="s">
        <v>149</v>
      </c>
      <c r="E137" s="2441">
        <v>4</v>
      </c>
      <c r="F137" s="2034">
        <v>0</v>
      </c>
      <c r="G137" s="2035">
        <f t="shared" ref="G137:G139" si="18">E137*F137</f>
        <v>0</v>
      </c>
      <c r="H137" s="1048"/>
      <c r="I137" s="964"/>
      <c r="J137" s="723"/>
      <c r="K137" s="723"/>
      <c r="L137" s="723"/>
      <c r="M137" s="723"/>
      <c r="N137" s="723"/>
      <c r="O137" s="723"/>
    </row>
    <row r="138" spans="2:15" ht="25.5" x14ac:dyDescent="0.2">
      <c r="B138" s="2061"/>
      <c r="C138" s="2410" t="s">
        <v>203</v>
      </c>
      <c r="D138" s="2440" t="s">
        <v>149</v>
      </c>
      <c r="E138" s="2441">
        <v>4</v>
      </c>
      <c r="F138" s="2034">
        <v>0</v>
      </c>
      <c r="G138" s="2035">
        <f t="shared" si="18"/>
        <v>0</v>
      </c>
      <c r="H138" s="1048"/>
      <c r="I138" s="964"/>
      <c r="J138" s="723"/>
      <c r="K138" s="723"/>
      <c r="L138" s="723"/>
      <c r="M138" s="723"/>
      <c r="N138" s="723"/>
      <c r="O138" s="723"/>
    </row>
    <row r="139" spans="2:15" ht="25.5" x14ac:dyDescent="0.2">
      <c r="B139" s="2061"/>
      <c r="C139" s="2411" t="s">
        <v>1196</v>
      </c>
      <c r="D139" s="2440" t="s">
        <v>149</v>
      </c>
      <c r="E139" s="2441">
        <v>4</v>
      </c>
      <c r="F139" s="2034">
        <v>0</v>
      </c>
      <c r="G139" s="2035">
        <f t="shared" si="18"/>
        <v>0</v>
      </c>
      <c r="H139" s="1048"/>
      <c r="I139" s="964"/>
      <c r="J139" s="723"/>
      <c r="K139" s="723"/>
      <c r="L139" s="723"/>
      <c r="M139" s="723"/>
      <c r="N139" s="723"/>
      <c r="O139" s="723"/>
    </row>
    <row r="140" spans="2:15" x14ac:dyDescent="0.2">
      <c r="B140" s="950"/>
      <c r="C140" s="955"/>
      <c r="D140" s="2515"/>
      <c r="E140" s="2516"/>
      <c r="F140" s="2517"/>
      <c r="G140" s="2517"/>
      <c r="H140" s="1048"/>
      <c r="I140" s="964"/>
      <c r="J140" s="723"/>
      <c r="K140" s="723"/>
      <c r="L140" s="723"/>
      <c r="M140" s="723"/>
      <c r="N140" s="723"/>
      <c r="O140" s="723"/>
    </row>
    <row r="141" spans="2:15" s="723" customFormat="1" x14ac:dyDescent="0.2">
      <c r="B141" s="950" t="s">
        <v>1402</v>
      </c>
      <c r="C141" s="1059" t="s">
        <v>244</v>
      </c>
      <c r="D141" s="2519"/>
      <c r="E141" s="2516"/>
      <c r="F141" s="2517"/>
      <c r="G141" s="2517"/>
      <c r="H141" s="1043"/>
      <c r="I141" s="965"/>
      <c r="J141" s="996"/>
      <c r="K141" s="996"/>
    </row>
    <row r="142" spans="2:15" s="723" customFormat="1" x14ac:dyDescent="0.2">
      <c r="B142" s="950"/>
      <c r="C142" s="1059" t="s">
        <v>828</v>
      </c>
      <c r="D142" s="1045"/>
      <c r="E142" s="1046"/>
      <c r="F142" s="1060"/>
      <c r="G142" s="1061"/>
      <c r="H142" s="1043"/>
      <c r="I142" s="965"/>
      <c r="J142" s="996"/>
      <c r="K142" s="996"/>
    </row>
    <row r="143" spans="2:15" s="723" customFormat="1" ht="51" x14ac:dyDescent="0.2">
      <c r="B143" s="292"/>
      <c r="C143" s="1044" t="s">
        <v>1276</v>
      </c>
      <c r="D143" s="1045" t="s">
        <v>149</v>
      </c>
      <c r="E143" s="961">
        <v>29</v>
      </c>
      <c r="F143" s="1062">
        <v>0</v>
      </c>
      <c r="G143" s="1035">
        <f>E143*F143</f>
        <v>0</v>
      </c>
      <c r="H143" s="1043"/>
      <c r="I143" s="965"/>
      <c r="J143" s="996"/>
      <c r="K143" s="996"/>
    </row>
    <row r="144" spans="2:15" s="723" customFormat="1" ht="25.5" x14ac:dyDescent="0.2">
      <c r="B144" s="950"/>
      <c r="C144" s="962" t="s">
        <v>247</v>
      </c>
      <c r="D144" s="1045" t="s">
        <v>149</v>
      </c>
      <c r="E144" s="961">
        <v>29</v>
      </c>
      <c r="F144" s="1062">
        <v>0</v>
      </c>
      <c r="G144" s="1035">
        <f>E144*F144</f>
        <v>0</v>
      </c>
      <c r="H144" s="1043"/>
      <c r="I144" s="965"/>
      <c r="J144" s="996"/>
      <c r="K144" s="996"/>
    </row>
    <row r="145" spans="2:11" s="723" customFormat="1" ht="25.5" x14ac:dyDescent="0.2">
      <c r="B145" s="950"/>
      <c r="C145" s="869" t="s">
        <v>1196</v>
      </c>
      <c r="D145" s="1045" t="s">
        <v>149</v>
      </c>
      <c r="E145" s="961">
        <v>29</v>
      </c>
      <c r="F145" s="1062">
        <v>0</v>
      </c>
      <c r="G145" s="1035">
        <f>E145*F145</f>
        <v>0</v>
      </c>
      <c r="H145" s="1043"/>
      <c r="I145" s="965"/>
      <c r="J145" s="996"/>
      <c r="K145" s="996"/>
    </row>
    <row r="146" spans="2:11" s="723" customFormat="1" ht="15" customHeight="1" x14ac:dyDescent="0.2">
      <c r="B146" s="950"/>
      <c r="C146" s="1059" t="s">
        <v>249</v>
      </c>
      <c r="D146" s="1045"/>
      <c r="E146" s="961"/>
      <c r="F146" s="1062"/>
      <c r="G146" s="1035"/>
      <c r="H146" s="1043"/>
      <c r="I146" s="965"/>
      <c r="J146" s="996"/>
      <c r="K146" s="996"/>
    </row>
    <row r="147" spans="2:11" s="723" customFormat="1" ht="51" x14ac:dyDescent="0.2">
      <c r="B147" s="950"/>
      <c r="C147" s="1044" t="s">
        <v>1427</v>
      </c>
      <c r="D147" s="1045" t="s">
        <v>149</v>
      </c>
      <c r="E147" s="961">
        <v>4</v>
      </c>
      <c r="F147" s="1062">
        <v>0</v>
      </c>
      <c r="G147" s="1035">
        <f>E147*F147</f>
        <v>0</v>
      </c>
      <c r="H147" s="1043"/>
      <c r="I147" s="965"/>
      <c r="J147" s="996"/>
      <c r="K147" s="996"/>
    </row>
    <row r="148" spans="2:11" s="723" customFormat="1" ht="25.5" x14ac:dyDescent="0.2">
      <c r="B148" s="950"/>
      <c r="C148" s="962" t="s">
        <v>247</v>
      </c>
      <c r="D148" s="1045" t="s">
        <v>149</v>
      </c>
      <c r="E148" s="961">
        <v>4</v>
      </c>
      <c r="F148" s="1062">
        <v>0</v>
      </c>
      <c r="G148" s="1035">
        <f>E148*F148</f>
        <v>0</v>
      </c>
      <c r="H148" s="1043"/>
      <c r="I148" s="965"/>
      <c r="J148" s="996"/>
      <c r="K148" s="996"/>
    </row>
    <row r="149" spans="2:11" s="723" customFormat="1" ht="25.5" x14ac:dyDescent="0.2">
      <c r="B149" s="950"/>
      <c r="C149" s="869" t="s">
        <v>1196</v>
      </c>
      <c r="D149" s="1045" t="s">
        <v>149</v>
      </c>
      <c r="E149" s="961">
        <v>4</v>
      </c>
      <c r="F149" s="1062">
        <v>0</v>
      </c>
      <c r="G149" s="1035">
        <f>E149*F149</f>
        <v>0</v>
      </c>
      <c r="H149" s="1043"/>
      <c r="I149" s="965"/>
      <c r="J149" s="996"/>
      <c r="K149" s="996"/>
    </row>
    <row r="150" spans="2:11" s="723" customFormat="1" ht="15" customHeight="1" x14ac:dyDescent="0.2">
      <c r="B150" s="950"/>
      <c r="C150" s="1059" t="s">
        <v>849</v>
      </c>
      <c r="D150" s="1045"/>
      <c r="E150" s="961"/>
      <c r="F150" s="1062"/>
      <c r="G150" s="1035"/>
      <c r="H150" s="1043"/>
      <c r="I150" s="965"/>
      <c r="J150" s="996"/>
      <c r="K150" s="996"/>
    </row>
    <row r="151" spans="2:11" s="723" customFormat="1" ht="51" x14ac:dyDescent="0.2">
      <c r="B151" s="950"/>
      <c r="C151" s="1044" t="s">
        <v>1428</v>
      </c>
      <c r="D151" s="1045" t="s">
        <v>149</v>
      </c>
      <c r="E151" s="961">
        <v>16</v>
      </c>
      <c r="F151" s="1062">
        <v>0</v>
      </c>
      <c r="G151" s="1035">
        <f>E151*F151</f>
        <v>0</v>
      </c>
      <c r="H151" s="1043"/>
      <c r="I151" s="965"/>
      <c r="J151" s="996"/>
      <c r="K151" s="996"/>
    </row>
    <row r="152" spans="2:11" s="723" customFormat="1" ht="25.5" x14ac:dyDescent="0.2">
      <c r="B152" s="950"/>
      <c r="C152" s="962" t="s">
        <v>247</v>
      </c>
      <c r="D152" s="1045" t="s">
        <v>149</v>
      </c>
      <c r="E152" s="961">
        <v>16</v>
      </c>
      <c r="F152" s="1062">
        <v>0</v>
      </c>
      <c r="G152" s="1035">
        <f>E152*F152</f>
        <v>0</v>
      </c>
      <c r="H152" s="1043"/>
      <c r="I152" s="965"/>
      <c r="J152" s="996"/>
      <c r="K152" s="996"/>
    </row>
    <row r="153" spans="2:11" s="723" customFormat="1" ht="25.5" x14ac:dyDescent="0.2">
      <c r="B153" s="950"/>
      <c r="C153" s="869" t="s">
        <v>1196</v>
      </c>
      <c r="D153" s="1045" t="s">
        <v>149</v>
      </c>
      <c r="E153" s="961">
        <v>16</v>
      </c>
      <c r="F153" s="1062">
        <v>0</v>
      </c>
      <c r="G153" s="1035">
        <f>E153*F153</f>
        <v>0</v>
      </c>
      <c r="H153" s="1043"/>
      <c r="I153" s="965"/>
      <c r="J153" s="996"/>
      <c r="K153" s="996"/>
    </row>
    <row r="154" spans="2:11" s="723" customFormat="1" x14ac:dyDescent="0.2">
      <c r="B154" s="950"/>
      <c r="C154" s="955"/>
      <c r="D154" s="2515"/>
      <c r="E154" s="2520"/>
      <c r="F154" s="2517"/>
      <c r="G154" s="2517"/>
      <c r="H154" s="1043"/>
      <c r="I154" s="965"/>
      <c r="J154" s="996"/>
      <c r="K154" s="996"/>
    </row>
    <row r="155" spans="2:11" s="723" customFormat="1" x14ac:dyDescent="0.2">
      <c r="B155" s="292" t="s">
        <v>199</v>
      </c>
      <c r="C155" s="1063" t="s">
        <v>300</v>
      </c>
      <c r="D155" s="153"/>
      <c r="E155" s="974"/>
      <c r="F155" s="1064"/>
      <c r="G155" s="1051"/>
      <c r="H155" s="1043"/>
      <c r="I155" s="965"/>
      <c r="J155" s="996"/>
      <c r="K155" s="996"/>
    </row>
    <row r="156" spans="2:11" s="723" customFormat="1" ht="102" x14ac:dyDescent="0.2">
      <c r="B156" s="135"/>
      <c r="C156" s="1047" t="s">
        <v>301</v>
      </c>
      <c r="D156" s="1045" t="s">
        <v>149</v>
      </c>
      <c r="E156" s="961">
        <v>49</v>
      </c>
      <c r="F156" s="1062">
        <v>0</v>
      </c>
      <c r="G156" s="1035">
        <f>E156*F156</f>
        <v>0</v>
      </c>
      <c r="H156" s="1043"/>
      <c r="I156" s="965"/>
      <c r="J156" s="996"/>
      <c r="K156" s="996"/>
    </row>
    <row r="157" spans="2:11" s="723" customFormat="1" x14ac:dyDescent="0.2">
      <c r="B157" s="978"/>
      <c r="C157" s="979"/>
      <c r="D157" s="980"/>
      <c r="E157" s="1065"/>
      <c r="F157" s="1066"/>
      <c r="G157" s="1067"/>
      <c r="H157" s="744"/>
      <c r="J157" s="996"/>
    </row>
    <row r="158" spans="2:11" s="723" customFormat="1" x14ac:dyDescent="0.2">
      <c r="B158" s="702" t="s">
        <v>17</v>
      </c>
      <c r="C158" s="1052" t="s">
        <v>302</v>
      </c>
      <c r="D158" s="1053"/>
      <c r="E158" s="1054"/>
      <c r="F158" s="1055"/>
      <c r="G158" s="1029">
        <f>SUM(G111:G156)</f>
        <v>0</v>
      </c>
      <c r="H158" s="744"/>
      <c r="J158" s="996"/>
    </row>
    <row r="159" spans="2:11" s="723" customFormat="1" x14ac:dyDescent="0.2">
      <c r="B159" s="908"/>
      <c r="C159" s="989"/>
      <c r="D159" s="908"/>
      <c r="E159" s="1056"/>
      <c r="F159" s="1032"/>
      <c r="G159" s="997"/>
      <c r="H159" s="744"/>
      <c r="J159" s="996"/>
    </row>
    <row r="160" spans="2:11" s="723" customFormat="1" x14ac:dyDescent="0.2">
      <c r="B160" s="739"/>
      <c r="C160" s="740"/>
      <c r="D160" s="741"/>
      <c r="E160" s="995"/>
      <c r="F160" s="996"/>
      <c r="G160" s="997"/>
      <c r="H160" s="991"/>
      <c r="J160" s="996"/>
    </row>
    <row r="161" spans="2:10" s="723" customFormat="1" x14ac:dyDescent="0.2">
      <c r="B161" s="739"/>
      <c r="C161" s="740"/>
      <c r="D161" s="741"/>
      <c r="E161" s="995"/>
      <c r="F161" s="996"/>
      <c r="G161" s="997"/>
      <c r="H161" s="991"/>
      <c r="J161" s="996"/>
    </row>
    <row r="162" spans="2:10" s="723" customFormat="1" x14ac:dyDescent="0.2">
      <c r="B162" s="739"/>
      <c r="C162" s="740"/>
      <c r="D162" s="741"/>
      <c r="E162" s="995"/>
      <c r="F162" s="996"/>
      <c r="G162" s="997"/>
      <c r="H162" s="744"/>
      <c r="J162" s="996"/>
    </row>
    <row r="163" spans="2:10" s="723" customFormat="1" x14ac:dyDescent="0.2">
      <c r="B163" s="739"/>
      <c r="C163" s="740"/>
      <c r="D163" s="741"/>
      <c r="E163" s="995"/>
      <c r="F163" s="996"/>
      <c r="G163" s="997"/>
      <c r="H163" s="744"/>
      <c r="J163" s="996"/>
    </row>
    <row r="164" spans="2:10" s="723" customFormat="1" x14ac:dyDescent="0.2">
      <c r="B164" s="739"/>
      <c r="C164" s="740"/>
      <c r="D164" s="741"/>
      <c r="E164" s="995"/>
      <c r="F164" s="996"/>
      <c r="G164" s="997"/>
      <c r="H164" s="744"/>
      <c r="J164" s="996"/>
    </row>
    <row r="165" spans="2:10" s="723" customFormat="1" ht="15" customHeight="1" x14ac:dyDescent="0.2">
      <c r="B165" s="739"/>
      <c r="C165" s="740"/>
      <c r="D165" s="741"/>
      <c r="E165" s="995"/>
      <c r="F165" s="996"/>
      <c r="G165" s="997"/>
      <c r="H165" s="744"/>
      <c r="J165" s="996"/>
    </row>
    <row r="166" spans="2:10" s="723" customFormat="1" x14ac:dyDescent="0.2">
      <c r="B166" s="739"/>
      <c r="C166" s="740"/>
      <c r="D166" s="741"/>
      <c r="E166" s="995"/>
      <c r="F166" s="996"/>
      <c r="G166" s="997"/>
      <c r="H166" s="744"/>
      <c r="J166" s="996"/>
    </row>
    <row r="167" spans="2:10" s="723" customFormat="1" ht="16.5" customHeight="1" x14ac:dyDescent="0.2">
      <c r="B167" s="739"/>
      <c r="C167" s="740"/>
      <c r="D167" s="741"/>
      <c r="E167" s="995"/>
      <c r="F167" s="996"/>
      <c r="G167" s="997"/>
      <c r="H167" s="744"/>
    </row>
    <row r="168" spans="2:10" s="723" customFormat="1" x14ac:dyDescent="0.2">
      <c r="B168" s="739"/>
      <c r="C168" s="740"/>
      <c r="D168" s="741"/>
      <c r="E168" s="995"/>
      <c r="F168" s="996"/>
      <c r="G168" s="997"/>
      <c r="H168" s="744"/>
    </row>
    <row r="169" spans="2:10" s="723" customFormat="1" x14ac:dyDescent="0.2">
      <c r="B169" s="739"/>
      <c r="C169" s="740"/>
      <c r="D169" s="741"/>
      <c r="E169" s="995"/>
      <c r="F169" s="996"/>
      <c r="G169" s="997"/>
      <c r="H169" s="744"/>
    </row>
    <row r="170" spans="2:10" s="723" customFormat="1" x14ac:dyDescent="0.2">
      <c r="B170" s="739"/>
      <c r="C170" s="740"/>
      <c r="D170" s="741"/>
      <c r="E170" s="995"/>
      <c r="F170" s="996"/>
      <c r="G170" s="997"/>
      <c r="H170" s="744"/>
    </row>
    <row r="171" spans="2:10" s="723" customFormat="1" x14ac:dyDescent="0.2">
      <c r="B171" s="739"/>
      <c r="C171" s="740"/>
      <c r="D171" s="741"/>
      <c r="E171" s="995"/>
      <c r="F171" s="996"/>
      <c r="G171" s="997"/>
      <c r="H171" s="744"/>
      <c r="J171" s="996"/>
    </row>
    <row r="172" spans="2:10" s="723" customFormat="1" x14ac:dyDescent="0.2">
      <c r="B172" s="739"/>
      <c r="C172" s="740"/>
      <c r="D172" s="741"/>
      <c r="E172" s="995"/>
      <c r="F172" s="996"/>
      <c r="G172" s="997"/>
      <c r="H172" s="744"/>
      <c r="J172" s="996"/>
    </row>
    <row r="173" spans="2:10" s="723" customFormat="1" x14ac:dyDescent="0.2">
      <c r="B173" s="739"/>
      <c r="C173" s="740"/>
      <c r="D173" s="741"/>
      <c r="E173" s="995"/>
      <c r="F173" s="996"/>
      <c r="G173" s="997"/>
      <c r="H173" s="744"/>
      <c r="J173" s="996"/>
    </row>
    <row r="174" spans="2:10" s="723" customFormat="1" x14ac:dyDescent="0.2">
      <c r="B174" s="739"/>
      <c r="C174" s="740"/>
      <c r="D174" s="741"/>
      <c r="E174" s="995"/>
      <c r="F174" s="996"/>
      <c r="G174" s="997"/>
      <c r="H174" s="744"/>
      <c r="J174" s="996"/>
    </row>
    <row r="175" spans="2:10" s="723" customFormat="1" x14ac:dyDescent="0.2">
      <c r="B175" s="739"/>
      <c r="C175" s="740"/>
      <c r="D175" s="741"/>
      <c r="E175" s="995"/>
      <c r="F175" s="996"/>
      <c r="G175" s="997"/>
      <c r="H175" s="744"/>
      <c r="J175" s="996"/>
    </row>
    <row r="176" spans="2:10" s="723" customFormat="1" x14ac:dyDescent="0.2">
      <c r="B176" s="739"/>
      <c r="C176" s="740"/>
      <c r="D176" s="741"/>
      <c r="E176" s="995"/>
      <c r="F176" s="996"/>
      <c r="G176" s="997"/>
      <c r="H176" s="744"/>
      <c r="J176" s="996"/>
    </row>
    <row r="177" spans="2:10" s="723" customFormat="1" x14ac:dyDescent="0.2">
      <c r="B177" s="739"/>
      <c r="C177" s="740"/>
      <c r="D177" s="741"/>
      <c r="E177" s="995"/>
      <c r="F177" s="996"/>
      <c r="G177" s="997"/>
      <c r="H177" s="744"/>
    </row>
    <row r="178" spans="2:10" s="723" customFormat="1" x14ac:dyDescent="0.2">
      <c r="B178" s="739"/>
      <c r="C178" s="740"/>
      <c r="D178" s="741"/>
      <c r="E178" s="995"/>
      <c r="F178" s="996"/>
      <c r="G178" s="997"/>
      <c r="H178" s="744"/>
    </row>
    <row r="179" spans="2:10" s="723" customFormat="1" x14ac:dyDescent="0.2">
      <c r="B179" s="739"/>
      <c r="C179" s="740"/>
      <c r="D179" s="741"/>
      <c r="E179" s="995"/>
      <c r="F179" s="996"/>
      <c r="G179" s="997"/>
      <c r="H179" s="744"/>
    </row>
    <row r="180" spans="2:10" s="723" customFormat="1" x14ac:dyDescent="0.2">
      <c r="B180" s="739"/>
      <c r="C180" s="740"/>
      <c r="D180" s="741"/>
      <c r="E180" s="995"/>
      <c r="F180" s="996"/>
      <c r="G180" s="997"/>
      <c r="H180" s="744"/>
    </row>
    <row r="181" spans="2:10" s="723" customFormat="1" x14ac:dyDescent="0.2">
      <c r="B181" s="739"/>
      <c r="C181" s="740"/>
      <c r="D181" s="741"/>
      <c r="E181" s="995"/>
      <c r="F181" s="996"/>
      <c r="G181" s="997"/>
      <c r="H181" s="744"/>
      <c r="J181" s="996"/>
    </row>
    <row r="182" spans="2:10" s="723" customFormat="1" x14ac:dyDescent="0.2">
      <c r="B182" s="739"/>
      <c r="C182" s="740"/>
      <c r="D182" s="741"/>
      <c r="E182" s="995"/>
      <c r="F182" s="996"/>
      <c r="G182" s="997"/>
      <c r="H182" s="744"/>
      <c r="J182" s="996"/>
    </row>
    <row r="183" spans="2:10" s="723" customFormat="1" x14ac:dyDescent="0.2">
      <c r="B183" s="739"/>
      <c r="C183" s="740"/>
      <c r="D183" s="741"/>
      <c r="E183" s="995"/>
      <c r="F183" s="996"/>
      <c r="G183" s="997"/>
      <c r="H183" s="744"/>
    </row>
    <row r="184" spans="2:10" s="723" customFormat="1" x14ac:dyDescent="0.2">
      <c r="B184" s="739"/>
      <c r="C184" s="740"/>
      <c r="D184" s="741"/>
      <c r="E184" s="995"/>
      <c r="F184" s="996"/>
      <c r="G184" s="997"/>
      <c r="H184" s="744"/>
      <c r="I184" s="741"/>
    </row>
    <row r="185" spans="2:10" s="723" customFormat="1" x14ac:dyDescent="0.2">
      <c r="B185" s="739"/>
      <c r="C185" s="740"/>
      <c r="D185" s="741"/>
      <c r="E185" s="995"/>
      <c r="F185" s="996"/>
      <c r="G185" s="997"/>
      <c r="H185" s="744"/>
      <c r="I185" s="741"/>
    </row>
    <row r="186" spans="2:10" s="723" customFormat="1" x14ac:dyDescent="0.2">
      <c r="B186" s="739"/>
      <c r="C186" s="740"/>
      <c r="D186" s="741"/>
      <c r="E186" s="995"/>
      <c r="F186" s="996"/>
      <c r="G186" s="997"/>
      <c r="H186" s="744"/>
      <c r="I186" s="741"/>
    </row>
    <row r="187" spans="2:10" s="723" customFormat="1" x14ac:dyDescent="0.2">
      <c r="B187" s="739"/>
      <c r="C187" s="740"/>
      <c r="D187" s="741"/>
      <c r="E187" s="995"/>
      <c r="F187" s="996"/>
      <c r="G187" s="997"/>
      <c r="H187" s="744"/>
      <c r="I187" s="741"/>
    </row>
    <row r="188" spans="2:10" s="723" customFormat="1" x14ac:dyDescent="0.2">
      <c r="B188" s="739"/>
      <c r="C188" s="740"/>
      <c r="D188" s="741"/>
      <c r="E188" s="995"/>
      <c r="F188" s="996"/>
      <c r="G188" s="997"/>
      <c r="H188" s="744"/>
      <c r="I188" s="741"/>
    </row>
    <row r="189" spans="2:10" s="723" customFormat="1" x14ac:dyDescent="0.2">
      <c r="B189" s="739"/>
      <c r="C189" s="740"/>
      <c r="D189" s="741"/>
      <c r="E189" s="995"/>
      <c r="F189" s="996"/>
      <c r="G189" s="997"/>
      <c r="H189" s="744"/>
      <c r="I189" s="741"/>
    </row>
    <row r="190" spans="2:10" s="723" customFormat="1" x14ac:dyDescent="0.2">
      <c r="B190" s="739"/>
      <c r="C190" s="740"/>
      <c r="D190" s="741"/>
      <c r="E190" s="995"/>
      <c r="F190" s="996"/>
      <c r="G190" s="997"/>
      <c r="H190" s="744"/>
      <c r="I190" s="741"/>
    </row>
    <row r="191" spans="2:10" s="723" customFormat="1" x14ac:dyDescent="0.2">
      <c r="B191" s="739"/>
      <c r="C191" s="740"/>
      <c r="D191" s="741"/>
      <c r="E191" s="995"/>
      <c r="F191" s="996"/>
      <c r="G191" s="997"/>
      <c r="H191" s="744"/>
      <c r="I191" s="741"/>
    </row>
    <row r="192" spans="2:10" s="723" customFormat="1" x14ac:dyDescent="0.2">
      <c r="B192" s="739"/>
      <c r="C192" s="740"/>
      <c r="D192" s="741"/>
      <c r="E192" s="995"/>
      <c r="F192" s="996"/>
      <c r="G192" s="997"/>
      <c r="H192" s="744"/>
      <c r="I192" s="741"/>
    </row>
    <row r="193" spans="2:9" s="723" customFormat="1" x14ac:dyDescent="0.2">
      <c r="B193" s="739"/>
      <c r="C193" s="740"/>
      <c r="D193" s="741"/>
      <c r="E193" s="995"/>
      <c r="F193" s="996"/>
      <c r="G193" s="997"/>
      <c r="H193" s="744"/>
      <c r="I193" s="741"/>
    </row>
    <row r="194" spans="2:9" s="723" customFormat="1" x14ac:dyDescent="0.2">
      <c r="B194" s="739"/>
      <c r="C194" s="740"/>
      <c r="D194" s="741"/>
      <c r="E194" s="995"/>
      <c r="F194" s="996"/>
      <c r="G194" s="997"/>
      <c r="H194" s="744"/>
      <c r="I194" s="741"/>
    </row>
    <row r="195" spans="2:9" s="723" customFormat="1" x14ac:dyDescent="0.2">
      <c r="B195" s="739"/>
      <c r="C195" s="740"/>
      <c r="D195" s="741"/>
      <c r="E195" s="995"/>
      <c r="F195" s="996"/>
      <c r="G195" s="997"/>
      <c r="H195" s="744"/>
      <c r="I195" s="741"/>
    </row>
    <row r="196" spans="2:9" s="723" customFormat="1" x14ac:dyDescent="0.2">
      <c r="B196" s="739"/>
      <c r="C196" s="740"/>
      <c r="D196" s="741"/>
      <c r="E196" s="995"/>
      <c r="F196" s="996"/>
      <c r="G196" s="997"/>
      <c r="H196" s="744"/>
      <c r="I196" s="741"/>
    </row>
    <row r="197" spans="2:9" s="723" customFormat="1" ht="12.75" customHeight="1" x14ac:dyDescent="0.2">
      <c r="B197" s="739"/>
      <c r="C197" s="740"/>
      <c r="D197" s="741"/>
      <c r="E197" s="995"/>
      <c r="F197" s="996"/>
      <c r="G197" s="997"/>
      <c r="H197" s="744"/>
      <c r="I197" s="992"/>
    </row>
    <row r="198" spans="2:9" s="723" customFormat="1" x14ac:dyDescent="0.2">
      <c r="B198" s="739"/>
      <c r="C198" s="740"/>
      <c r="D198" s="741"/>
      <c r="E198" s="995"/>
      <c r="F198" s="996"/>
      <c r="G198" s="997"/>
      <c r="H198" s="744"/>
      <c r="I198" s="992"/>
    </row>
    <row r="199" spans="2:9" s="723" customFormat="1" x14ac:dyDescent="0.2">
      <c r="B199" s="739"/>
      <c r="C199" s="740"/>
      <c r="D199" s="741"/>
      <c r="E199" s="995"/>
      <c r="F199" s="996"/>
      <c r="G199" s="997"/>
      <c r="H199" s="744"/>
      <c r="I199" s="741"/>
    </row>
    <row r="200" spans="2:9" s="723" customFormat="1" x14ac:dyDescent="0.2">
      <c r="B200" s="739"/>
      <c r="C200" s="740"/>
      <c r="D200" s="741"/>
      <c r="E200" s="995"/>
      <c r="F200" s="996"/>
      <c r="G200" s="997"/>
      <c r="H200" s="744"/>
      <c r="I200" s="741"/>
    </row>
    <row r="201" spans="2:9" s="723" customFormat="1" x14ac:dyDescent="0.2">
      <c r="B201" s="739"/>
      <c r="C201" s="740"/>
      <c r="D201" s="741"/>
      <c r="E201" s="995"/>
      <c r="F201" s="996"/>
      <c r="G201" s="997"/>
      <c r="H201" s="744"/>
      <c r="I201" s="741"/>
    </row>
    <row r="202" spans="2:9" s="723" customFormat="1" x14ac:dyDescent="0.2">
      <c r="B202" s="739"/>
      <c r="C202" s="740"/>
      <c r="D202" s="741"/>
      <c r="E202" s="995"/>
      <c r="F202" s="996"/>
      <c r="G202" s="997"/>
      <c r="H202" s="744"/>
      <c r="I202" s="741"/>
    </row>
    <row r="203" spans="2:9" s="723" customFormat="1" x14ac:dyDescent="0.2">
      <c r="B203" s="739"/>
      <c r="C203" s="740"/>
      <c r="D203" s="741"/>
      <c r="E203" s="995"/>
      <c r="F203" s="996"/>
      <c r="G203" s="997"/>
      <c r="H203" s="744"/>
      <c r="I203" s="741"/>
    </row>
    <row r="204" spans="2:9" s="723" customFormat="1" x14ac:dyDescent="0.2">
      <c r="B204" s="739"/>
      <c r="C204" s="740"/>
      <c r="D204" s="741"/>
      <c r="E204" s="995"/>
      <c r="F204" s="996"/>
      <c r="G204" s="997"/>
      <c r="H204" s="744"/>
      <c r="I204" s="741"/>
    </row>
    <row r="205" spans="2:9" s="723" customFormat="1" x14ac:dyDescent="0.2">
      <c r="B205" s="739"/>
      <c r="C205" s="740"/>
      <c r="D205" s="741"/>
      <c r="E205" s="995"/>
      <c r="F205" s="996"/>
      <c r="G205" s="997"/>
      <c r="H205" s="744"/>
      <c r="I205" s="741"/>
    </row>
    <row r="206" spans="2:9" s="723" customFormat="1" x14ac:dyDescent="0.2">
      <c r="B206" s="739"/>
      <c r="C206" s="740"/>
      <c r="D206" s="741"/>
      <c r="E206" s="995"/>
      <c r="F206" s="996"/>
      <c r="G206" s="997"/>
      <c r="H206" s="744"/>
      <c r="I206" s="741"/>
    </row>
    <row r="207" spans="2:9" s="723" customFormat="1" ht="12.75" customHeight="1" x14ac:dyDescent="0.2">
      <c r="B207" s="739"/>
      <c r="C207" s="740"/>
      <c r="D207" s="741"/>
      <c r="E207" s="995"/>
      <c r="F207" s="996"/>
      <c r="G207" s="997"/>
      <c r="H207" s="744"/>
      <c r="I207" s="741"/>
    </row>
    <row r="208" spans="2:9" s="723" customFormat="1" x14ac:dyDescent="0.2">
      <c r="B208" s="739"/>
      <c r="C208" s="740"/>
      <c r="D208" s="741"/>
      <c r="E208" s="995"/>
      <c r="F208" s="996"/>
      <c r="G208" s="997"/>
      <c r="H208" s="744"/>
      <c r="I208" s="741"/>
    </row>
    <row r="209" spans="2:10" s="723" customFormat="1" x14ac:dyDescent="0.2">
      <c r="B209" s="739"/>
      <c r="C209" s="740"/>
      <c r="D209" s="741"/>
      <c r="E209" s="995"/>
      <c r="F209" s="996"/>
      <c r="G209" s="997"/>
      <c r="H209" s="744"/>
      <c r="I209" s="741"/>
    </row>
    <row r="210" spans="2:10" s="723" customFormat="1" x14ac:dyDescent="0.2">
      <c r="B210" s="739"/>
      <c r="C210" s="740"/>
      <c r="D210" s="741"/>
      <c r="E210" s="995"/>
      <c r="F210" s="996"/>
      <c r="G210" s="997"/>
      <c r="H210" s="744"/>
      <c r="I210" s="741"/>
    </row>
    <row r="211" spans="2:10" s="723" customFormat="1" x14ac:dyDescent="0.2">
      <c r="B211" s="739"/>
      <c r="C211" s="740"/>
      <c r="D211" s="741"/>
      <c r="E211" s="995"/>
      <c r="F211" s="996"/>
      <c r="G211" s="997"/>
      <c r="H211" s="744"/>
      <c r="I211" s="741"/>
    </row>
    <row r="212" spans="2:10" s="723" customFormat="1" x14ac:dyDescent="0.2">
      <c r="B212" s="739"/>
      <c r="C212" s="740"/>
      <c r="D212" s="741"/>
      <c r="E212" s="995"/>
      <c r="F212" s="996"/>
      <c r="G212" s="997"/>
      <c r="H212" s="744"/>
      <c r="I212" s="741"/>
      <c r="J212" s="741"/>
    </row>
    <row r="213" spans="2:10" s="723" customFormat="1" x14ac:dyDescent="0.2">
      <c r="B213" s="739"/>
      <c r="C213" s="740"/>
      <c r="D213" s="741"/>
      <c r="E213" s="995"/>
      <c r="F213" s="996"/>
      <c r="G213" s="997"/>
      <c r="H213" s="744"/>
      <c r="I213" s="741"/>
      <c r="J213" s="741"/>
    </row>
    <row r="214" spans="2:10" s="723" customFormat="1" x14ac:dyDescent="0.2">
      <c r="B214" s="739"/>
      <c r="C214" s="740"/>
      <c r="D214" s="741"/>
      <c r="E214" s="995"/>
      <c r="F214" s="996"/>
      <c r="G214" s="997"/>
      <c r="H214" s="744"/>
      <c r="I214" s="741"/>
      <c r="J214" s="741"/>
    </row>
    <row r="215" spans="2:10" s="723" customFormat="1" x14ac:dyDescent="0.2">
      <c r="B215" s="739"/>
      <c r="C215" s="740"/>
      <c r="D215" s="741"/>
      <c r="E215" s="995"/>
      <c r="F215" s="996"/>
      <c r="G215" s="997"/>
      <c r="H215" s="744"/>
      <c r="I215" s="741"/>
      <c r="J215" s="741"/>
    </row>
    <row r="216" spans="2:10" s="723" customFormat="1" x14ac:dyDescent="0.2">
      <c r="B216" s="739"/>
      <c r="C216" s="740"/>
      <c r="D216" s="741"/>
      <c r="E216" s="995"/>
      <c r="F216" s="996"/>
      <c r="G216" s="997"/>
      <c r="H216" s="744"/>
      <c r="I216" s="741"/>
      <c r="J216" s="741"/>
    </row>
    <row r="217" spans="2:10" s="723" customFormat="1" x14ac:dyDescent="0.2">
      <c r="B217" s="739"/>
      <c r="C217" s="740"/>
      <c r="D217" s="741"/>
      <c r="E217" s="995"/>
      <c r="F217" s="996"/>
      <c r="G217" s="997"/>
      <c r="H217" s="744"/>
      <c r="I217" s="741"/>
      <c r="J217" s="741"/>
    </row>
    <row r="218" spans="2:10" s="723" customFormat="1" x14ac:dyDescent="0.2">
      <c r="B218" s="739"/>
      <c r="C218" s="740"/>
      <c r="D218" s="741"/>
      <c r="E218" s="995"/>
      <c r="F218" s="996"/>
      <c r="G218" s="997"/>
      <c r="H218" s="744"/>
      <c r="I218" s="741"/>
      <c r="J218" s="741"/>
    </row>
    <row r="219" spans="2:10" s="723" customFormat="1" x14ac:dyDescent="0.2">
      <c r="B219" s="739"/>
      <c r="C219" s="740"/>
      <c r="D219" s="741"/>
      <c r="E219" s="995"/>
      <c r="F219" s="996"/>
      <c r="G219" s="997"/>
      <c r="H219" s="744"/>
      <c r="I219" s="741"/>
      <c r="J219" s="741"/>
    </row>
    <row r="220" spans="2:10" s="723" customFormat="1" x14ac:dyDescent="0.2">
      <c r="B220" s="739"/>
      <c r="C220" s="740"/>
      <c r="D220" s="741"/>
      <c r="E220" s="995"/>
      <c r="F220" s="996"/>
      <c r="G220" s="997"/>
      <c r="H220" s="744"/>
      <c r="I220" s="741"/>
      <c r="J220" s="741"/>
    </row>
    <row r="221" spans="2:10" s="723" customFormat="1" x14ac:dyDescent="0.2">
      <c r="B221" s="739"/>
      <c r="C221" s="740"/>
      <c r="D221" s="741"/>
      <c r="E221" s="995"/>
      <c r="F221" s="996"/>
      <c r="G221" s="997"/>
      <c r="H221" s="744"/>
      <c r="I221" s="741"/>
      <c r="J221" s="741"/>
    </row>
    <row r="222" spans="2:10" s="723" customFormat="1" x14ac:dyDescent="0.2">
      <c r="B222" s="739"/>
      <c r="C222" s="740"/>
      <c r="D222" s="741"/>
      <c r="E222" s="995"/>
      <c r="F222" s="996"/>
      <c r="G222" s="997"/>
      <c r="H222" s="744"/>
      <c r="I222" s="741"/>
      <c r="J222" s="741"/>
    </row>
    <row r="223" spans="2:10" s="723" customFormat="1" x14ac:dyDescent="0.2">
      <c r="B223" s="739"/>
      <c r="C223" s="740"/>
      <c r="D223" s="741"/>
      <c r="E223" s="995"/>
      <c r="F223" s="996"/>
      <c r="G223" s="997"/>
      <c r="H223" s="744"/>
      <c r="I223" s="741"/>
      <c r="J223" s="741"/>
    </row>
    <row r="224" spans="2:10" s="723" customFormat="1" x14ac:dyDescent="0.2">
      <c r="B224" s="739"/>
      <c r="C224" s="740"/>
      <c r="D224" s="741"/>
      <c r="E224" s="995"/>
      <c r="F224" s="996"/>
      <c r="G224" s="997"/>
      <c r="H224" s="744"/>
      <c r="I224" s="741"/>
      <c r="J224" s="741"/>
    </row>
    <row r="225" spans="2:15" s="723" customFormat="1" x14ac:dyDescent="0.2">
      <c r="B225" s="739"/>
      <c r="C225" s="740"/>
      <c r="D225" s="741"/>
      <c r="E225" s="995"/>
      <c r="F225" s="996"/>
      <c r="G225" s="997"/>
      <c r="H225" s="744"/>
      <c r="I225" s="741"/>
      <c r="J225" s="992"/>
    </row>
    <row r="226" spans="2:15" s="723" customFormat="1" x14ac:dyDescent="0.2">
      <c r="B226" s="739"/>
      <c r="C226" s="740"/>
      <c r="D226" s="741"/>
      <c r="E226" s="995"/>
      <c r="F226" s="996"/>
      <c r="G226" s="997"/>
      <c r="H226" s="744"/>
      <c r="I226" s="741"/>
      <c r="J226" s="992"/>
    </row>
    <row r="227" spans="2:15" s="723" customFormat="1" x14ac:dyDescent="0.2">
      <c r="B227" s="739"/>
      <c r="C227" s="740"/>
      <c r="D227" s="741"/>
      <c r="E227" s="995"/>
      <c r="F227" s="996"/>
      <c r="G227" s="997"/>
      <c r="H227" s="744"/>
      <c r="I227" s="741"/>
      <c r="J227" s="741"/>
    </row>
    <row r="228" spans="2:15" s="723" customFormat="1" x14ac:dyDescent="0.2">
      <c r="B228" s="739"/>
      <c r="C228" s="740"/>
      <c r="D228" s="741"/>
      <c r="E228" s="995"/>
      <c r="F228" s="996"/>
      <c r="G228" s="997"/>
      <c r="H228" s="744"/>
      <c r="I228" s="741"/>
      <c r="J228" s="741"/>
    </row>
    <row r="229" spans="2:15" s="723" customFormat="1" x14ac:dyDescent="0.2">
      <c r="B229" s="739"/>
      <c r="C229" s="740"/>
      <c r="D229" s="741"/>
      <c r="E229" s="995"/>
      <c r="F229" s="996"/>
      <c r="G229" s="997"/>
      <c r="H229" s="744"/>
      <c r="I229" s="741"/>
      <c r="J229" s="741"/>
    </row>
    <row r="230" spans="2:15" s="723" customFormat="1" x14ac:dyDescent="0.2">
      <c r="B230" s="739"/>
      <c r="C230" s="740"/>
      <c r="D230" s="741"/>
      <c r="E230" s="995"/>
      <c r="F230" s="996"/>
      <c r="G230" s="997"/>
      <c r="H230" s="744"/>
      <c r="I230" s="741"/>
      <c r="J230" s="741"/>
    </row>
    <row r="231" spans="2:15" s="723" customFormat="1" x14ac:dyDescent="0.2">
      <c r="B231" s="739"/>
      <c r="C231" s="740"/>
      <c r="D231" s="741"/>
      <c r="E231" s="995"/>
      <c r="F231" s="996"/>
      <c r="G231" s="997"/>
      <c r="H231" s="744"/>
      <c r="I231" s="741"/>
      <c r="J231" s="741"/>
    </row>
    <row r="232" spans="2:15" s="723" customFormat="1" x14ac:dyDescent="0.2">
      <c r="B232" s="739"/>
      <c r="C232" s="740"/>
      <c r="D232" s="741"/>
      <c r="E232" s="995"/>
      <c r="F232" s="996"/>
      <c r="G232" s="997"/>
      <c r="H232" s="744"/>
      <c r="I232" s="741"/>
      <c r="J232" s="741"/>
      <c r="K232" s="741"/>
      <c r="L232" s="741"/>
    </row>
    <row r="233" spans="2:15" s="723" customFormat="1" x14ac:dyDescent="0.2">
      <c r="B233" s="739"/>
      <c r="C233" s="740"/>
      <c r="D233" s="741"/>
      <c r="E233" s="995"/>
      <c r="F233" s="996"/>
      <c r="G233" s="997"/>
      <c r="H233" s="744"/>
      <c r="I233" s="741"/>
      <c r="J233" s="741"/>
      <c r="K233" s="741"/>
      <c r="L233" s="741"/>
    </row>
    <row r="234" spans="2:15" s="723" customFormat="1" x14ac:dyDescent="0.2">
      <c r="B234" s="739"/>
      <c r="C234" s="740"/>
      <c r="D234" s="741"/>
      <c r="E234" s="995"/>
      <c r="F234" s="996"/>
      <c r="G234" s="997"/>
      <c r="H234" s="744"/>
      <c r="I234" s="741"/>
      <c r="J234" s="741"/>
      <c r="K234" s="741"/>
      <c r="L234" s="741"/>
    </row>
    <row r="235" spans="2:15" s="723" customFormat="1" x14ac:dyDescent="0.2">
      <c r="B235" s="739"/>
      <c r="C235" s="740"/>
      <c r="D235" s="741"/>
      <c r="E235" s="995"/>
      <c r="F235" s="996"/>
      <c r="G235" s="997"/>
      <c r="H235" s="744"/>
      <c r="I235" s="741"/>
      <c r="J235" s="741"/>
      <c r="K235" s="741"/>
      <c r="L235" s="741"/>
    </row>
    <row r="236" spans="2:15" s="723" customFormat="1" x14ac:dyDescent="0.2">
      <c r="B236" s="739"/>
      <c r="C236" s="740"/>
      <c r="D236" s="741"/>
      <c r="E236" s="995"/>
      <c r="F236" s="996"/>
      <c r="G236" s="997"/>
      <c r="H236" s="744"/>
      <c r="I236" s="741"/>
      <c r="J236" s="741"/>
      <c r="K236" s="741"/>
      <c r="L236" s="741"/>
      <c r="M236" s="741"/>
    </row>
    <row r="237" spans="2:15" s="723" customFormat="1" x14ac:dyDescent="0.2">
      <c r="B237" s="739"/>
      <c r="C237" s="740"/>
      <c r="D237" s="741"/>
      <c r="E237" s="995"/>
      <c r="F237" s="996"/>
      <c r="G237" s="997"/>
      <c r="H237" s="744"/>
      <c r="I237" s="741"/>
      <c r="J237" s="741"/>
      <c r="K237" s="741"/>
      <c r="L237" s="741"/>
      <c r="M237" s="741"/>
    </row>
    <row r="238" spans="2:15" s="723" customFormat="1" x14ac:dyDescent="0.2">
      <c r="B238" s="739"/>
      <c r="C238" s="740"/>
      <c r="D238" s="741"/>
      <c r="E238" s="995"/>
      <c r="F238" s="996"/>
      <c r="G238" s="997"/>
      <c r="H238" s="744"/>
      <c r="I238" s="741"/>
      <c r="J238" s="741"/>
      <c r="K238" s="741"/>
      <c r="L238" s="741"/>
      <c r="M238" s="741"/>
      <c r="N238" s="741"/>
      <c r="O238" s="741"/>
    </row>
    <row r="245" spans="2:15" x14ac:dyDescent="0.2">
      <c r="K245" s="992"/>
      <c r="L245" s="992"/>
    </row>
    <row r="246" spans="2:15" x14ac:dyDescent="0.2">
      <c r="K246" s="992"/>
      <c r="L246" s="992"/>
    </row>
    <row r="249" spans="2:15" x14ac:dyDescent="0.2">
      <c r="M249" s="992"/>
    </row>
    <row r="250" spans="2:15" x14ac:dyDescent="0.2">
      <c r="M250" s="992"/>
    </row>
    <row r="251" spans="2:15" x14ac:dyDescent="0.2">
      <c r="N251" s="992"/>
      <c r="O251" s="992"/>
    </row>
    <row r="252" spans="2:15" s="992" customFormat="1" x14ac:dyDescent="0.2">
      <c r="B252" s="739"/>
      <c r="C252" s="740"/>
      <c r="D252" s="741"/>
      <c r="E252" s="995"/>
      <c r="F252" s="996"/>
      <c r="G252" s="997"/>
      <c r="H252" s="744"/>
      <c r="I252" s="741"/>
      <c r="J252" s="741"/>
      <c r="K252" s="741"/>
      <c r="L252" s="741"/>
      <c r="M252" s="741"/>
    </row>
    <row r="253" spans="2:15" s="992" customFormat="1" x14ac:dyDescent="0.2">
      <c r="B253" s="739"/>
      <c r="C253" s="740"/>
      <c r="D253" s="741"/>
      <c r="E253" s="995"/>
      <c r="F253" s="996"/>
      <c r="G253" s="997"/>
      <c r="H253" s="744"/>
      <c r="I253" s="741"/>
      <c r="J253" s="741"/>
      <c r="K253" s="741"/>
      <c r="L253" s="741"/>
      <c r="M253" s="741"/>
      <c r="N253" s="741"/>
      <c r="O253" s="741"/>
    </row>
    <row r="258" ht="43.5" customHeight="1" x14ac:dyDescent="0.2"/>
  </sheetData>
  <mergeCells count="6">
    <mergeCell ref="B116:B117"/>
    <mergeCell ref="C6:F6"/>
    <mergeCell ref="B57:G57"/>
    <mergeCell ref="B106:G106"/>
    <mergeCell ref="B107:G107"/>
    <mergeCell ref="B108:G108"/>
  </mergeCells>
  <pageMargins left="0.7" right="0.7" top="0.75" bottom="0.75" header="0.3" footer="0.3"/>
  <pageSetup paperSize="9" orientation="portrait" r:id="rId1"/>
  <headerFooter alignWithMargins="0"/>
  <rowBreaks count="3" manualBreakCount="3">
    <brk id="19" max="16383" man="1"/>
    <brk id="55" max="16383" man="1"/>
    <brk id="10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172E-2638-4463-953C-4018595A7B2B}">
  <sheetPr codeName="Sheet70">
    <tabColor rgb="FF0070C0"/>
  </sheetPr>
  <dimension ref="B1:S378"/>
  <sheetViews>
    <sheetView topLeftCell="A88" zoomScaleNormal="100" zoomScaleSheetLayoutView="85" workbookViewId="0">
      <selection activeCell="C91" sqref="C91"/>
    </sheetView>
  </sheetViews>
  <sheetFormatPr defaultColWidth="10.42578125" defaultRowHeight="12.75" x14ac:dyDescent="0.2"/>
  <cols>
    <col min="1" max="1" width="5.5703125" style="741" customWidth="1"/>
    <col min="2" max="2" width="9" style="739" customWidth="1"/>
    <col min="3" max="3" width="30.5703125" style="740" customWidth="1"/>
    <col min="4" max="4" width="9.85546875" style="741" customWidth="1"/>
    <col min="5" max="5" width="12.85546875" style="747" customWidth="1"/>
    <col min="6" max="6" width="13.28515625" style="748" customWidth="1"/>
    <col min="7" max="7" width="16.5703125" style="74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9"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9"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9"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9"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9"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9"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9"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9"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9"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9"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9"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9"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9"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9"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9"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9"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9"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9"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9"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9"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9"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9"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9"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9"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9"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9"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9"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9"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9"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9"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9"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9"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9"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9"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9"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9"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9"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9"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9"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9"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9"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9"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9"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9"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9"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9"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9"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9"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9"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9"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9"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9"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9"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9"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9"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9"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9"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9"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9"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9"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9"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9"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9"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53" t="s">
        <v>1671</v>
      </c>
      <c r="D6" s="3230"/>
      <c r="E6" s="3230"/>
      <c r="F6" s="3230"/>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G51</f>
        <v>0</v>
      </c>
    </row>
    <row r="16" spans="2:8" ht="25.5" x14ac:dyDescent="0.2">
      <c r="B16" s="792" t="s">
        <v>12</v>
      </c>
      <c r="C16" s="793" t="s">
        <v>86</v>
      </c>
      <c r="D16" s="794"/>
      <c r="E16" s="795"/>
      <c r="F16" s="796"/>
      <c r="G16" s="797">
        <f>G107</f>
        <v>0</v>
      </c>
    </row>
    <row r="17" spans="2:18" x14ac:dyDescent="0.2">
      <c r="B17" s="792" t="s">
        <v>17</v>
      </c>
      <c r="C17" s="793" t="s">
        <v>87</v>
      </c>
      <c r="D17" s="794"/>
      <c r="E17" s="795"/>
      <c r="F17" s="796"/>
      <c r="G17" s="797">
        <f>G278</f>
        <v>0</v>
      </c>
    </row>
    <row r="18" spans="2:18" ht="19.5" customHeight="1" x14ac:dyDescent="0.2">
      <c r="B18" s="2830"/>
      <c r="C18" s="2831" t="s">
        <v>88</v>
      </c>
      <c r="D18" s="2832"/>
      <c r="E18" s="2833"/>
      <c r="F18" s="2834"/>
      <c r="G18" s="2844">
        <f>SUM(G15:G17)</f>
        <v>0</v>
      </c>
    </row>
    <row r="19" spans="2:18" x14ac:dyDescent="0.2">
      <c r="B19" s="798"/>
      <c r="C19" s="799"/>
      <c r="D19" s="798"/>
      <c r="E19" s="800"/>
      <c r="F19" s="743"/>
      <c r="G19" s="801"/>
    </row>
    <row r="20" spans="2:18" x14ac:dyDescent="0.2">
      <c r="G20" s="804"/>
    </row>
    <row r="21" spans="2:18" ht="24" x14ac:dyDescent="0.2">
      <c r="B21" s="2841" t="s">
        <v>83</v>
      </c>
      <c r="C21" s="2842" t="s">
        <v>89</v>
      </c>
      <c r="D21" s="2843" t="s">
        <v>90</v>
      </c>
      <c r="E21" s="2838" t="s">
        <v>91</v>
      </c>
      <c r="F21" s="2839" t="s">
        <v>92</v>
      </c>
      <c r="G21" s="2840" t="s">
        <v>93</v>
      </c>
    </row>
    <row r="22" spans="2:18" x14ac:dyDescent="0.2">
      <c r="B22" s="811"/>
      <c r="C22" s="812"/>
      <c r="D22" s="813"/>
      <c r="E22" s="814"/>
      <c r="F22" s="815"/>
      <c r="G22" s="816"/>
    </row>
    <row r="23" spans="2:18" ht="20.25" x14ac:dyDescent="0.2">
      <c r="B23" s="817" t="s">
        <v>10</v>
      </c>
      <c r="C23" s="818" t="s">
        <v>85</v>
      </c>
      <c r="D23" s="819"/>
      <c r="E23" s="820"/>
      <c r="F23" s="821"/>
      <c r="G23" s="822"/>
    </row>
    <row r="24" spans="2:18" ht="20.25" x14ac:dyDescent="0.2">
      <c r="B24" s="823"/>
      <c r="C24" s="824"/>
      <c r="D24" s="825"/>
      <c r="E24" s="826"/>
      <c r="F24" s="827"/>
      <c r="G24" s="828"/>
    </row>
    <row r="25" spans="2:18" s="130" customFormat="1" ht="38.25" x14ac:dyDescent="0.2">
      <c r="B25" s="829">
        <v>1.1000000000000001</v>
      </c>
      <c r="C25" s="830" t="s">
        <v>94</v>
      </c>
      <c r="D25" s="831" t="s">
        <v>95</v>
      </c>
      <c r="E25" s="832">
        <v>3147</v>
      </c>
      <c r="F25" s="833">
        <v>0</v>
      </c>
      <c r="G25" s="834">
        <f>E25*F25</f>
        <v>0</v>
      </c>
    </row>
    <row r="26" spans="2:18" s="130" customFormat="1" x14ac:dyDescent="0.2">
      <c r="B26" s="829"/>
      <c r="C26" s="830"/>
      <c r="D26" s="831"/>
      <c r="E26" s="832"/>
      <c r="F26" s="833"/>
      <c r="G26" s="834"/>
    </row>
    <row r="27" spans="2:18" ht="206.25" customHeight="1" x14ac:dyDescent="0.2">
      <c r="B27" s="845">
        <v>1.2</v>
      </c>
      <c r="C27" s="836" t="s">
        <v>99</v>
      </c>
      <c r="D27" s="837" t="s">
        <v>123</v>
      </c>
      <c r="E27" s="838">
        <v>1</v>
      </c>
      <c r="F27" s="833">
        <v>0</v>
      </c>
      <c r="G27" s="834">
        <f>E27*F27</f>
        <v>0</v>
      </c>
    </row>
    <row r="28" spans="2:18" ht="20.25" x14ac:dyDescent="0.2">
      <c r="B28" s="845"/>
      <c r="C28" s="841"/>
      <c r="D28" s="842"/>
      <c r="E28" s="843"/>
      <c r="F28" s="827"/>
      <c r="G28" s="828"/>
    </row>
    <row r="29" spans="2:18" ht="38.25" x14ac:dyDescent="0.2">
      <c r="B29" s="845">
        <v>1.3</v>
      </c>
      <c r="C29" s="841" t="s">
        <v>1135</v>
      </c>
      <c r="D29" s="846" t="s">
        <v>95</v>
      </c>
      <c r="E29" s="847">
        <v>3147</v>
      </c>
      <c r="F29" s="833">
        <v>0</v>
      </c>
      <c r="G29" s="834">
        <f t="shared" ref="G29" si="0">E29*F29</f>
        <v>0</v>
      </c>
    </row>
    <row r="30" spans="2:18" x14ac:dyDescent="0.2">
      <c r="B30" s="855"/>
      <c r="C30" s="848"/>
      <c r="D30" s="846"/>
      <c r="E30" s="843"/>
      <c r="F30" s="833"/>
      <c r="G30" s="834"/>
    </row>
    <row r="31" spans="2:18" ht="25.5" x14ac:dyDescent="0.2">
      <c r="B31" s="856" t="s">
        <v>641</v>
      </c>
      <c r="C31" s="841" t="s">
        <v>96</v>
      </c>
      <c r="D31" s="846" t="s">
        <v>123</v>
      </c>
      <c r="E31" s="843">
        <v>150</v>
      </c>
      <c r="F31" s="833">
        <v>0</v>
      </c>
      <c r="G31" s="834">
        <f t="shared" ref="G31" si="1">E31*F31</f>
        <v>0</v>
      </c>
      <c r="M31" s="849"/>
      <c r="N31" s="850"/>
      <c r="O31" s="851"/>
      <c r="P31" s="852"/>
      <c r="Q31" s="853"/>
      <c r="R31" s="854"/>
    </row>
    <row r="32" spans="2:18" ht="20.25" x14ac:dyDescent="0.2">
      <c r="B32" s="855"/>
      <c r="C32" s="841"/>
      <c r="D32" s="842"/>
      <c r="E32" s="843"/>
      <c r="F32" s="827"/>
      <c r="G32" s="828"/>
    </row>
    <row r="33" spans="2:18" ht="80.25" customHeight="1" x14ac:dyDescent="0.2">
      <c r="B33" s="856" t="s">
        <v>653</v>
      </c>
      <c r="C33" s="841" t="s">
        <v>97</v>
      </c>
      <c r="D33" s="846" t="s">
        <v>123</v>
      </c>
      <c r="E33" s="843">
        <v>1</v>
      </c>
      <c r="F33" s="833">
        <v>0</v>
      </c>
      <c r="G33" s="834">
        <f t="shared" ref="G33" si="2">E33*F33</f>
        <v>0</v>
      </c>
    </row>
    <row r="34" spans="2:18" x14ac:dyDescent="0.2">
      <c r="B34" s="845"/>
      <c r="C34" s="848"/>
      <c r="D34" s="857"/>
      <c r="E34" s="843"/>
      <c r="F34" s="833"/>
      <c r="G34" s="834"/>
      <c r="M34" s="858"/>
      <c r="N34" s="859"/>
      <c r="O34" s="860"/>
      <c r="P34" s="742"/>
      <c r="Q34" s="853"/>
      <c r="R34" s="854"/>
    </row>
    <row r="35" spans="2:18" ht="25.5" x14ac:dyDescent="0.2">
      <c r="B35" s="856" t="s">
        <v>664</v>
      </c>
      <c r="C35" s="841" t="s">
        <v>1136</v>
      </c>
      <c r="D35" s="842" t="s">
        <v>123</v>
      </c>
      <c r="E35" s="843">
        <v>1</v>
      </c>
      <c r="F35" s="833">
        <v>0</v>
      </c>
      <c r="G35" s="834">
        <f t="shared" ref="G35" si="3">E35*F35</f>
        <v>0</v>
      </c>
    </row>
    <row r="36" spans="2:18" ht="20.25" x14ac:dyDescent="0.2">
      <c r="B36" s="856"/>
      <c r="C36" s="841"/>
      <c r="D36" s="842"/>
      <c r="E36" s="843"/>
      <c r="F36" s="827"/>
      <c r="G36" s="828"/>
    </row>
    <row r="37" spans="2:18" ht="51" x14ac:dyDescent="0.2">
      <c r="B37" s="861" t="s">
        <v>678</v>
      </c>
      <c r="C37" s="862" t="s">
        <v>1137</v>
      </c>
      <c r="D37" s="863" t="s">
        <v>123</v>
      </c>
      <c r="E37" s="838">
        <v>1</v>
      </c>
      <c r="F37" s="833">
        <v>0</v>
      </c>
      <c r="G37" s="834">
        <f t="shared" ref="G37" si="4">E37*F37</f>
        <v>0</v>
      </c>
    </row>
    <row r="38" spans="2:18" x14ac:dyDescent="0.2">
      <c r="B38" s="840"/>
      <c r="C38" s="841"/>
      <c r="D38" s="842"/>
      <c r="E38" s="843"/>
      <c r="F38" s="833"/>
      <c r="G38" s="834"/>
    </row>
    <row r="39" spans="2:18" ht="40.5" customHeight="1" x14ac:dyDescent="0.2">
      <c r="B39" s="856" t="s">
        <v>688</v>
      </c>
      <c r="C39" s="841" t="s">
        <v>100</v>
      </c>
      <c r="D39" s="842" t="s">
        <v>123</v>
      </c>
      <c r="E39" s="843">
        <v>1</v>
      </c>
      <c r="F39" s="833">
        <v>0</v>
      </c>
      <c r="G39" s="834">
        <f t="shared" ref="G39" si="5">E39*F39</f>
        <v>0</v>
      </c>
    </row>
    <row r="40" spans="2:18" ht="12" customHeight="1" x14ac:dyDescent="0.2">
      <c r="B40" s="856"/>
      <c r="C40" s="841"/>
      <c r="D40" s="842"/>
      <c r="E40" s="843"/>
      <c r="F40" s="827"/>
      <c r="G40" s="828"/>
    </row>
    <row r="41" spans="2:18" ht="51.75" customHeight="1" x14ac:dyDescent="0.2">
      <c r="B41" s="861" t="s">
        <v>1199</v>
      </c>
      <c r="C41" s="3165" t="s">
        <v>2590</v>
      </c>
      <c r="D41" s="865" t="s">
        <v>95</v>
      </c>
      <c r="E41" s="832">
        <v>3285</v>
      </c>
      <c r="F41" s="833">
        <v>0</v>
      </c>
      <c r="G41" s="834">
        <f t="shared" ref="G41" si="6">E41*F41</f>
        <v>0</v>
      </c>
    </row>
    <row r="42" spans="2:18" ht="11.25" customHeight="1" x14ac:dyDescent="0.2">
      <c r="B42" s="861"/>
      <c r="C42" s="864"/>
      <c r="D42" s="865"/>
      <c r="E42" s="832"/>
      <c r="F42" s="833"/>
      <c r="G42" s="834"/>
    </row>
    <row r="43" spans="2:18" ht="40.5" customHeight="1" x14ac:dyDescent="0.2">
      <c r="B43" s="861" t="s">
        <v>1200</v>
      </c>
      <c r="C43" s="3165" t="s">
        <v>2591</v>
      </c>
      <c r="D43" s="865" t="s">
        <v>98</v>
      </c>
      <c r="E43" s="832">
        <v>1</v>
      </c>
      <c r="F43" s="833">
        <v>0</v>
      </c>
      <c r="G43" s="834">
        <f t="shared" ref="G43" si="7">E43*F43</f>
        <v>0</v>
      </c>
    </row>
    <row r="44" spans="2:18" ht="16.5" customHeight="1" x14ac:dyDescent="0.2">
      <c r="B44" s="861"/>
      <c r="C44" s="864"/>
      <c r="D44" s="865"/>
      <c r="E44" s="832"/>
      <c r="F44" s="833"/>
      <c r="G44" s="834"/>
    </row>
    <row r="45" spans="2:18" ht="30.75" customHeight="1" x14ac:dyDescent="0.2">
      <c r="B45" s="861" t="s">
        <v>1201</v>
      </c>
      <c r="C45" s="864" t="s">
        <v>105</v>
      </c>
      <c r="D45" s="865" t="s">
        <v>98</v>
      </c>
      <c r="E45" s="832">
        <v>1</v>
      </c>
      <c r="F45" s="833">
        <v>0</v>
      </c>
      <c r="G45" s="834">
        <f t="shared" ref="G45" si="8">E45*F45</f>
        <v>0</v>
      </c>
    </row>
    <row r="46" spans="2:18" ht="13.5" customHeight="1" x14ac:dyDescent="0.2">
      <c r="B46" s="861"/>
      <c r="C46" s="864"/>
      <c r="D46" s="865"/>
      <c r="E46" s="832"/>
      <c r="F46" s="827"/>
      <c r="G46" s="828"/>
    </row>
    <row r="47" spans="2:18" ht="72.75" customHeight="1" x14ac:dyDescent="0.2">
      <c r="B47" s="861" t="s">
        <v>1202</v>
      </c>
      <c r="C47" s="864" t="s">
        <v>102</v>
      </c>
      <c r="D47" s="210" t="s">
        <v>98</v>
      </c>
      <c r="E47" s="814">
        <v>1</v>
      </c>
      <c r="F47" s="833">
        <v>0</v>
      </c>
      <c r="G47" s="834">
        <f t="shared" ref="G47" si="9">E47*F47</f>
        <v>0</v>
      </c>
    </row>
    <row r="48" spans="2:18" ht="14.25" customHeight="1" x14ac:dyDescent="0.2">
      <c r="B48" s="861"/>
      <c r="C48" s="864"/>
      <c r="D48" s="210"/>
      <c r="E48" s="814"/>
      <c r="F48" s="833"/>
      <c r="G48" s="834"/>
    </row>
    <row r="49" spans="2:16" ht="72" x14ac:dyDescent="0.2">
      <c r="B49" s="861" t="s">
        <v>1203</v>
      </c>
      <c r="C49" s="3165" t="s">
        <v>2593</v>
      </c>
      <c r="D49" s="210" t="s">
        <v>149</v>
      </c>
      <c r="E49" s="814">
        <v>20</v>
      </c>
      <c r="F49" s="833">
        <v>0</v>
      </c>
      <c r="G49" s="834">
        <f t="shared" ref="G49" si="10">E49*F49</f>
        <v>0</v>
      </c>
    </row>
    <row r="50" spans="2:16" x14ac:dyDescent="0.2">
      <c r="B50" s="855"/>
      <c r="C50" s="841"/>
      <c r="D50" s="842"/>
      <c r="E50" s="870"/>
      <c r="F50" s="833"/>
      <c r="G50" s="834"/>
    </row>
    <row r="51" spans="2:16" x14ac:dyDescent="0.2">
      <c r="B51" s="872" t="s">
        <v>10</v>
      </c>
      <c r="C51" s="873" t="s">
        <v>108</v>
      </c>
      <c r="D51" s="873"/>
      <c r="E51" s="874"/>
      <c r="F51" s="875"/>
      <c r="G51" s="876">
        <f>SUM(G25:G50)</f>
        <v>0</v>
      </c>
    </row>
    <row r="54" spans="2:16" ht="24" x14ac:dyDescent="0.2">
      <c r="B54" s="805" t="s">
        <v>83</v>
      </c>
      <c r="C54" s="806" t="s">
        <v>89</v>
      </c>
      <c r="D54" s="807" t="s">
        <v>90</v>
      </c>
      <c r="E54" s="808" t="s">
        <v>91</v>
      </c>
      <c r="F54" s="809" t="s">
        <v>92</v>
      </c>
      <c r="G54" s="810" t="s">
        <v>93</v>
      </c>
    </row>
    <row r="55" spans="2:16" x14ac:dyDescent="0.2">
      <c r="B55" s="811"/>
      <c r="C55" s="877"/>
      <c r="D55" s="878"/>
      <c r="E55" s="814"/>
      <c r="F55" s="815"/>
      <c r="G55" s="816"/>
    </row>
    <row r="56" spans="2:16" ht="20.25" x14ac:dyDescent="0.3">
      <c r="B56" s="817" t="s">
        <v>12</v>
      </c>
      <c r="C56" s="879" t="s">
        <v>109</v>
      </c>
      <c r="D56" s="880"/>
      <c r="E56" s="820"/>
      <c r="F56" s="821"/>
      <c r="G56" s="822"/>
    </row>
    <row r="57" spans="2:16" ht="78" customHeight="1" x14ac:dyDescent="0.2">
      <c r="B57" s="3233" t="s">
        <v>110</v>
      </c>
      <c r="C57" s="3234"/>
      <c r="D57" s="3234"/>
      <c r="E57" s="3234"/>
      <c r="F57" s="3234"/>
      <c r="G57" s="3235"/>
    </row>
    <row r="58" spans="2:16" ht="12.75" customHeight="1" x14ac:dyDescent="0.2">
      <c r="B58" s="802"/>
      <c r="C58" s="799"/>
    </row>
    <row r="59" spans="2:16" ht="38.25" x14ac:dyDescent="0.2">
      <c r="B59" s="840" t="s">
        <v>1205</v>
      </c>
      <c r="C59" s="841" t="s">
        <v>1206</v>
      </c>
      <c r="D59" s="842" t="s">
        <v>1207</v>
      </c>
      <c r="E59" s="843">
        <v>50</v>
      </c>
      <c r="F59" s="833">
        <v>0</v>
      </c>
      <c r="G59" s="834">
        <f t="shared" ref="G59" si="11">E59*F59</f>
        <v>0</v>
      </c>
      <c r="J59" s="881"/>
      <c r="L59" s="744"/>
      <c r="N59" s="881"/>
      <c r="O59" s="881"/>
      <c r="P59" s="881"/>
    </row>
    <row r="60" spans="2:16" ht="13.5" customHeight="1" x14ac:dyDescent="0.2">
      <c r="B60" s="840"/>
      <c r="C60" s="841"/>
      <c r="D60" s="842"/>
      <c r="E60" s="843"/>
      <c r="F60" s="844"/>
      <c r="G60" s="839"/>
      <c r="J60" s="881"/>
    </row>
    <row r="61" spans="2:16" ht="64.5" customHeight="1" x14ac:dyDescent="0.2">
      <c r="B61" s="840">
        <v>2.2000000000000002</v>
      </c>
      <c r="C61" s="841" t="s">
        <v>1208</v>
      </c>
      <c r="D61" s="846" t="s">
        <v>1207</v>
      </c>
      <c r="E61" s="843">
        <v>332.81</v>
      </c>
      <c r="F61" s="833">
        <v>0</v>
      </c>
      <c r="G61" s="834">
        <f t="shared" ref="G61" si="12">E61*F61</f>
        <v>0</v>
      </c>
    </row>
    <row r="62" spans="2:16" ht="12.75" customHeight="1" x14ac:dyDescent="0.2">
      <c r="B62" s="845"/>
      <c r="C62" s="882"/>
      <c r="D62" s="846"/>
      <c r="E62" s="843"/>
      <c r="F62" s="844"/>
      <c r="G62" s="839"/>
    </row>
    <row r="63" spans="2:16" ht="63.75" x14ac:dyDescent="0.2">
      <c r="B63" s="840">
        <v>2.2999999999999998</v>
      </c>
      <c r="C63" s="841" t="s">
        <v>1209</v>
      </c>
      <c r="D63" s="842" t="s">
        <v>112</v>
      </c>
      <c r="E63" s="843">
        <v>3035.27</v>
      </c>
      <c r="F63" s="833">
        <v>0</v>
      </c>
      <c r="G63" s="834">
        <f t="shared" ref="G63" si="13">E63*F63</f>
        <v>0</v>
      </c>
      <c r="I63" s="744"/>
    </row>
    <row r="64" spans="2:16" x14ac:dyDescent="0.2">
      <c r="B64" s="840"/>
      <c r="C64" s="841"/>
      <c r="D64" s="842"/>
      <c r="E64" s="843"/>
      <c r="F64" s="844"/>
      <c r="G64" s="839"/>
      <c r="I64" s="744"/>
    </row>
    <row r="65" spans="2:16" ht="38.25" x14ac:dyDescent="0.2">
      <c r="B65" s="883" t="s">
        <v>1210</v>
      </c>
      <c r="C65" s="884" t="s">
        <v>1211</v>
      </c>
      <c r="D65" s="885" t="s">
        <v>117</v>
      </c>
      <c r="E65" s="886">
        <v>2643.48</v>
      </c>
      <c r="F65" s="833">
        <v>0</v>
      </c>
      <c r="G65" s="834">
        <f t="shared" ref="G65" si="14">E65*F65</f>
        <v>0</v>
      </c>
    </row>
    <row r="66" spans="2:16" x14ac:dyDescent="0.2">
      <c r="B66" s="840"/>
      <c r="C66" s="841"/>
      <c r="D66" s="842"/>
      <c r="E66" s="843"/>
      <c r="F66" s="844"/>
      <c r="G66" s="839"/>
    </row>
    <row r="67" spans="2:16" ht="38.25" x14ac:dyDescent="0.2">
      <c r="B67" s="840">
        <v>2.5</v>
      </c>
      <c r="C67" s="841" t="s">
        <v>1212</v>
      </c>
      <c r="D67" s="842" t="s">
        <v>1213</v>
      </c>
      <c r="E67" s="843">
        <v>2517.6</v>
      </c>
      <c r="F67" s="833">
        <v>0</v>
      </c>
      <c r="G67" s="834">
        <f t="shared" ref="G67" si="15">E67*F67</f>
        <v>0</v>
      </c>
    </row>
    <row r="68" spans="2:16" x14ac:dyDescent="0.2">
      <c r="B68" s="840"/>
      <c r="C68" s="841"/>
      <c r="D68" s="842"/>
      <c r="E68" s="843"/>
      <c r="F68" s="844"/>
      <c r="G68" s="839"/>
    </row>
    <row r="69" spans="2:16" ht="45" customHeight="1" x14ac:dyDescent="0.2">
      <c r="B69" s="840">
        <v>2.6</v>
      </c>
      <c r="C69" s="841" t="s">
        <v>1216</v>
      </c>
      <c r="D69" s="842" t="s">
        <v>1207</v>
      </c>
      <c r="E69" s="843">
        <v>1605.76</v>
      </c>
      <c r="F69" s="833">
        <v>0</v>
      </c>
      <c r="G69" s="834">
        <f t="shared" ref="G69" si="16">E69*F69</f>
        <v>0</v>
      </c>
      <c r="I69" s="744"/>
    </row>
    <row r="70" spans="2:16" ht="13.5" customHeight="1" x14ac:dyDescent="0.2">
      <c r="B70" s="840"/>
      <c r="C70" s="841"/>
      <c r="D70" s="842"/>
      <c r="E70" s="843"/>
      <c r="F70" s="844"/>
      <c r="G70" s="839"/>
      <c r="I70" s="744"/>
    </row>
    <row r="71" spans="2:16" ht="41.25" customHeight="1" x14ac:dyDescent="0.2">
      <c r="B71" s="840">
        <v>2.7</v>
      </c>
      <c r="C71" s="841" t="s">
        <v>1217</v>
      </c>
      <c r="D71" s="842" t="s">
        <v>1207</v>
      </c>
      <c r="E71" s="843">
        <v>755.28</v>
      </c>
      <c r="F71" s="833">
        <v>0</v>
      </c>
      <c r="G71" s="834">
        <f t="shared" ref="G71" si="17">E71*F71</f>
        <v>0</v>
      </c>
      <c r="P71" s="744"/>
    </row>
    <row r="72" spans="2:16" ht="13.5" customHeight="1" x14ac:dyDescent="0.2">
      <c r="B72" s="840"/>
      <c r="C72" s="841"/>
      <c r="D72" s="842"/>
      <c r="E72" s="843"/>
      <c r="F72" s="844"/>
      <c r="G72" s="839"/>
      <c r="P72" s="744"/>
    </row>
    <row r="73" spans="2:16" ht="68.25" customHeight="1" x14ac:dyDescent="0.2">
      <c r="B73" s="835">
        <v>2.8</v>
      </c>
      <c r="C73" s="890" t="s">
        <v>1278</v>
      </c>
      <c r="D73" s="891" t="s">
        <v>1219</v>
      </c>
      <c r="E73" s="843">
        <v>1007.04</v>
      </c>
      <c r="F73" s="833">
        <v>0</v>
      </c>
      <c r="G73" s="834">
        <f t="shared" ref="G73" si="18">E73*F73</f>
        <v>0</v>
      </c>
      <c r="P73" s="744"/>
    </row>
    <row r="74" spans="2:16" ht="15" customHeight="1" x14ac:dyDescent="0.2">
      <c r="B74" s="840"/>
      <c r="C74" s="841"/>
      <c r="D74" s="842"/>
      <c r="E74" s="843"/>
      <c r="F74" s="844"/>
      <c r="G74" s="839"/>
    </row>
    <row r="75" spans="2:16" ht="25.5" x14ac:dyDescent="0.2">
      <c r="B75" s="840">
        <v>2.9</v>
      </c>
      <c r="C75" s="841" t="s">
        <v>1221</v>
      </c>
      <c r="D75" s="842" t="s">
        <v>112</v>
      </c>
      <c r="E75" s="843">
        <v>1812.32</v>
      </c>
      <c r="F75" s="833">
        <v>0</v>
      </c>
      <c r="G75" s="834">
        <f t="shared" ref="G75" si="19">E75*F75</f>
        <v>0</v>
      </c>
      <c r="I75" s="888"/>
    </row>
    <row r="76" spans="2:16" x14ac:dyDescent="0.2">
      <c r="B76" s="840"/>
      <c r="C76" s="841"/>
      <c r="D76" s="842"/>
      <c r="E76" s="843"/>
      <c r="F76" s="844"/>
      <c r="G76" s="839"/>
    </row>
    <row r="77" spans="2:16" ht="25.5" x14ac:dyDescent="0.2">
      <c r="B77" s="892" t="s">
        <v>1220</v>
      </c>
      <c r="C77" s="841" t="s">
        <v>1223</v>
      </c>
      <c r="D77" s="842" t="s">
        <v>112</v>
      </c>
      <c r="E77" s="843">
        <v>1812.32</v>
      </c>
      <c r="F77" s="833">
        <v>0</v>
      </c>
      <c r="G77" s="834">
        <f t="shared" ref="G77" si="20">E77*F77</f>
        <v>0</v>
      </c>
    </row>
    <row r="78" spans="2:16" x14ac:dyDescent="0.2">
      <c r="B78" s="840"/>
      <c r="C78" s="841"/>
      <c r="D78" s="842"/>
      <c r="E78" s="843"/>
      <c r="F78" s="844"/>
      <c r="G78" s="839"/>
    </row>
    <row r="79" spans="2:16" ht="29.25" customHeight="1" x14ac:dyDescent="0.2">
      <c r="B79" s="892" t="s">
        <v>1222</v>
      </c>
      <c r="C79" s="841" t="s">
        <v>1225</v>
      </c>
      <c r="D79" s="842" t="s">
        <v>1226</v>
      </c>
      <c r="E79" s="843">
        <v>134</v>
      </c>
      <c r="F79" s="833">
        <v>0</v>
      </c>
      <c r="G79" s="834">
        <f t="shared" ref="G79" si="21">E79*F79</f>
        <v>0</v>
      </c>
    </row>
    <row r="80" spans="2:16" x14ac:dyDescent="0.2">
      <c r="B80" s="892"/>
      <c r="C80" s="841"/>
      <c r="D80" s="842"/>
      <c r="E80" s="843"/>
      <c r="F80" s="844"/>
      <c r="G80" s="839"/>
    </row>
    <row r="81" spans="2:19" ht="28.5" customHeight="1" x14ac:dyDescent="0.2">
      <c r="B81" s="892" t="s">
        <v>1224</v>
      </c>
      <c r="C81" s="841" t="s">
        <v>1228</v>
      </c>
      <c r="D81" s="846" t="s">
        <v>1213</v>
      </c>
      <c r="E81" s="843">
        <v>134</v>
      </c>
      <c r="F81" s="833">
        <v>0</v>
      </c>
      <c r="G81" s="834">
        <f t="shared" ref="G81" si="22">E81*F81</f>
        <v>0</v>
      </c>
      <c r="L81" s="893"/>
      <c r="M81" s="894"/>
      <c r="N81" s="895"/>
      <c r="O81" s="896"/>
      <c r="P81" s="897"/>
      <c r="Q81" s="897"/>
      <c r="R81" s="897"/>
    </row>
    <row r="82" spans="2:19" x14ac:dyDescent="0.2">
      <c r="B82" s="840"/>
      <c r="C82" s="840"/>
      <c r="D82" s="857"/>
      <c r="E82" s="843"/>
      <c r="F82" s="844"/>
      <c r="G82" s="839"/>
      <c r="L82" s="893"/>
      <c r="M82" s="894"/>
      <c r="N82" s="895"/>
      <c r="O82" s="896"/>
      <c r="P82" s="897"/>
      <c r="Q82" s="897"/>
      <c r="R82" s="897"/>
    </row>
    <row r="83" spans="2:19" ht="90.75" customHeight="1" x14ac:dyDescent="0.2">
      <c r="B83" s="892" t="s">
        <v>1227</v>
      </c>
      <c r="C83" s="898" t="s">
        <v>1230</v>
      </c>
      <c r="D83" s="842" t="s">
        <v>1213</v>
      </c>
      <c r="E83" s="843">
        <v>134</v>
      </c>
      <c r="F83" s="833">
        <v>0</v>
      </c>
      <c r="G83" s="834">
        <f t="shared" ref="G83" si="23">E83*F83</f>
        <v>0</v>
      </c>
      <c r="L83" s="899"/>
      <c r="M83" s="900"/>
      <c r="N83" s="901"/>
      <c r="O83" s="902"/>
      <c r="P83" s="903"/>
      <c r="Q83" s="903"/>
      <c r="R83" s="903"/>
    </row>
    <row r="84" spans="2:19" ht="12" customHeight="1" x14ac:dyDescent="0.2">
      <c r="B84" s="845"/>
      <c r="C84" s="882"/>
      <c r="D84" s="846"/>
      <c r="E84" s="843"/>
      <c r="F84" s="844"/>
      <c r="G84" s="839"/>
      <c r="L84" s="899"/>
      <c r="M84" s="900"/>
      <c r="N84" s="901"/>
      <c r="O84" s="902"/>
      <c r="P84" s="903"/>
      <c r="Q84" s="903"/>
      <c r="R84" s="903"/>
    </row>
    <row r="85" spans="2:19" ht="64.5" customHeight="1" x14ac:dyDescent="0.2">
      <c r="B85" s="892" t="s">
        <v>1229</v>
      </c>
      <c r="C85" s="898" t="s">
        <v>1232</v>
      </c>
      <c r="D85" s="842" t="s">
        <v>1213</v>
      </c>
      <c r="E85" s="843">
        <v>134</v>
      </c>
      <c r="F85" s="833">
        <v>0</v>
      </c>
      <c r="G85" s="834">
        <f t="shared" ref="G85" si="24">E85*F85</f>
        <v>0</v>
      </c>
      <c r="L85" s="899"/>
      <c r="M85" s="900"/>
      <c r="N85" s="901"/>
      <c r="O85" s="902"/>
      <c r="P85" s="903"/>
      <c r="Q85" s="903"/>
      <c r="R85" s="903"/>
    </row>
    <row r="86" spans="2:19" x14ac:dyDescent="0.2">
      <c r="B86" s="892"/>
      <c r="C86" s="898"/>
      <c r="D86" s="842"/>
      <c r="E86" s="843"/>
      <c r="F86" s="844"/>
      <c r="G86" s="839"/>
    </row>
    <row r="87" spans="2:19" ht="25.5" x14ac:dyDescent="0.2">
      <c r="B87" s="892" t="s">
        <v>1231</v>
      </c>
      <c r="C87" s="841" t="s">
        <v>1234</v>
      </c>
      <c r="D87" s="842" t="s">
        <v>137</v>
      </c>
      <c r="E87" s="843">
        <v>26.8</v>
      </c>
      <c r="F87" s="833">
        <v>0</v>
      </c>
      <c r="G87" s="834">
        <f t="shared" ref="G87" si="25">E87*F87</f>
        <v>0</v>
      </c>
    </row>
    <row r="88" spans="2:19" x14ac:dyDescent="0.2">
      <c r="B88" s="840"/>
      <c r="C88" s="841"/>
      <c r="D88" s="842"/>
      <c r="E88" s="843"/>
      <c r="F88" s="844"/>
      <c r="G88" s="839"/>
    </row>
    <row r="89" spans="2:19" ht="38.25" x14ac:dyDescent="0.2">
      <c r="B89" s="892" t="s">
        <v>1233</v>
      </c>
      <c r="C89" s="841" t="s">
        <v>1236</v>
      </c>
      <c r="D89" s="846" t="s">
        <v>117</v>
      </c>
      <c r="E89" s="843">
        <v>562.5</v>
      </c>
      <c r="F89" s="833">
        <v>0</v>
      </c>
      <c r="G89" s="834">
        <f t="shared" ref="G89" si="26">E89*F89</f>
        <v>0</v>
      </c>
    </row>
    <row r="90" spans="2:19" ht="15" customHeight="1" x14ac:dyDescent="0.2">
      <c r="B90" s="892"/>
      <c r="C90" s="904"/>
      <c r="D90" s="846"/>
      <c r="E90" s="843"/>
      <c r="F90" s="844"/>
      <c r="G90" s="839"/>
      <c r="N90" s="906"/>
      <c r="O90" s="907"/>
      <c r="P90" s="908"/>
      <c r="Q90" s="909"/>
      <c r="R90" s="748"/>
      <c r="S90" s="910"/>
    </row>
    <row r="91" spans="2:19" ht="84" customHeight="1" x14ac:dyDescent="0.2">
      <c r="B91" s="892" t="s">
        <v>1235</v>
      </c>
      <c r="C91" s="911" t="s">
        <v>139</v>
      </c>
      <c r="D91" s="912"/>
      <c r="E91" s="913"/>
      <c r="F91" s="833"/>
      <c r="G91" s="834"/>
      <c r="N91" s="906"/>
      <c r="O91" s="907"/>
      <c r="P91" s="908"/>
      <c r="Q91" s="909"/>
      <c r="R91" s="748"/>
      <c r="S91" s="910"/>
    </row>
    <row r="92" spans="2:19" ht="25.5" customHeight="1" x14ac:dyDescent="0.2">
      <c r="B92" s="845"/>
      <c r="C92" s="916" t="s">
        <v>1672</v>
      </c>
      <c r="D92" s="912" t="s">
        <v>95</v>
      </c>
      <c r="E92" s="843">
        <v>11</v>
      </c>
      <c r="F92" s="833">
        <v>0</v>
      </c>
      <c r="G92" s="834">
        <f t="shared" ref="G92" si="27">E92*F92</f>
        <v>0</v>
      </c>
      <c r="N92" s="906"/>
      <c r="O92" s="907"/>
      <c r="P92" s="908"/>
      <c r="Q92" s="909"/>
      <c r="R92" s="748"/>
      <c r="S92" s="910"/>
    </row>
    <row r="93" spans="2:19" ht="27" customHeight="1" x14ac:dyDescent="0.2">
      <c r="B93" s="845"/>
      <c r="C93" s="916" t="s">
        <v>1238</v>
      </c>
      <c r="D93" s="912" t="s">
        <v>95</v>
      </c>
      <c r="E93" s="843">
        <v>20</v>
      </c>
      <c r="F93" s="833">
        <v>0</v>
      </c>
      <c r="G93" s="834">
        <f t="shared" ref="G93" si="28">E93*F93</f>
        <v>0</v>
      </c>
      <c r="N93" s="906"/>
      <c r="O93" s="907"/>
      <c r="P93" s="908"/>
      <c r="Q93" s="909"/>
      <c r="R93" s="748"/>
      <c r="S93" s="910"/>
    </row>
    <row r="94" spans="2:19" x14ac:dyDescent="0.2">
      <c r="B94" s="861"/>
      <c r="C94" s="916"/>
      <c r="D94" s="912"/>
      <c r="E94" s="913"/>
      <c r="F94" s="844"/>
      <c r="G94" s="839"/>
    </row>
    <row r="95" spans="2:19" ht="67.5" customHeight="1" x14ac:dyDescent="0.2">
      <c r="B95" s="861" t="s">
        <v>1237</v>
      </c>
      <c r="C95" s="911" t="s">
        <v>309</v>
      </c>
      <c r="D95" s="912"/>
      <c r="E95" s="913"/>
      <c r="F95" s="833"/>
      <c r="G95" s="834"/>
    </row>
    <row r="96" spans="2:19" ht="25.5" x14ac:dyDescent="0.2">
      <c r="B96" s="921"/>
      <c r="C96" s="916" t="s">
        <v>1281</v>
      </c>
      <c r="D96" s="912" t="s">
        <v>95</v>
      </c>
      <c r="E96" s="843">
        <v>32</v>
      </c>
      <c r="F96" s="833">
        <v>0</v>
      </c>
      <c r="G96" s="834">
        <f t="shared" ref="G96" si="29">E96*F96</f>
        <v>0</v>
      </c>
    </row>
    <row r="97" spans="2:9" x14ac:dyDescent="0.2">
      <c r="B97" s="921"/>
      <c r="C97" s="916" t="s">
        <v>1673</v>
      </c>
      <c r="D97" s="912" t="s">
        <v>95</v>
      </c>
      <c r="E97" s="843">
        <v>14</v>
      </c>
      <c r="F97" s="833">
        <v>0</v>
      </c>
      <c r="G97" s="834">
        <f t="shared" ref="G97" si="30">E97*F97</f>
        <v>0</v>
      </c>
    </row>
    <row r="98" spans="2:9" x14ac:dyDescent="0.2">
      <c r="B98" s="892"/>
      <c r="C98" s="916"/>
      <c r="D98" s="912"/>
      <c r="E98" s="913"/>
      <c r="F98" s="844"/>
      <c r="G98" s="839"/>
    </row>
    <row r="99" spans="2:9" ht="41.25" customHeight="1" x14ac:dyDescent="0.2">
      <c r="B99" s="892" t="s">
        <v>1239</v>
      </c>
      <c r="C99" s="917" t="s">
        <v>1240</v>
      </c>
      <c r="D99" s="918" t="s">
        <v>112</v>
      </c>
      <c r="E99" s="919">
        <v>40</v>
      </c>
      <c r="F99" s="833">
        <v>0</v>
      </c>
      <c r="G99" s="834">
        <f t="shared" ref="G99" si="31">E99*F99</f>
        <v>0</v>
      </c>
    </row>
    <row r="100" spans="2:9" x14ac:dyDescent="0.2">
      <c r="B100" s="892"/>
      <c r="C100" s="917"/>
      <c r="D100" s="918"/>
      <c r="E100" s="919"/>
      <c r="F100" s="844"/>
      <c r="G100" s="839"/>
    </row>
    <row r="101" spans="2:9" ht="36.75" customHeight="1" x14ac:dyDescent="0.2">
      <c r="B101" s="892" t="s">
        <v>1241</v>
      </c>
      <c r="C101" s="922" t="s">
        <v>1242</v>
      </c>
      <c r="D101" s="918" t="s">
        <v>149</v>
      </c>
      <c r="E101" s="919">
        <v>27</v>
      </c>
      <c r="F101" s="833">
        <v>0</v>
      </c>
      <c r="G101" s="834">
        <f t="shared" ref="G101" si="32">E101*F101</f>
        <v>0</v>
      </c>
      <c r="H101" s="923"/>
      <c r="I101" s="130"/>
    </row>
    <row r="102" spans="2:9" ht="15" customHeight="1" x14ac:dyDescent="0.2">
      <c r="B102" s="921"/>
      <c r="C102" s="922"/>
      <c r="D102" s="918"/>
      <c r="E102" s="919"/>
      <c r="F102" s="844"/>
      <c r="G102" s="839"/>
      <c r="H102" s="923"/>
      <c r="I102" s="130"/>
    </row>
    <row r="103" spans="2:9" ht="36.75" customHeight="1" x14ac:dyDescent="0.2">
      <c r="B103" s="892" t="s">
        <v>1243</v>
      </c>
      <c r="C103" s="924" t="s">
        <v>153</v>
      </c>
      <c r="D103" s="925" t="s">
        <v>112</v>
      </c>
      <c r="E103" s="926">
        <v>19</v>
      </c>
      <c r="F103" s="833">
        <v>0</v>
      </c>
      <c r="G103" s="834">
        <f t="shared" ref="G103" si="33">E103*F103</f>
        <v>0</v>
      </c>
      <c r="H103" s="923"/>
      <c r="I103" s="130"/>
    </row>
    <row r="104" spans="2:9" ht="18" customHeight="1" x14ac:dyDescent="0.2">
      <c r="B104" s="892"/>
      <c r="C104" s="924"/>
      <c r="D104" s="925"/>
      <c r="E104" s="926"/>
      <c r="F104" s="844"/>
      <c r="G104" s="839"/>
      <c r="H104" s="923"/>
      <c r="I104" s="130"/>
    </row>
    <row r="105" spans="2:9" ht="87.75" customHeight="1" x14ac:dyDescent="0.2">
      <c r="B105" s="892" t="s">
        <v>1284</v>
      </c>
      <c r="C105" s="917" t="s">
        <v>1674</v>
      </c>
      <c r="D105" s="918" t="s">
        <v>123</v>
      </c>
      <c r="E105" s="1036">
        <v>1</v>
      </c>
      <c r="F105" s="833">
        <v>0</v>
      </c>
      <c r="G105" s="834">
        <f t="shared" ref="G105" si="34">E105*F105</f>
        <v>0</v>
      </c>
      <c r="H105" s="923"/>
      <c r="I105" s="130"/>
    </row>
    <row r="106" spans="2:9" ht="16.5" customHeight="1" x14ac:dyDescent="0.2">
      <c r="B106" s="892"/>
      <c r="C106" s="927"/>
      <c r="D106" s="928"/>
      <c r="E106" s="919"/>
      <c r="F106" s="844"/>
      <c r="G106" s="839"/>
    </row>
    <row r="107" spans="2:9" ht="13.5" customHeight="1" x14ac:dyDescent="0.2">
      <c r="B107" s="872" t="s">
        <v>12</v>
      </c>
      <c r="C107" s="873" t="s">
        <v>157</v>
      </c>
      <c r="D107" s="872"/>
      <c r="E107" s="874"/>
      <c r="F107" s="875"/>
      <c r="G107" s="876">
        <f>SUM(G59:G106)</f>
        <v>0</v>
      </c>
    </row>
    <row r="108" spans="2:9" ht="18.75" customHeight="1" x14ac:dyDescent="0.2"/>
    <row r="109" spans="2:9" ht="25.5" customHeight="1" x14ac:dyDescent="0.2">
      <c r="B109" s="805" t="s">
        <v>83</v>
      </c>
      <c r="C109" s="806" t="s">
        <v>89</v>
      </c>
      <c r="D109" s="806" t="s">
        <v>90</v>
      </c>
      <c r="E109" s="808" t="s">
        <v>91</v>
      </c>
      <c r="F109" s="809" t="s">
        <v>92</v>
      </c>
      <c r="G109" s="810" t="s">
        <v>93</v>
      </c>
    </row>
    <row r="110" spans="2:9" ht="18" customHeight="1" x14ac:dyDescent="0.2">
      <c r="B110" s="811"/>
      <c r="C110" s="812"/>
      <c r="D110" s="878"/>
      <c r="E110" s="814"/>
      <c r="F110" s="815"/>
      <c r="G110" s="816"/>
    </row>
    <row r="111" spans="2:9" ht="18" customHeight="1" x14ac:dyDescent="0.2">
      <c r="B111" s="930" t="s">
        <v>17</v>
      </c>
      <c r="C111" s="931" t="s">
        <v>158</v>
      </c>
      <c r="D111" s="880"/>
      <c r="E111" s="820"/>
      <c r="F111" s="821"/>
      <c r="G111" s="822"/>
    </row>
    <row r="112" spans="2:9" ht="18" customHeight="1" x14ac:dyDescent="0.2">
      <c r="B112" s="2865" t="s">
        <v>1</v>
      </c>
      <c r="C112" s="2866"/>
      <c r="D112" s="2867"/>
      <c r="E112" s="2867"/>
      <c r="F112" s="2867"/>
      <c r="G112" s="2868"/>
    </row>
    <row r="113" spans="2:9" ht="15.75" customHeight="1" x14ac:dyDescent="0.2">
      <c r="B113" s="2869" t="s">
        <v>2</v>
      </c>
      <c r="C113" s="2870"/>
      <c r="D113" s="2871"/>
      <c r="E113" s="2872"/>
      <c r="F113" s="2872"/>
      <c r="G113" s="2871"/>
    </row>
    <row r="114" spans="2:9" ht="18" customHeight="1" x14ac:dyDescent="0.2">
      <c r="B114" s="2865" t="s">
        <v>3</v>
      </c>
      <c r="C114" s="2866"/>
      <c r="D114" s="2867"/>
      <c r="E114" s="2867"/>
      <c r="F114" s="2867"/>
      <c r="G114" s="2868"/>
    </row>
    <row r="115" spans="2:9" ht="18" customHeight="1" x14ac:dyDescent="0.2">
      <c r="B115" s="2869" t="s">
        <v>4</v>
      </c>
      <c r="C115" s="2870"/>
      <c r="D115" s="2872"/>
      <c r="E115" s="2872"/>
      <c r="F115" s="2872"/>
      <c r="G115" s="2871"/>
    </row>
    <row r="116" spans="2:9" ht="15.75" customHeight="1" x14ac:dyDescent="0.2">
      <c r="B116" s="3233" t="s">
        <v>159</v>
      </c>
      <c r="C116" s="3234"/>
      <c r="D116" s="3234"/>
      <c r="E116" s="3234"/>
      <c r="F116" s="3234"/>
      <c r="G116" s="3235"/>
    </row>
    <row r="117" spans="2:9" x14ac:dyDescent="0.2">
      <c r="B117" s="3233" t="s">
        <v>160</v>
      </c>
      <c r="C117" s="3234"/>
      <c r="D117" s="3234"/>
      <c r="E117" s="3234"/>
      <c r="F117" s="3234"/>
      <c r="G117" s="3235"/>
    </row>
    <row r="118" spans="2:9" ht="12.75" customHeight="1" x14ac:dyDescent="0.2">
      <c r="B118" s="3233" t="s">
        <v>161</v>
      </c>
      <c r="C118" s="3234"/>
      <c r="D118" s="3234"/>
      <c r="E118" s="3234"/>
      <c r="F118" s="3234"/>
      <c r="G118" s="3235"/>
    </row>
    <row r="119" spans="2:9" ht="12.75" customHeight="1" x14ac:dyDescent="0.2">
      <c r="B119" s="845"/>
      <c r="C119" s="848"/>
      <c r="D119" s="857"/>
      <c r="E119" s="838"/>
      <c r="F119" s="844"/>
      <c r="G119" s="839"/>
    </row>
    <row r="120" spans="2:9" ht="45.75" customHeight="1" x14ac:dyDescent="0.2">
      <c r="B120" s="829">
        <v>1</v>
      </c>
      <c r="C120" s="932" t="s">
        <v>162</v>
      </c>
      <c r="D120" s="932"/>
      <c r="E120" s="933"/>
      <c r="F120" s="934"/>
      <c r="G120" s="935"/>
    </row>
    <row r="121" spans="2:9" ht="24.75" customHeight="1" x14ac:dyDescent="0.2">
      <c r="B121" s="829"/>
      <c r="C121" s="941" t="s">
        <v>1289</v>
      </c>
      <c r="D121" s="937" t="s">
        <v>95</v>
      </c>
      <c r="E121" s="832">
        <v>1335</v>
      </c>
      <c r="F121" s="934">
        <v>0</v>
      </c>
      <c r="G121" s="1283">
        <f>E121*F121</f>
        <v>0</v>
      </c>
      <c r="I121" s="940"/>
    </row>
    <row r="122" spans="2:9" ht="39" customHeight="1" x14ac:dyDescent="0.2">
      <c r="B122" s="829"/>
      <c r="C122" s="941" t="s">
        <v>1290</v>
      </c>
      <c r="D122" s="937" t="s">
        <v>95</v>
      </c>
      <c r="E122" s="832">
        <v>148</v>
      </c>
      <c r="F122" s="934">
        <v>0</v>
      </c>
      <c r="G122" s="1283">
        <f t="shared" ref="G122:G126" si="35">E122*F122</f>
        <v>0</v>
      </c>
      <c r="I122" s="940"/>
    </row>
    <row r="123" spans="2:9" ht="24.75" customHeight="1" x14ac:dyDescent="0.2">
      <c r="B123" s="829"/>
      <c r="C123" s="941" t="s">
        <v>1245</v>
      </c>
      <c r="D123" s="937" t="s">
        <v>95</v>
      </c>
      <c r="E123" s="832">
        <v>1498</v>
      </c>
      <c r="F123" s="934">
        <v>0</v>
      </c>
      <c r="G123" s="1283">
        <f t="shared" si="35"/>
        <v>0</v>
      </c>
    </row>
    <row r="124" spans="2:9" ht="44.25" customHeight="1" x14ac:dyDescent="0.2">
      <c r="B124" s="829"/>
      <c r="C124" s="941" t="s">
        <v>1668</v>
      </c>
      <c r="D124" s="937" t="s">
        <v>95</v>
      </c>
      <c r="E124" s="832">
        <v>166</v>
      </c>
      <c r="F124" s="934">
        <v>0</v>
      </c>
      <c r="G124" s="1283">
        <f t="shared" si="35"/>
        <v>0</v>
      </c>
      <c r="I124" s="940"/>
    </row>
    <row r="125" spans="2:9" ht="30" customHeight="1" x14ac:dyDescent="0.2">
      <c r="B125" s="829"/>
      <c r="C125" s="942" t="s">
        <v>1247</v>
      </c>
      <c r="D125" s="937" t="s">
        <v>95</v>
      </c>
      <c r="E125" s="832">
        <v>124</v>
      </c>
      <c r="F125" s="934">
        <v>0</v>
      </c>
      <c r="G125" s="1283">
        <f t="shared" si="35"/>
        <v>0</v>
      </c>
      <c r="I125" s="940"/>
    </row>
    <row r="126" spans="2:9" ht="44.25" customHeight="1" x14ac:dyDescent="0.2">
      <c r="B126" s="829"/>
      <c r="C126" s="943" t="s">
        <v>1248</v>
      </c>
      <c r="D126" s="937" t="s">
        <v>95</v>
      </c>
      <c r="E126" s="832">
        <v>14</v>
      </c>
      <c r="F126" s="934">
        <v>0</v>
      </c>
      <c r="G126" s="1283">
        <f t="shared" si="35"/>
        <v>0</v>
      </c>
    </row>
    <row r="127" spans="2:9" ht="15.75" customHeight="1" x14ac:dyDescent="0.2">
      <c r="B127" s="1041"/>
      <c r="C127" s="943"/>
      <c r="D127" s="937"/>
      <c r="E127" s="832"/>
      <c r="F127" s="934"/>
      <c r="G127" s="935"/>
    </row>
    <row r="128" spans="2:9" ht="69" customHeight="1" x14ac:dyDescent="0.2">
      <c r="B128" s="3251" t="s">
        <v>167</v>
      </c>
      <c r="C128" s="1058" t="s">
        <v>168</v>
      </c>
      <c r="D128" s="912"/>
      <c r="E128" s="913"/>
      <c r="F128" s="914"/>
      <c r="G128" s="915"/>
    </row>
    <row r="129" spans="2:9" ht="24.75" customHeight="1" x14ac:dyDescent="0.2">
      <c r="B129" s="3252"/>
      <c r="C129" s="916" t="s">
        <v>171</v>
      </c>
      <c r="D129" s="912" t="s">
        <v>95</v>
      </c>
      <c r="E129" s="913">
        <v>20</v>
      </c>
      <c r="F129" s="914">
        <v>0</v>
      </c>
      <c r="G129" s="915">
        <f>E129*F129</f>
        <v>0</v>
      </c>
    </row>
    <row r="130" spans="2:9" ht="12" customHeight="1" x14ac:dyDescent="0.2">
      <c r="B130" s="829"/>
      <c r="C130" s="944"/>
      <c r="D130" s="937"/>
      <c r="E130" s="938"/>
      <c r="F130" s="939"/>
      <c r="G130" s="935"/>
    </row>
    <row r="131" spans="2:9" ht="67.5" customHeight="1" x14ac:dyDescent="0.2">
      <c r="B131" s="945">
        <v>2</v>
      </c>
      <c r="C131" s="946" t="s">
        <v>172</v>
      </c>
      <c r="D131" s="2727" t="s">
        <v>95</v>
      </c>
      <c r="E131" s="947">
        <f>SUM(E121:E126)</f>
        <v>3285</v>
      </c>
      <c r="F131" s="833">
        <v>0</v>
      </c>
      <c r="G131" s="834">
        <f>E131*F131</f>
        <v>0</v>
      </c>
    </row>
    <row r="132" spans="2:9" ht="58.5" customHeight="1" x14ac:dyDescent="0.2">
      <c r="B132" s="948" t="s">
        <v>173</v>
      </c>
      <c r="C132" s="946" t="s">
        <v>174</v>
      </c>
      <c r="D132" s="2727" t="s">
        <v>95</v>
      </c>
      <c r="E132" s="947">
        <f>E131</f>
        <v>3285</v>
      </c>
      <c r="F132" s="833">
        <v>0</v>
      </c>
      <c r="G132" s="834">
        <f>E132*F132</f>
        <v>0</v>
      </c>
    </row>
    <row r="133" spans="2:9" ht="42" customHeight="1" x14ac:dyDescent="0.2">
      <c r="B133" s="948" t="s">
        <v>175</v>
      </c>
      <c r="C133" s="946" t="s">
        <v>176</v>
      </c>
      <c r="D133" s="2727" t="s">
        <v>95</v>
      </c>
      <c r="E133" s="947">
        <f>E131</f>
        <v>3285</v>
      </c>
      <c r="F133" s="833">
        <v>0</v>
      </c>
      <c r="G133" s="834">
        <f>E133*F133</f>
        <v>0</v>
      </c>
    </row>
    <row r="134" spans="2:9" ht="69" customHeight="1" x14ac:dyDescent="0.2">
      <c r="B134" s="948" t="s">
        <v>177</v>
      </c>
      <c r="C134" s="946" t="s">
        <v>178</v>
      </c>
      <c r="D134" s="2727" t="s">
        <v>95</v>
      </c>
      <c r="E134" s="947">
        <f>E131</f>
        <v>3285</v>
      </c>
      <c r="F134" s="833">
        <v>0</v>
      </c>
      <c r="G134" s="834">
        <f>E134*F134</f>
        <v>0</v>
      </c>
    </row>
    <row r="135" spans="2:9" x14ac:dyDescent="0.2">
      <c r="B135" s="845"/>
      <c r="C135" s="904"/>
      <c r="D135" s="846"/>
      <c r="E135" s="838"/>
      <c r="F135" s="949"/>
      <c r="G135" s="905"/>
    </row>
    <row r="136" spans="2:9" x14ac:dyDescent="0.2">
      <c r="B136" s="2061" t="s">
        <v>1249</v>
      </c>
      <c r="C136" s="2414" t="s">
        <v>1675</v>
      </c>
      <c r="D136" s="2063"/>
      <c r="E136" s="2064"/>
      <c r="F136" s="2065"/>
      <c r="G136" s="2065"/>
      <c r="H136" s="953"/>
    </row>
    <row r="137" spans="2:9" ht="25.5" x14ac:dyDescent="0.2">
      <c r="B137" s="2061"/>
      <c r="C137" s="2408" t="s">
        <v>1097</v>
      </c>
      <c r="D137" s="2068" t="s">
        <v>149</v>
      </c>
      <c r="E137" s="2069">
        <v>1</v>
      </c>
      <c r="F137" s="2066">
        <v>0</v>
      </c>
      <c r="G137" s="2067">
        <f t="shared" ref="G137:G142" si="36">E137*F137</f>
        <v>0</v>
      </c>
      <c r="H137" s="953"/>
    </row>
    <row r="138" spans="2:9" x14ac:dyDescent="0.2">
      <c r="B138" s="2061"/>
      <c r="C138" s="2410" t="s">
        <v>354</v>
      </c>
      <c r="D138" s="2068" t="s">
        <v>149</v>
      </c>
      <c r="E138" s="2069">
        <v>2</v>
      </c>
      <c r="F138" s="2066">
        <v>0</v>
      </c>
      <c r="G138" s="2067">
        <f t="shared" si="36"/>
        <v>0</v>
      </c>
      <c r="H138" s="953"/>
    </row>
    <row r="139" spans="2:9" ht="25.5" x14ac:dyDescent="0.2">
      <c r="B139" s="2061"/>
      <c r="C139" s="2410" t="s">
        <v>235</v>
      </c>
      <c r="D139" s="2068" t="s">
        <v>149</v>
      </c>
      <c r="E139" s="2069">
        <v>1</v>
      </c>
      <c r="F139" s="2066">
        <v>0</v>
      </c>
      <c r="G139" s="2067">
        <f t="shared" si="36"/>
        <v>0</v>
      </c>
      <c r="H139" s="953"/>
    </row>
    <row r="140" spans="2:9" ht="25.5" x14ac:dyDescent="0.2">
      <c r="B140" s="2061"/>
      <c r="C140" s="2410" t="s">
        <v>1294</v>
      </c>
      <c r="D140" s="2068" t="s">
        <v>149</v>
      </c>
      <c r="E140" s="2069">
        <v>1</v>
      </c>
      <c r="F140" s="2066">
        <v>0</v>
      </c>
      <c r="G140" s="2067">
        <f t="shared" si="36"/>
        <v>0</v>
      </c>
      <c r="H140" s="953"/>
    </row>
    <row r="141" spans="2:9" ht="25.5" x14ac:dyDescent="0.2">
      <c r="B141" s="2061"/>
      <c r="C141" s="2410" t="s">
        <v>227</v>
      </c>
      <c r="D141" s="2068" t="s">
        <v>149</v>
      </c>
      <c r="E141" s="2069">
        <v>1</v>
      </c>
      <c r="F141" s="2066">
        <v>0</v>
      </c>
      <c r="G141" s="2067">
        <f t="shared" si="36"/>
        <v>0</v>
      </c>
      <c r="H141" s="953"/>
    </row>
    <row r="142" spans="2:9" ht="25.5" x14ac:dyDescent="0.2">
      <c r="B142" s="2061"/>
      <c r="C142" s="2411" t="s">
        <v>1196</v>
      </c>
      <c r="D142" s="2068" t="s">
        <v>149</v>
      </c>
      <c r="E142" s="2069">
        <v>1</v>
      </c>
      <c r="F142" s="2066">
        <v>0</v>
      </c>
      <c r="G142" s="2067">
        <f t="shared" si="36"/>
        <v>0</v>
      </c>
      <c r="H142" s="953"/>
    </row>
    <row r="143" spans="2:9" x14ac:dyDescent="0.2">
      <c r="B143" s="950"/>
      <c r="C143" s="848"/>
      <c r="D143" s="857"/>
      <c r="E143" s="838"/>
      <c r="F143" s="844"/>
      <c r="G143" s="905"/>
      <c r="H143" s="953"/>
      <c r="I143" s="723"/>
    </row>
    <row r="144" spans="2:9" x14ac:dyDescent="0.2">
      <c r="B144" s="2061" t="s">
        <v>1253</v>
      </c>
      <c r="C144" s="2414" t="s">
        <v>1293</v>
      </c>
      <c r="D144" s="2063"/>
      <c r="E144" s="2064"/>
      <c r="F144" s="2065"/>
      <c r="G144" s="2065"/>
      <c r="I144" s="723"/>
    </row>
    <row r="145" spans="2:9" x14ac:dyDescent="0.2">
      <c r="B145" s="2061"/>
      <c r="C145" s="2408" t="s">
        <v>207</v>
      </c>
      <c r="D145" s="2068" t="s">
        <v>149</v>
      </c>
      <c r="E145" s="2069">
        <v>2</v>
      </c>
      <c r="F145" s="2066">
        <v>0</v>
      </c>
      <c r="G145" s="2067">
        <f t="shared" ref="G145:G160" si="37">E145*F145</f>
        <v>0</v>
      </c>
      <c r="I145" s="723"/>
    </row>
    <row r="146" spans="2:9" ht="25.5" x14ac:dyDescent="0.2">
      <c r="B146" s="2061"/>
      <c r="C146" s="2408" t="s">
        <v>208</v>
      </c>
      <c r="D146" s="2068" t="s">
        <v>149</v>
      </c>
      <c r="E146" s="2069">
        <v>4</v>
      </c>
      <c r="F146" s="2066">
        <v>0</v>
      </c>
      <c r="G146" s="2067">
        <f t="shared" si="37"/>
        <v>0</v>
      </c>
      <c r="I146" s="723"/>
    </row>
    <row r="147" spans="2:9" ht="33.75" customHeight="1" x14ac:dyDescent="0.2">
      <c r="B147" s="2061"/>
      <c r="C147" s="2409" t="s">
        <v>843</v>
      </c>
      <c r="D147" s="2068" t="s">
        <v>149</v>
      </c>
      <c r="E147" s="2069">
        <v>2</v>
      </c>
      <c r="F147" s="2066">
        <v>0</v>
      </c>
      <c r="G147" s="2067">
        <f t="shared" si="37"/>
        <v>0</v>
      </c>
      <c r="I147" s="723"/>
    </row>
    <row r="148" spans="2:9" x14ac:dyDescent="0.2">
      <c r="B148" s="2061"/>
      <c r="C148" s="2409" t="s">
        <v>210</v>
      </c>
      <c r="D148" s="2068" t="s">
        <v>149</v>
      </c>
      <c r="E148" s="2069">
        <v>2</v>
      </c>
      <c r="F148" s="2066">
        <v>0</v>
      </c>
      <c r="G148" s="2067">
        <f t="shared" si="37"/>
        <v>0</v>
      </c>
      <c r="I148" s="723"/>
    </row>
    <row r="149" spans="2:9" x14ac:dyDescent="0.2">
      <c r="B149" s="2061"/>
      <c r="C149" s="2409" t="s">
        <v>211</v>
      </c>
      <c r="D149" s="2068" t="s">
        <v>149</v>
      </c>
      <c r="E149" s="2069">
        <v>2</v>
      </c>
      <c r="F149" s="2066">
        <v>0</v>
      </c>
      <c r="G149" s="2067">
        <f t="shared" si="37"/>
        <v>0</v>
      </c>
      <c r="I149" s="723"/>
    </row>
    <row r="150" spans="2:9" x14ac:dyDescent="0.2">
      <c r="B150" s="2061"/>
      <c r="C150" s="2409" t="s">
        <v>212</v>
      </c>
      <c r="D150" s="2068" t="s">
        <v>149</v>
      </c>
      <c r="E150" s="2069">
        <v>2</v>
      </c>
      <c r="F150" s="2066">
        <v>0</v>
      </c>
      <c r="G150" s="2067">
        <f t="shared" si="37"/>
        <v>0</v>
      </c>
      <c r="I150" s="723"/>
    </row>
    <row r="151" spans="2:9" ht="25.5" x14ac:dyDescent="0.2">
      <c r="B151" s="2061"/>
      <c r="C151" s="2409" t="s">
        <v>825</v>
      </c>
      <c r="D151" s="2068" t="s">
        <v>149</v>
      </c>
      <c r="E151" s="2069">
        <v>2</v>
      </c>
      <c r="F151" s="2066">
        <v>0</v>
      </c>
      <c r="G151" s="2067">
        <f t="shared" si="37"/>
        <v>0</v>
      </c>
      <c r="I151" s="723"/>
    </row>
    <row r="152" spans="2:9" x14ac:dyDescent="0.2">
      <c r="B152" s="2061"/>
      <c r="C152" s="2409" t="s">
        <v>214</v>
      </c>
      <c r="D152" s="2068" t="s">
        <v>149</v>
      </c>
      <c r="E152" s="2069">
        <v>2</v>
      </c>
      <c r="F152" s="2066">
        <v>0</v>
      </c>
      <c r="G152" s="2067">
        <f t="shared" si="37"/>
        <v>0</v>
      </c>
      <c r="I152" s="723"/>
    </row>
    <row r="153" spans="2:9" x14ac:dyDescent="0.2">
      <c r="B153" s="2061"/>
      <c r="C153" s="2409" t="s">
        <v>215</v>
      </c>
      <c r="D153" s="2068" t="s">
        <v>149</v>
      </c>
      <c r="E153" s="2069">
        <v>2</v>
      </c>
      <c r="F153" s="2066">
        <v>0</v>
      </c>
      <c r="G153" s="2067">
        <f t="shared" si="37"/>
        <v>0</v>
      </c>
      <c r="I153" s="723"/>
    </row>
    <row r="154" spans="2:9" x14ac:dyDescent="0.2">
      <c r="B154" s="2061"/>
      <c r="C154" s="2410" t="s">
        <v>216</v>
      </c>
      <c r="D154" s="2068" t="s">
        <v>149</v>
      </c>
      <c r="E154" s="2069">
        <v>2</v>
      </c>
      <c r="F154" s="2066">
        <v>0</v>
      </c>
      <c r="G154" s="2067">
        <f t="shared" si="37"/>
        <v>0</v>
      </c>
      <c r="I154" s="723"/>
    </row>
    <row r="155" spans="2:9" x14ac:dyDescent="0.2">
      <c r="B155" s="2061"/>
      <c r="C155" s="2410" t="s">
        <v>329</v>
      </c>
      <c r="D155" s="2068" t="s">
        <v>149</v>
      </c>
      <c r="E155" s="2069">
        <v>2</v>
      </c>
      <c r="F155" s="2066">
        <v>0</v>
      </c>
      <c r="G155" s="2067">
        <f t="shared" si="37"/>
        <v>0</v>
      </c>
      <c r="I155" s="723"/>
    </row>
    <row r="156" spans="2:9" ht="25.5" x14ac:dyDescent="0.2">
      <c r="B156" s="2061"/>
      <c r="C156" s="2410" t="s">
        <v>235</v>
      </c>
      <c r="D156" s="2068" t="s">
        <v>149</v>
      </c>
      <c r="E156" s="2069">
        <v>4</v>
      </c>
      <c r="F156" s="2066">
        <v>0</v>
      </c>
      <c r="G156" s="2067">
        <f t="shared" si="37"/>
        <v>0</v>
      </c>
      <c r="I156" s="723"/>
    </row>
    <row r="157" spans="2:9" ht="25.5" x14ac:dyDescent="0.2">
      <c r="B157" s="2061"/>
      <c r="C157" s="2410" t="s">
        <v>1294</v>
      </c>
      <c r="D157" s="2068" t="s">
        <v>149</v>
      </c>
      <c r="E157" s="2069">
        <v>4</v>
      </c>
      <c r="F157" s="2066">
        <v>0</v>
      </c>
      <c r="G157" s="2067">
        <f t="shared" si="37"/>
        <v>0</v>
      </c>
      <c r="I157" s="723"/>
    </row>
    <row r="158" spans="2:9" ht="25.5" x14ac:dyDescent="0.2">
      <c r="B158" s="2061"/>
      <c r="C158" s="2410" t="s">
        <v>219</v>
      </c>
      <c r="D158" s="2068" t="s">
        <v>149</v>
      </c>
      <c r="E158" s="2069">
        <v>2</v>
      </c>
      <c r="F158" s="2066">
        <v>0</v>
      </c>
      <c r="G158" s="2067">
        <f t="shared" si="37"/>
        <v>0</v>
      </c>
      <c r="I158" s="723"/>
    </row>
    <row r="159" spans="2:9" ht="25.5" x14ac:dyDescent="0.2">
      <c r="B159" s="2061"/>
      <c r="C159" s="2410" t="s">
        <v>227</v>
      </c>
      <c r="D159" s="2068" t="s">
        <v>149</v>
      </c>
      <c r="E159" s="2069">
        <v>6</v>
      </c>
      <c r="F159" s="2066">
        <v>0</v>
      </c>
      <c r="G159" s="2067">
        <f t="shared" si="37"/>
        <v>0</v>
      </c>
      <c r="I159" s="723"/>
    </row>
    <row r="160" spans="2:9" ht="25.5" x14ac:dyDescent="0.2">
      <c r="B160" s="2061"/>
      <c r="C160" s="2411" t="s">
        <v>1196</v>
      </c>
      <c r="D160" s="2068" t="s">
        <v>149</v>
      </c>
      <c r="E160" s="2069">
        <v>2</v>
      </c>
      <c r="F160" s="2066">
        <v>0</v>
      </c>
      <c r="G160" s="2067">
        <f t="shared" si="37"/>
        <v>0</v>
      </c>
      <c r="I160" s="723"/>
    </row>
    <row r="161" spans="2:15" ht="13.5" customHeight="1" x14ac:dyDescent="0.2">
      <c r="B161" s="950"/>
      <c r="C161" s="848"/>
      <c r="D161" s="857"/>
      <c r="E161" s="838"/>
      <c r="F161" s="844"/>
      <c r="G161" s="905"/>
      <c r="H161" s="953"/>
      <c r="I161" s="723"/>
    </row>
    <row r="162" spans="2:15" ht="14.25" customHeight="1" x14ac:dyDescent="0.2">
      <c r="B162" s="2061" t="s">
        <v>1256</v>
      </c>
      <c r="C162" s="2412" t="s">
        <v>1306</v>
      </c>
      <c r="D162" s="2063"/>
      <c r="E162" s="2064"/>
      <c r="F162" s="2065"/>
      <c r="G162" s="2065"/>
      <c r="H162" s="953"/>
      <c r="I162" s="723"/>
    </row>
    <row r="163" spans="2:15" ht="19.5" customHeight="1" x14ac:dyDescent="0.2">
      <c r="B163" s="2061"/>
      <c r="C163" s="2408" t="s">
        <v>207</v>
      </c>
      <c r="D163" s="2068" t="s">
        <v>149</v>
      </c>
      <c r="E163" s="2069">
        <v>2</v>
      </c>
      <c r="F163" s="2066">
        <v>0</v>
      </c>
      <c r="G163" s="2067">
        <f t="shared" ref="G163:G170" si="38">E163*F163</f>
        <v>0</v>
      </c>
      <c r="H163" s="953"/>
      <c r="I163" s="723"/>
    </row>
    <row r="164" spans="2:15" ht="66.75" customHeight="1" x14ac:dyDescent="0.2">
      <c r="B164" s="2061"/>
      <c r="C164" s="2409" t="s">
        <v>192</v>
      </c>
      <c r="D164" s="2068" t="s">
        <v>149</v>
      </c>
      <c r="E164" s="2069">
        <v>2</v>
      </c>
      <c r="F164" s="2066">
        <v>0</v>
      </c>
      <c r="G164" s="2067">
        <f t="shared" si="38"/>
        <v>0</v>
      </c>
      <c r="H164" s="953"/>
      <c r="I164" s="723"/>
    </row>
    <row r="165" spans="2:15" ht="14.25" customHeight="1" x14ac:dyDescent="0.2">
      <c r="B165" s="2061"/>
      <c r="C165" s="2409" t="s">
        <v>193</v>
      </c>
      <c r="D165" s="2068" t="s">
        <v>149</v>
      </c>
      <c r="E165" s="2069">
        <v>2</v>
      </c>
      <c r="F165" s="2066">
        <v>0</v>
      </c>
      <c r="G165" s="2067">
        <f t="shared" si="38"/>
        <v>0</v>
      </c>
      <c r="H165" s="953"/>
      <c r="I165" s="723"/>
    </row>
    <row r="166" spans="2:15" ht="14.25" customHeight="1" x14ac:dyDescent="0.2">
      <c r="B166" s="2061"/>
      <c r="C166" s="2409" t="s">
        <v>194</v>
      </c>
      <c r="D166" s="2068" t="s">
        <v>149</v>
      </c>
      <c r="E166" s="2069">
        <v>2</v>
      </c>
      <c r="F166" s="2066">
        <v>0</v>
      </c>
      <c r="G166" s="2067">
        <f t="shared" si="38"/>
        <v>0</v>
      </c>
      <c r="H166" s="953"/>
      <c r="I166" s="723"/>
    </row>
    <row r="167" spans="2:15" ht="30.75" customHeight="1" x14ac:dyDescent="0.2">
      <c r="B167" s="2061"/>
      <c r="C167" s="2409" t="s">
        <v>235</v>
      </c>
      <c r="D167" s="2068" t="s">
        <v>149</v>
      </c>
      <c r="E167" s="2069">
        <v>4</v>
      </c>
      <c r="F167" s="2066">
        <v>0</v>
      </c>
      <c r="G167" s="2067">
        <f t="shared" si="38"/>
        <v>0</v>
      </c>
      <c r="H167" s="953"/>
      <c r="I167" s="723"/>
    </row>
    <row r="168" spans="2:15" ht="30" customHeight="1" x14ac:dyDescent="0.2">
      <c r="B168" s="2061"/>
      <c r="C168" s="2409" t="s">
        <v>1307</v>
      </c>
      <c r="D168" s="2068" t="s">
        <v>149</v>
      </c>
      <c r="E168" s="2069">
        <v>4</v>
      </c>
      <c r="F168" s="2066">
        <v>0</v>
      </c>
      <c r="G168" s="2067">
        <f t="shared" si="38"/>
        <v>0</v>
      </c>
      <c r="H168" s="953"/>
      <c r="I168" s="723"/>
    </row>
    <row r="169" spans="2:15" ht="27.75" customHeight="1" x14ac:dyDescent="0.2">
      <c r="B169" s="2061"/>
      <c r="C169" s="2409" t="s">
        <v>197</v>
      </c>
      <c r="D169" s="2068" t="s">
        <v>149</v>
      </c>
      <c r="E169" s="2069">
        <v>2</v>
      </c>
      <c r="F169" s="2066">
        <v>0</v>
      </c>
      <c r="G169" s="2067">
        <f t="shared" si="38"/>
        <v>0</v>
      </c>
      <c r="H169" s="953"/>
      <c r="I169" s="723"/>
    </row>
    <row r="170" spans="2:15" ht="27" customHeight="1" x14ac:dyDescent="0.2">
      <c r="B170" s="2061"/>
      <c r="C170" s="2409" t="s">
        <v>1196</v>
      </c>
      <c r="D170" s="2068" t="s">
        <v>149</v>
      </c>
      <c r="E170" s="2069">
        <v>2</v>
      </c>
      <c r="F170" s="2066">
        <v>0</v>
      </c>
      <c r="G170" s="2067">
        <f t="shared" si="38"/>
        <v>0</v>
      </c>
      <c r="H170" s="953"/>
      <c r="J170" s="723"/>
    </row>
    <row r="171" spans="2:15" ht="18" customHeight="1" x14ac:dyDescent="0.2">
      <c r="B171" s="950"/>
      <c r="C171" s="955"/>
      <c r="D171" s="956"/>
      <c r="E171" s="957"/>
      <c r="F171" s="958"/>
      <c r="G171" s="958"/>
      <c r="H171" s="953"/>
      <c r="J171" s="723"/>
    </row>
    <row r="172" spans="2:15" ht="25.5" x14ac:dyDescent="0.2">
      <c r="B172" s="2061" t="s">
        <v>1259</v>
      </c>
      <c r="C172" s="2412" t="s">
        <v>1676</v>
      </c>
      <c r="D172" s="2063"/>
      <c r="E172" s="2064"/>
      <c r="F172" s="2065"/>
      <c r="G172" s="2065"/>
      <c r="H172" s="1101"/>
      <c r="I172" s="964"/>
      <c r="J172" s="723"/>
      <c r="K172" s="723"/>
      <c r="L172" s="723"/>
      <c r="M172" s="723"/>
      <c r="N172" s="723"/>
      <c r="O172" s="723"/>
    </row>
    <row r="173" spans="2:15" ht="25.5" x14ac:dyDescent="0.2">
      <c r="B173" s="2061"/>
      <c r="C173" s="2408" t="s">
        <v>233</v>
      </c>
      <c r="D173" s="2068" t="s">
        <v>149</v>
      </c>
      <c r="E173" s="2069">
        <v>2</v>
      </c>
      <c r="F173" s="2066">
        <v>0</v>
      </c>
      <c r="G173" s="2067">
        <f t="shared" ref="G173:G177" si="39">E173*F173</f>
        <v>0</v>
      </c>
      <c r="H173" s="1101"/>
      <c r="I173" s="964"/>
      <c r="J173" s="723"/>
      <c r="K173" s="723"/>
      <c r="L173" s="723"/>
      <c r="M173" s="723"/>
      <c r="N173" s="723"/>
      <c r="O173" s="723"/>
    </row>
    <row r="174" spans="2:15" ht="25.5" x14ac:dyDescent="0.2">
      <c r="B174" s="2061"/>
      <c r="C174" s="2410" t="s">
        <v>235</v>
      </c>
      <c r="D174" s="2068" t="s">
        <v>149</v>
      </c>
      <c r="E174" s="2069">
        <v>6</v>
      </c>
      <c r="F174" s="2066">
        <v>0</v>
      </c>
      <c r="G174" s="2067">
        <f t="shared" si="39"/>
        <v>0</v>
      </c>
      <c r="H174" s="1101"/>
      <c r="I174" s="964"/>
      <c r="J174" s="723"/>
      <c r="K174" s="723"/>
      <c r="L174" s="723"/>
      <c r="M174" s="723"/>
      <c r="N174" s="723"/>
      <c r="O174" s="723"/>
    </row>
    <row r="175" spans="2:15" ht="25.5" x14ac:dyDescent="0.2">
      <c r="B175" s="2061"/>
      <c r="C175" s="2410" t="s">
        <v>1294</v>
      </c>
      <c r="D175" s="2068" t="s">
        <v>149</v>
      </c>
      <c r="E175" s="2069">
        <v>6</v>
      </c>
      <c r="F175" s="2066">
        <v>0</v>
      </c>
      <c r="G175" s="2067">
        <f t="shared" si="39"/>
        <v>0</v>
      </c>
      <c r="H175" s="1101"/>
      <c r="I175" s="964"/>
      <c r="J175" s="723"/>
      <c r="K175" s="723"/>
      <c r="L175" s="723"/>
      <c r="M175" s="723"/>
      <c r="N175" s="723"/>
      <c r="O175" s="723"/>
    </row>
    <row r="176" spans="2:15" ht="25.5" x14ac:dyDescent="0.2">
      <c r="B176" s="2061"/>
      <c r="C176" s="2410" t="s">
        <v>227</v>
      </c>
      <c r="D176" s="2068" t="s">
        <v>149</v>
      </c>
      <c r="E176" s="2069">
        <v>2</v>
      </c>
      <c r="F176" s="2066">
        <v>0</v>
      </c>
      <c r="G176" s="2067">
        <f t="shared" si="39"/>
        <v>0</v>
      </c>
      <c r="H176" s="1101"/>
      <c r="I176" s="964"/>
      <c r="J176" s="723"/>
      <c r="K176" s="723"/>
      <c r="L176" s="723"/>
      <c r="M176" s="723"/>
      <c r="N176" s="723"/>
      <c r="O176" s="723"/>
    </row>
    <row r="177" spans="2:15" ht="25.5" x14ac:dyDescent="0.2">
      <c r="B177" s="2061"/>
      <c r="C177" s="2411" t="s">
        <v>1196</v>
      </c>
      <c r="D177" s="2068" t="s">
        <v>149</v>
      </c>
      <c r="E177" s="2069">
        <v>2</v>
      </c>
      <c r="F177" s="2066">
        <v>0</v>
      </c>
      <c r="G177" s="2067">
        <f t="shared" si="39"/>
        <v>0</v>
      </c>
      <c r="H177" s="1101"/>
      <c r="I177" s="964"/>
      <c r="J177" s="723"/>
      <c r="K177" s="723"/>
      <c r="L177" s="723"/>
      <c r="M177" s="723"/>
      <c r="N177" s="723"/>
      <c r="O177" s="723"/>
    </row>
    <row r="178" spans="2:15" x14ac:dyDescent="0.2">
      <c r="B178" s="950"/>
      <c r="C178" s="955"/>
      <c r="D178" s="956"/>
      <c r="E178" s="957"/>
      <c r="F178" s="958"/>
      <c r="G178" s="958"/>
      <c r="H178" s="1101"/>
      <c r="I178" s="964"/>
      <c r="J178" s="723"/>
      <c r="K178" s="723"/>
      <c r="L178" s="723"/>
      <c r="M178" s="723"/>
      <c r="N178" s="723"/>
      <c r="O178" s="723"/>
    </row>
    <row r="179" spans="2:15" ht="25.5" x14ac:dyDescent="0.2">
      <c r="B179" s="2061" t="s">
        <v>1261</v>
      </c>
      <c r="C179" s="2412" t="s">
        <v>1677</v>
      </c>
      <c r="D179" s="2419"/>
      <c r="E179" s="2420"/>
      <c r="F179" s="2421"/>
      <c r="G179" s="2421"/>
      <c r="H179" s="1101"/>
      <c r="I179" s="964"/>
      <c r="J179" s="723"/>
      <c r="K179" s="723"/>
      <c r="L179" s="723"/>
      <c r="M179" s="723"/>
      <c r="N179" s="723"/>
      <c r="O179" s="723"/>
    </row>
    <row r="180" spans="2:15" ht="25.5" x14ac:dyDescent="0.2">
      <c r="B180" s="2061"/>
      <c r="C180" s="2408" t="s">
        <v>238</v>
      </c>
      <c r="D180" s="2068" t="s">
        <v>149</v>
      </c>
      <c r="E180" s="2069">
        <v>2</v>
      </c>
      <c r="F180" s="2066">
        <v>0</v>
      </c>
      <c r="G180" s="2067">
        <f t="shared" ref="G180:G188" si="40">E180*F180</f>
        <v>0</v>
      </c>
      <c r="H180" s="1101"/>
      <c r="I180" s="964"/>
      <c r="J180" s="723"/>
      <c r="K180" s="723"/>
      <c r="L180" s="723"/>
      <c r="M180" s="723"/>
      <c r="N180" s="723"/>
      <c r="O180" s="723"/>
    </row>
    <row r="181" spans="2:15" ht="25.5" x14ac:dyDescent="0.2">
      <c r="B181" s="2061"/>
      <c r="C181" s="2410" t="s">
        <v>235</v>
      </c>
      <c r="D181" s="2068" t="s">
        <v>149</v>
      </c>
      <c r="E181" s="2069">
        <v>4</v>
      </c>
      <c r="F181" s="2066">
        <v>0</v>
      </c>
      <c r="G181" s="2067">
        <f t="shared" si="40"/>
        <v>0</v>
      </c>
      <c r="H181" s="1101"/>
      <c r="I181" s="964"/>
      <c r="J181" s="723"/>
      <c r="K181" s="723"/>
      <c r="L181" s="723"/>
      <c r="M181" s="723"/>
      <c r="N181" s="723"/>
      <c r="O181" s="723"/>
    </row>
    <row r="182" spans="2:15" ht="25.5" x14ac:dyDescent="0.2">
      <c r="B182" s="2061"/>
      <c r="C182" s="2410" t="s">
        <v>239</v>
      </c>
      <c r="D182" s="2068" t="s">
        <v>149</v>
      </c>
      <c r="E182" s="2069">
        <v>2</v>
      </c>
      <c r="F182" s="2066">
        <v>0</v>
      </c>
      <c r="G182" s="2067">
        <f t="shared" si="40"/>
        <v>0</v>
      </c>
      <c r="H182" s="1101"/>
      <c r="I182" s="964"/>
      <c r="J182" s="723"/>
      <c r="K182" s="723"/>
      <c r="L182" s="723"/>
      <c r="M182" s="723"/>
      <c r="N182" s="723"/>
      <c r="O182" s="723"/>
    </row>
    <row r="183" spans="2:15" ht="25.5" x14ac:dyDescent="0.2">
      <c r="B183" s="2061"/>
      <c r="C183" s="2410" t="s">
        <v>1294</v>
      </c>
      <c r="D183" s="2068" t="s">
        <v>149</v>
      </c>
      <c r="E183" s="2069">
        <v>4</v>
      </c>
      <c r="F183" s="2066">
        <v>0</v>
      </c>
      <c r="G183" s="2067">
        <f t="shared" si="40"/>
        <v>0</v>
      </c>
      <c r="H183" s="1101"/>
      <c r="I183" s="964"/>
      <c r="J183" s="723"/>
      <c r="K183" s="723"/>
      <c r="L183" s="723"/>
      <c r="M183" s="723"/>
      <c r="N183" s="723"/>
      <c r="O183" s="723"/>
    </row>
    <row r="184" spans="2:15" ht="25.5" x14ac:dyDescent="0.2">
      <c r="B184" s="2061"/>
      <c r="C184" s="2410" t="s">
        <v>1267</v>
      </c>
      <c r="D184" s="2068" t="s">
        <v>149</v>
      </c>
      <c r="E184" s="2069">
        <v>2</v>
      </c>
      <c r="F184" s="2066">
        <v>0</v>
      </c>
      <c r="G184" s="2067">
        <f t="shared" si="40"/>
        <v>0</v>
      </c>
      <c r="H184" s="1101"/>
      <c r="I184" s="964"/>
      <c r="J184" s="723"/>
      <c r="K184" s="723"/>
      <c r="L184" s="723"/>
      <c r="M184" s="723"/>
      <c r="N184" s="723"/>
      <c r="O184" s="723"/>
    </row>
    <row r="185" spans="2:15" x14ac:dyDescent="0.2">
      <c r="B185" s="2061"/>
      <c r="C185" s="2410" t="s">
        <v>1268</v>
      </c>
      <c r="D185" s="2068" t="s">
        <v>149</v>
      </c>
      <c r="E185" s="2069">
        <v>2</v>
      </c>
      <c r="F185" s="2066">
        <v>0</v>
      </c>
      <c r="G185" s="2067">
        <f t="shared" si="40"/>
        <v>0</v>
      </c>
      <c r="H185" s="1101"/>
      <c r="I185" s="964"/>
      <c r="J185" s="723"/>
      <c r="K185" s="723"/>
      <c r="L185" s="723"/>
      <c r="M185" s="723"/>
      <c r="N185" s="723"/>
      <c r="O185" s="723"/>
    </row>
    <row r="186" spans="2:15" ht="25.5" x14ac:dyDescent="0.2">
      <c r="B186" s="2061"/>
      <c r="C186" s="2410" t="s">
        <v>1269</v>
      </c>
      <c r="D186" s="2068" t="s">
        <v>149</v>
      </c>
      <c r="E186" s="2069">
        <v>2</v>
      </c>
      <c r="F186" s="2066">
        <v>0</v>
      </c>
      <c r="G186" s="2067">
        <f t="shared" si="40"/>
        <v>0</v>
      </c>
      <c r="H186" s="1101"/>
      <c r="I186" s="964"/>
      <c r="J186" s="723"/>
      <c r="K186" s="723"/>
      <c r="L186" s="723"/>
      <c r="M186" s="723"/>
      <c r="N186" s="723"/>
      <c r="O186" s="723"/>
    </row>
    <row r="187" spans="2:15" ht="25.5" x14ac:dyDescent="0.2">
      <c r="B187" s="2061"/>
      <c r="C187" s="2410" t="s">
        <v>227</v>
      </c>
      <c r="D187" s="2068" t="s">
        <v>149</v>
      </c>
      <c r="E187" s="2069">
        <v>2</v>
      </c>
      <c r="F187" s="2066">
        <v>0</v>
      </c>
      <c r="G187" s="2067">
        <f t="shared" si="40"/>
        <v>0</v>
      </c>
      <c r="H187" s="1101"/>
      <c r="I187" s="964"/>
      <c r="J187" s="723"/>
      <c r="K187" s="723"/>
      <c r="L187" s="723"/>
      <c r="M187" s="723"/>
      <c r="N187" s="723"/>
      <c r="O187" s="723"/>
    </row>
    <row r="188" spans="2:15" ht="25.5" x14ac:dyDescent="0.2">
      <c r="B188" s="2061"/>
      <c r="C188" s="2411" t="s">
        <v>1196</v>
      </c>
      <c r="D188" s="2068" t="s">
        <v>149</v>
      </c>
      <c r="E188" s="2069">
        <v>2</v>
      </c>
      <c r="F188" s="2066">
        <v>0</v>
      </c>
      <c r="G188" s="2067">
        <f t="shared" si="40"/>
        <v>0</v>
      </c>
      <c r="H188" s="1101"/>
      <c r="I188" s="964"/>
      <c r="J188" s="723"/>
      <c r="K188" s="723"/>
      <c r="L188" s="723"/>
      <c r="M188" s="723"/>
      <c r="N188" s="723"/>
      <c r="O188" s="723"/>
    </row>
    <row r="189" spans="2:15" x14ac:dyDescent="0.2">
      <c r="B189" s="950"/>
      <c r="C189" s="955"/>
      <c r="D189" s="956"/>
      <c r="E189" s="957"/>
      <c r="F189" s="958"/>
      <c r="G189" s="958"/>
      <c r="H189" s="1101"/>
      <c r="I189" s="964"/>
      <c r="J189" s="723"/>
      <c r="K189" s="723"/>
      <c r="L189" s="723"/>
      <c r="M189" s="723"/>
      <c r="N189" s="723"/>
      <c r="O189" s="723"/>
    </row>
    <row r="190" spans="2:15" x14ac:dyDescent="0.2">
      <c r="B190" s="2061" t="s">
        <v>1264</v>
      </c>
      <c r="C190" s="2412" t="s">
        <v>1386</v>
      </c>
      <c r="D190" s="2063"/>
      <c r="E190" s="2420"/>
      <c r="F190" s="2421"/>
      <c r="G190" s="2421"/>
      <c r="H190" s="1101"/>
      <c r="I190" s="964"/>
      <c r="J190" s="723"/>
      <c r="K190" s="723"/>
      <c r="L190" s="723"/>
      <c r="M190" s="723"/>
      <c r="N190" s="723"/>
      <c r="O190" s="723"/>
    </row>
    <row r="191" spans="2:15" x14ac:dyDescent="0.2">
      <c r="B191" s="2061"/>
      <c r="C191" s="2408" t="s">
        <v>841</v>
      </c>
      <c r="D191" s="2068" t="s">
        <v>149</v>
      </c>
      <c r="E191" s="2069">
        <v>7</v>
      </c>
      <c r="F191" s="2066">
        <v>0</v>
      </c>
      <c r="G191" s="2067">
        <f t="shared" ref="G191:G200" si="41">E191*F191</f>
        <v>0</v>
      </c>
      <c r="H191" s="1101"/>
      <c r="I191" s="964"/>
      <c r="J191" s="723"/>
      <c r="K191" s="723"/>
      <c r="L191" s="723"/>
      <c r="M191" s="723"/>
      <c r="N191" s="723"/>
      <c r="O191" s="723"/>
    </row>
    <row r="192" spans="2:15" ht="63.75" x14ac:dyDescent="0.2">
      <c r="B192" s="2061"/>
      <c r="C192" s="2409" t="s">
        <v>285</v>
      </c>
      <c r="D192" s="2068" t="s">
        <v>149</v>
      </c>
      <c r="E192" s="2069">
        <v>7</v>
      </c>
      <c r="F192" s="2066">
        <v>0</v>
      </c>
      <c r="G192" s="2067">
        <f t="shared" si="41"/>
        <v>0</v>
      </c>
      <c r="H192" s="1101"/>
      <c r="I192" s="964"/>
      <c r="J192" s="723"/>
      <c r="K192" s="723"/>
      <c r="L192" s="723"/>
      <c r="M192" s="723"/>
      <c r="N192" s="723"/>
      <c r="O192" s="723"/>
    </row>
    <row r="193" spans="2:15" x14ac:dyDescent="0.2">
      <c r="B193" s="2061"/>
      <c r="C193" s="2409" t="s">
        <v>193</v>
      </c>
      <c r="D193" s="2068" t="s">
        <v>149</v>
      </c>
      <c r="E193" s="2069">
        <v>7</v>
      </c>
      <c r="F193" s="2066">
        <v>0</v>
      </c>
      <c r="G193" s="2067">
        <f t="shared" si="41"/>
        <v>0</v>
      </c>
      <c r="H193" s="1101"/>
      <c r="I193" s="964"/>
      <c r="J193" s="723"/>
      <c r="K193" s="723"/>
      <c r="L193" s="723"/>
      <c r="M193" s="723"/>
      <c r="N193" s="723"/>
      <c r="O193" s="723"/>
    </row>
    <row r="194" spans="2:15" x14ac:dyDescent="0.2">
      <c r="B194" s="2061"/>
      <c r="C194" s="2409" t="s">
        <v>194</v>
      </c>
      <c r="D194" s="2068" t="s">
        <v>149</v>
      </c>
      <c r="E194" s="2069">
        <v>7</v>
      </c>
      <c r="F194" s="2066">
        <v>0</v>
      </c>
      <c r="G194" s="2067">
        <f t="shared" si="41"/>
        <v>0</v>
      </c>
      <c r="H194" s="1101"/>
      <c r="I194" s="964"/>
      <c r="J194" s="723"/>
      <c r="K194" s="723"/>
      <c r="L194" s="723"/>
      <c r="M194" s="723"/>
      <c r="N194" s="723"/>
      <c r="O194" s="723"/>
    </row>
    <row r="195" spans="2:15" ht="25.5" x14ac:dyDescent="0.2">
      <c r="B195" s="2061"/>
      <c r="C195" s="2410" t="s">
        <v>239</v>
      </c>
      <c r="D195" s="2068" t="s">
        <v>149</v>
      </c>
      <c r="E195" s="2069">
        <v>14</v>
      </c>
      <c r="F195" s="2066">
        <v>0</v>
      </c>
      <c r="G195" s="2067">
        <f t="shared" si="41"/>
        <v>0</v>
      </c>
      <c r="H195" s="1101"/>
      <c r="I195" s="964"/>
      <c r="J195" s="723"/>
      <c r="K195" s="723"/>
      <c r="L195" s="723"/>
      <c r="M195" s="723"/>
      <c r="N195" s="723"/>
      <c r="O195" s="723"/>
    </row>
    <row r="196" spans="2:15" ht="25.5" x14ac:dyDescent="0.2">
      <c r="B196" s="2061"/>
      <c r="C196" s="2410" t="s">
        <v>1267</v>
      </c>
      <c r="D196" s="2068" t="s">
        <v>149</v>
      </c>
      <c r="E196" s="2069">
        <v>14</v>
      </c>
      <c r="F196" s="2066">
        <v>0</v>
      </c>
      <c r="G196" s="2067">
        <f t="shared" si="41"/>
        <v>0</v>
      </c>
      <c r="H196" s="1101"/>
      <c r="I196" s="964"/>
      <c r="J196" s="723"/>
      <c r="K196" s="723"/>
      <c r="L196" s="723"/>
      <c r="M196" s="723"/>
      <c r="N196" s="723"/>
      <c r="O196" s="723"/>
    </row>
    <row r="197" spans="2:15" x14ac:dyDescent="0.2">
      <c r="B197" s="2061"/>
      <c r="C197" s="2410" t="s">
        <v>1268</v>
      </c>
      <c r="D197" s="2068" t="s">
        <v>149</v>
      </c>
      <c r="E197" s="2069">
        <v>14</v>
      </c>
      <c r="F197" s="2066">
        <v>0</v>
      </c>
      <c r="G197" s="2067">
        <f t="shared" si="41"/>
        <v>0</v>
      </c>
      <c r="H197" s="1101"/>
      <c r="I197" s="964"/>
      <c r="J197" s="723"/>
      <c r="K197" s="723"/>
      <c r="L197" s="723"/>
      <c r="M197" s="723"/>
      <c r="N197" s="723"/>
      <c r="O197" s="723"/>
    </row>
    <row r="198" spans="2:15" ht="25.5" x14ac:dyDescent="0.2">
      <c r="B198" s="2061"/>
      <c r="C198" s="2410" t="s">
        <v>1269</v>
      </c>
      <c r="D198" s="2068" t="s">
        <v>149</v>
      </c>
      <c r="E198" s="2069">
        <v>14</v>
      </c>
      <c r="F198" s="2066">
        <v>0</v>
      </c>
      <c r="G198" s="2067">
        <f t="shared" si="41"/>
        <v>0</v>
      </c>
      <c r="H198" s="1101"/>
      <c r="I198" s="964"/>
      <c r="J198" s="723"/>
      <c r="K198" s="723"/>
      <c r="L198" s="723"/>
      <c r="M198" s="723"/>
      <c r="N198" s="723"/>
      <c r="O198" s="723"/>
    </row>
    <row r="199" spans="2:15" ht="25.5" x14ac:dyDescent="0.2">
      <c r="B199" s="2061"/>
      <c r="C199" s="2410" t="s">
        <v>197</v>
      </c>
      <c r="D199" s="2068" t="s">
        <v>149</v>
      </c>
      <c r="E199" s="2069">
        <v>7</v>
      </c>
      <c r="F199" s="2066">
        <v>0</v>
      </c>
      <c r="G199" s="2067">
        <f t="shared" si="41"/>
        <v>0</v>
      </c>
      <c r="H199" s="1101"/>
      <c r="I199" s="964"/>
      <c r="J199" s="723"/>
      <c r="K199" s="723"/>
      <c r="L199" s="723"/>
      <c r="M199" s="723"/>
      <c r="N199" s="723"/>
      <c r="O199" s="723"/>
    </row>
    <row r="200" spans="2:15" ht="25.5" x14ac:dyDescent="0.2">
      <c r="B200" s="2061"/>
      <c r="C200" s="2411" t="s">
        <v>1196</v>
      </c>
      <c r="D200" s="2068" t="s">
        <v>149</v>
      </c>
      <c r="E200" s="2069">
        <v>7</v>
      </c>
      <c r="F200" s="2066">
        <v>0</v>
      </c>
      <c r="G200" s="2067">
        <f t="shared" si="41"/>
        <v>0</v>
      </c>
      <c r="H200" s="1101"/>
      <c r="I200" s="964"/>
      <c r="J200" s="723"/>
      <c r="K200" s="723"/>
      <c r="L200" s="723"/>
      <c r="M200" s="723"/>
      <c r="N200" s="723"/>
      <c r="O200" s="723"/>
    </row>
    <row r="201" spans="2:15" x14ac:dyDescent="0.2">
      <c r="B201" s="950"/>
      <c r="C201" s="955"/>
      <c r="D201" s="956"/>
      <c r="E201" s="957"/>
      <c r="F201" s="958"/>
      <c r="G201" s="958"/>
      <c r="H201" s="1101"/>
      <c r="I201" s="964"/>
      <c r="J201" s="723"/>
      <c r="K201" s="723"/>
      <c r="L201" s="723"/>
      <c r="M201" s="723"/>
      <c r="N201" s="723"/>
      <c r="O201" s="723"/>
    </row>
    <row r="202" spans="2:15" x14ac:dyDescent="0.2">
      <c r="B202" s="2061" t="s">
        <v>1270</v>
      </c>
      <c r="C202" s="2412" t="s">
        <v>1678</v>
      </c>
      <c r="D202" s="2419"/>
      <c r="E202" s="2420"/>
      <c r="F202" s="2421"/>
      <c r="G202" s="2421"/>
      <c r="H202" s="1101"/>
      <c r="I202" s="964"/>
      <c r="J202" s="723"/>
      <c r="K202" s="723"/>
      <c r="L202" s="723"/>
      <c r="M202" s="723"/>
      <c r="N202" s="723"/>
      <c r="O202" s="723"/>
    </row>
    <row r="203" spans="2:15" ht="25.5" x14ac:dyDescent="0.2">
      <c r="B203" s="2061"/>
      <c r="C203" s="2408" t="s">
        <v>1679</v>
      </c>
      <c r="D203" s="2068" t="s">
        <v>149</v>
      </c>
      <c r="E203" s="2069">
        <v>1</v>
      </c>
      <c r="F203" s="2066">
        <v>0</v>
      </c>
      <c r="G203" s="2067">
        <f t="shared" ref="G203:G209" si="42">E203*F203</f>
        <v>0</v>
      </c>
      <c r="H203" s="1101"/>
      <c r="I203" s="964"/>
      <c r="J203" s="723"/>
      <c r="K203" s="723"/>
      <c r="L203" s="723"/>
      <c r="M203" s="723"/>
      <c r="N203" s="723"/>
      <c r="O203" s="723"/>
    </row>
    <row r="204" spans="2:15" ht="25.5" x14ac:dyDescent="0.2">
      <c r="B204" s="2061"/>
      <c r="C204" s="2410" t="s">
        <v>239</v>
      </c>
      <c r="D204" s="2068" t="s">
        <v>149</v>
      </c>
      <c r="E204" s="2069">
        <v>3</v>
      </c>
      <c r="F204" s="2066">
        <v>0</v>
      </c>
      <c r="G204" s="2067">
        <f t="shared" si="42"/>
        <v>0</v>
      </c>
      <c r="H204" s="1101"/>
      <c r="I204" s="964"/>
      <c r="J204" s="723"/>
      <c r="K204" s="723"/>
      <c r="L204" s="723"/>
      <c r="M204" s="723"/>
      <c r="N204" s="723"/>
      <c r="O204" s="723"/>
    </row>
    <row r="205" spans="2:15" ht="25.5" x14ac:dyDescent="0.2">
      <c r="B205" s="2061"/>
      <c r="C205" s="2410" t="s">
        <v>1267</v>
      </c>
      <c r="D205" s="2068" t="s">
        <v>149</v>
      </c>
      <c r="E205" s="2069">
        <v>3</v>
      </c>
      <c r="F205" s="2066">
        <v>0</v>
      </c>
      <c r="G205" s="2067">
        <f t="shared" si="42"/>
        <v>0</v>
      </c>
      <c r="H205" s="1101"/>
      <c r="I205" s="964"/>
      <c r="J205" s="723"/>
      <c r="K205" s="723"/>
      <c r="L205" s="723"/>
      <c r="M205" s="723"/>
      <c r="N205" s="723"/>
      <c r="O205" s="723"/>
    </row>
    <row r="206" spans="2:15" x14ac:dyDescent="0.2">
      <c r="B206" s="2061"/>
      <c r="C206" s="2410" t="s">
        <v>1268</v>
      </c>
      <c r="D206" s="2068" t="s">
        <v>149</v>
      </c>
      <c r="E206" s="2069">
        <v>3</v>
      </c>
      <c r="F206" s="2066">
        <v>0</v>
      </c>
      <c r="G206" s="2067">
        <f t="shared" si="42"/>
        <v>0</v>
      </c>
      <c r="H206" s="1101"/>
      <c r="I206" s="964"/>
      <c r="J206" s="723"/>
      <c r="K206" s="723"/>
      <c r="L206" s="723"/>
      <c r="M206" s="723"/>
      <c r="N206" s="723"/>
      <c r="O206" s="723"/>
    </row>
    <row r="207" spans="2:15" ht="25.5" x14ac:dyDescent="0.2">
      <c r="B207" s="2061"/>
      <c r="C207" s="2410" t="s">
        <v>1269</v>
      </c>
      <c r="D207" s="2068" t="s">
        <v>149</v>
      </c>
      <c r="E207" s="2069">
        <v>3</v>
      </c>
      <c r="F207" s="2066">
        <v>0</v>
      </c>
      <c r="G207" s="2067">
        <f t="shared" si="42"/>
        <v>0</v>
      </c>
      <c r="H207" s="1101"/>
      <c r="I207" s="964"/>
      <c r="J207" s="723"/>
      <c r="K207" s="723"/>
      <c r="L207" s="723"/>
      <c r="M207" s="723"/>
      <c r="N207" s="723"/>
      <c r="O207" s="723"/>
    </row>
    <row r="208" spans="2:15" ht="25.5" x14ac:dyDescent="0.2">
      <c r="B208" s="2061"/>
      <c r="C208" s="2410" t="s">
        <v>227</v>
      </c>
      <c r="D208" s="2068" t="s">
        <v>149</v>
      </c>
      <c r="E208" s="2069">
        <v>1</v>
      </c>
      <c r="F208" s="2066">
        <v>0</v>
      </c>
      <c r="G208" s="2067">
        <f t="shared" si="42"/>
        <v>0</v>
      </c>
      <c r="H208" s="1101"/>
      <c r="I208" s="964"/>
      <c r="J208" s="723"/>
      <c r="K208" s="723"/>
      <c r="L208" s="723"/>
      <c r="M208" s="723"/>
      <c r="N208" s="723"/>
      <c r="O208" s="723"/>
    </row>
    <row r="209" spans="2:15" ht="25.5" x14ac:dyDescent="0.2">
      <c r="B209" s="2061"/>
      <c r="C209" s="2411" t="s">
        <v>1196</v>
      </c>
      <c r="D209" s="2068" t="s">
        <v>149</v>
      </c>
      <c r="E209" s="2069">
        <v>1</v>
      </c>
      <c r="F209" s="2066">
        <v>0</v>
      </c>
      <c r="G209" s="2067">
        <f t="shared" si="42"/>
        <v>0</v>
      </c>
      <c r="H209" s="1101"/>
      <c r="I209" s="964"/>
      <c r="J209" s="723"/>
      <c r="K209" s="723"/>
      <c r="L209" s="723"/>
      <c r="M209" s="723"/>
      <c r="N209" s="723"/>
      <c r="O209" s="723"/>
    </row>
    <row r="210" spans="2:15" x14ac:dyDescent="0.2">
      <c r="B210" s="950"/>
      <c r="C210" s="955"/>
      <c r="D210" s="956"/>
      <c r="E210" s="957"/>
      <c r="F210" s="958"/>
      <c r="G210" s="958"/>
      <c r="H210" s="1101"/>
      <c r="I210" s="964"/>
      <c r="J210" s="723"/>
      <c r="K210" s="723"/>
      <c r="L210" s="723"/>
      <c r="M210" s="723"/>
      <c r="N210" s="723"/>
      <c r="O210" s="723"/>
    </row>
    <row r="211" spans="2:15" x14ac:dyDescent="0.2">
      <c r="B211" s="2061" t="s">
        <v>1275</v>
      </c>
      <c r="C211" s="2412" t="s">
        <v>1387</v>
      </c>
      <c r="D211" s="2419"/>
      <c r="E211" s="2420"/>
      <c r="F211" s="2421"/>
      <c r="G211" s="2421"/>
      <c r="H211" s="1101"/>
      <c r="I211" s="964"/>
      <c r="J211" s="723"/>
      <c r="K211" s="723"/>
      <c r="L211" s="723"/>
      <c r="M211" s="723"/>
      <c r="N211" s="723"/>
      <c r="O211" s="723"/>
    </row>
    <row r="212" spans="2:15" ht="42.75" customHeight="1" x14ac:dyDescent="0.2">
      <c r="B212" s="2061"/>
      <c r="C212" s="2409" t="s">
        <v>1388</v>
      </c>
      <c r="D212" s="2068" t="s">
        <v>149</v>
      </c>
      <c r="E212" s="2069">
        <v>3</v>
      </c>
      <c r="F212" s="2066">
        <v>0</v>
      </c>
      <c r="G212" s="2067">
        <f t="shared" ref="G212:G214" si="43">E212*F212</f>
        <v>0</v>
      </c>
      <c r="H212" s="1101"/>
      <c r="I212" s="964"/>
      <c r="J212" s="723"/>
      <c r="K212" s="723"/>
      <c r="L212" s="723"/>
      <c r="M212" s="723"/>
      <c r="N212" s="723"/>
      <c r="O212" s="723"/>
    </row>
    <row r="213" spans="2:15" ht="25.5" x14ac:dyDescent="0.2">
      <c r="B213" s="2061"/>
      <c r="C213" s="2410" t="s">
        <v>203</v>
      </c>
      <c r="D213" s="2068" t="s">
        <v>149</v>
      </c>
      <c r="E213" s="2069">
        <v>3</v>
      </c>
      <c r="F213" s="2066">
        <v>0</v>
      </c>
      <c r="G213" s="2067">
        <f t="shared" si="43"/>
        <v>0</v>
      </c>
      <c r="H213" s="1101"/>
      <c r="I213" s="964"/>
      <c r="J213" s="723"/>
      <c r="K213" s="723"/>
      <c r="L213" s="723"/>
      <c r="M213" s="723"/>
      <c r="N213" s="723"/>
      <c r="O213" s="723"/>
    </row>
    <row r="214" spans="2:15" ht="25.5" x14ac:dyDescent="0.2">
      <c r="B214" s="2061"/>
      <c r="C214" s="2411" t="s">
        <v>1196</v>
      </c>
      <c r="D214" s="2068" t="s">
        <v>149</v>
      </c>
      <c r="E214" s="2069">
        <v>3</v>
      </c>
      <c r="F214" s="2066">
        <v>0</v>
      </c>
      <c r="G214" s="2067">
        <f t="shared" si="43"/>
        <v>0</v>
      </c>
      <c r="H214" s="1101"/>
      <c r="I214" s="964"/>
      <c r="J214" s="723"/>
      <c r="K214" s="723"/>
      <c r="L214" s="723"/>
      <c r="M214" s="723"/>
      <c r="N214" s="723"/>
      <c r="O214" s="723"/>
    </row>
    <row r="215" spans="2:15" x14ac:dyDescent="0.2">
      <c r="B215" s="950"/>
      <c r="C215" s="955"/>
      <c r="D215" s="956"/>
      <c r="E215" s="957"/>
      <c r="F215" s="958"/>
      <c r="G215" s="958"/>
      <c r="H215" s="1101"/>
      <c r="I215" s="964"/>
      <c r="J215" s="723"/>
      <c r="K215" s="723"/>
      <c r="L215" s="723"/>
      <c r="M215" s="723"/>
      <c r="N215" s="723"/>
      <c r="O215" s="723"/>
    </row>
    <row r="216" spans="2:15" ht="30" customHeight="1" x14ac:dyDescent="0.2">
      <c r="B216" s="2061" t="s">
        <v>1303</v>
      </c>
      <c r="C216" s="2412" t="s">
        <v>1300</v>
      </c>
      <c r="D216" s="2419"/>
      <c r="E216" s="2420"/>
      <c r="F216" s="2421"/>
      <c r="G216" s="2421"/>
      <c r="H216" s="1101"/>
      <c r="I216" s="964"/>
      <c r="J216" s="723"/>
      <c r="K216" s="723"/>
      <c r="L216" s="723"/>
      <c r="M216" s="723"/>
      <c r="N216" s="723"/>
      <c r="O216" s="723"/>
    </row>
    <row r="217" spans="2:15" x14ac:dyDescent="0.2">
      <c r="B217" s="2061"/>
      <c r="C217" s="2408" t="s">
        <v>207</v>
      </c>
      <c r="D217" s="2068" t="s">
        <v>149</v>
      </c>
      <c r="E217" s="2069">
        <v>4</v>
      </c>
      <c r="F217" s="2066">
        <v>0</v>
      </c>
      <c r="G217" s="2067">
        <f t="shared" ref="G217:G227" si="44">E217*F217</f>
        <v>0</v>
      </c>
      <c r="H217" s="1101"/>
      <c r="I217" s="964"/>
      <c r="J217" s="723"/>
      <c r="K217" s="723"/>
      <c r="L217" s="723"/>
      <c r="M217" s="723"/>
      <c r="N217" s="723"/>
      <c r="O217" s="723"/>
    </row>
    <row r="218" spans="2:15" ht="38.25" x14ac:dyDescent="0.2">
      <c r="B218" s="2061"/>
      <c r="C218" s="2409" t="s">
        <v>223</v>
      </c>
      <c r="D218" s="2068" t="s">
        <v>149</v>
      </c>
      <c r="E218" s="2069">
        <v>4</v>
      </c>
      <c r="F218" s="2066">
        <v>0</v>
      </c>
      <c r="G218" s="2067">
        <f t="shared" si="44"/>
        <v>0</v>
      </c>
      <c r="H218" s="1101"/>
      <c r="I218" s="964"/>
      <c r="J218" s="723"/>
      <c r="K218" s="723"/>
      <c r="L218" s="723"/>
      <c r="M218" s="723"/>
      <c r="N218" s="723"/>
      <c r="O218" s="723"/>
    </row>
    <row r="219" spans="2:15" ht="25.5" x14ac:dyDescent="0.2">
      <c r="B219" s="2061"/>
      <c r="C219" s="2409" t="s">
        <v>213</v>
      </c>
      <c r="D219" s="2068" t="s">
        <v>149</v>
      </c>
      <c r="E219" s="2069">
        <v>4</v>
      </c>
      <c r="F219" s="2066">
        <v>0</v>
      </c>
      <c r="G219" s="2067">
        <f t="shared" si="44"/>
        <v>0</v>
      </c>
      <c r="H219" s="1101"/>
      <c r="I219" s="964"/>
      <c r="J219" s="723"/>
      <c r="K219" s="723"/>
      <c r="L219" s="723"/>
      <c r="M219" s="723"/>
      <c r="N219" s="723"/>
      <c r="O219" s="723"/>
    </row>
    <row r="220" spans="2:15" x14ac:dyDescent="0.2">
      <c r="B220" s="2061"/>
      <c r="C220" s="2409" t="s">
        <v>224</v>
      </c>
      <c r="D220" s="2068" t="s">
        <v>149</v>
      </c>
      <c r="E220" s="2069">
        <v>4</v>
      </c>
      <c r="F220" s="2066">
        <v>0</v>
      </c>
      <c r="G220" s="2067">
        <f t="shared" si="44"/>
        <v>0</v>
      </c>
      <c r="H220" s="1101"/>
      <c r="I220" s="964"/>
      <c r="J220" s="723"/>
      <c r="K220" s="723"/>
      <c r="L220" s="723"/>
      <c r="M220" s="723"/>
      <c r="N220" s="723"/>
      <c r="O220" s="723"/>
    </row>
    <row r="221" spans="2:15" x14ac:dyDescent="0.2">
      <c r="B221" s="2061"/>
      <c r="C221" s="2409" t="s">
        <v>225</v>
      </c>
      <c r="D221" s="2068" t="s">
        <v>149</v>
      </c>
      <c r="E221" s="2069">
        <v>4</v>
      </c>
      <c r="F221" s="2066">
        <v>0</v>
      </c>
      <c r="G221" s="2067">
        <f t="shared" si="44"/>
        <v>0</v>
      </c>
      <c r="H221" s="1101"/>
      <c r="I221" s="964"/>
      <c r="J221" s="723"/>
      <c r="K221" s="723"/>
      <c r="L221" s="723"/>
      <c r="M221" s="723"/>
      <c r="N221" s="723"/>
      <c r="O221" s="723"/>
    </row>
    <row r="222" spans="2:15" x14ac:dyDescent="0.2">
      <c r="B222" s="2061"/>
      <c r="C222" s="2410" t="s">
        <v>226</v>
      </c>
      <c r="D222" s="2068" t="s">
        <v>149</v>
      </c>
      <c r="E222" s="2069">
        <v>4</v>
      </c>
      <c r="F222" s="2066">
        <v>0</v>
      </c>
      <c r="G222" s="2067">
        <f t="shared" si="44"/>
        <v>0</v>
      </c>
      <c r="H222" s="1101"/>
      <c r="I222" s="964"/>
      <c r="J222" s="723"/>
      <c r="K222" s="723"/>
      <c r="L222" s="723"/>
      <c r="M222" s="723"/>
      <c r="N222" s="723"/>
      <c r="O222" s="723"/>
    </row>
    <row r="223" spans="2:15" x14ac:dyDescent="0.2">
      <c r="B223" s="2061"/>
      <c r="C223" s="2410" t="s">
        <v>217</v>
      </c>
      <c r="D223" s="2068" t="s">
        <v>149</v>
      </c>
      <c r="E223" s="2069">
        <v>4</v>
      </c>
      <c r="F223" s="2066">
        <v>0</v>
      </c>
      <c r="G223" s="2067">
        <f t="shared" si="44"/>
        <v>0</v>
      </c>
      <c r="H223" s="1101"/>
      <c r="I223" s="964"/>
      <c r="J223" s="723"/>
      <c r="K223" s="723"/>
      <c r="L223" s="723"/>
      <c r="M223" s="723"/>
      <c r="N223" s="723"/>
      <c r="O223" s="723"/>
    </row>
    <row r="224" spans="2:15" ht="25.5" x14ac:dyDescent="0.2">
      <c r="B224" s="2061"/>
      <c r="C224" s="2410" t="s">
        <v>235</v>
      </c>
      <c r="D224" s="2068" t="s">
        <v>149</v>
      </c>
      <c r="E224" s="2069">
        <v>8</v>
      </c>
      <c r="F224" s="2066">
        <v>0</v>
      </c>
      <c r="G224" s="2067">
        <f t="shared" si="44"/>
        <v>0</v>
      </c>
      <c r="H224" s="1101"/>
      <c r="I224" s="964"/>
      <c r="J224" s="723"/>
      <c r="K224" s="723"/>
      <c r="L224" s="723"/>
      <c r="M224" s="723"/>
      <c r="N224" s="723"/>
      <c r="O224" s="723"/>
    </row>
    <row r="225" spans="2:15" ht="25.5" x14ac:dyDescent="0.2">
      <c r="B225" s="2061"/>
      <c r="C225" s="2410" t="s">
        <v>1294</v>
      </c>
      <c r="D225" s="2068" t="s">
        <v>149</v>
      </c>
      <c r="E225" s="2069">
        <v>8</v>
      </c>
      <c r="F225" s="2066">
        <v>0</v>
      </c>
      <c r="G225" s="2067">
        <f t="shared" si="44"/>
        <v>0</v>
      </c>
      <c r="H225" s="1101"/>
      <c r="I225" s="964"/>
      <c r="J225" s="723"/>
      <c r="K225" s="723"/>
      <c r="L225" s="723"/>
      <c r="M225" s="723"/>
      <c r="N225" s="723"/>
      <c r="O225" s="723"/>
    </row>
    <row r="226" spans="2:15" ht="25.5" x14ac:dyDescent="0.2">
      <c r="B226" s="2061"/>
      <c r="C226" s="2410" t="s">
        <v>227</v>
      </c>
      <c r="D226" s="2068" t="s">
        <v>149</v>
      </c>
      <c r="E226" s="2069">
        <v>4</v>
      </c>
      <c r="F226" s="2066">
        <v>0</v>
      </c>
      <c r="G226" s="2067">
        <f t="shared" si="44"/>
        <v>0</v>
      </c>
      <c r="H226" s="1101"/>
      <c r="I226" s="964"/>
      <c r="J226" s="723"/>
      <c r="K226" s="723"/>
      <c r="L226" s="723"/>
      <c r="M226" s="723"/>
      <c r="N226" s="723"/>
      <c r="O226" s="723"/>
    </row>
    <row r="227" spans="2:15" ht="25.5" x14ac:dyDescent="0.2">
      <c r="B227" s="2061"/>
      <c r="C227" s="2411" t="s">
        <v>1196</v>
      </c>
      <c r="D227" s="2068" t="s">
        <v>149</v>
      </c>
      <c r="E227" s="2069">
        <v>4</v>
      </c>
      <c r="F227" s="2066">
        <v>0</v>
      </c>
      <c r="G227" s="2067">
        <f t="shared" si="44"/>
        <v>0</v>
      </c>
      <c r="H227" s="1101"/>
      <c r="I227" s="964"/>
      <c r="J227" s="723"/>
      <c r="K227" s="723"/>
      <c r="L227" s="723"/>
      <c r="M227" s="723"/>
      <c r="N227" s="723"/>
      <c r="O227" s="723"/>
    </row>
    <row r="228" spans="2:15" x14ac:dyDescent="0.2">
      <c r="B228" s="950"/>
      <c r="C228" s="955"/>
      <c r="D228" s="956"/>
      <c r="E228" s="957"/>
      <c r="F228" s="958"/>
      <c r="G228" s="958"/>
      <c r="H228" s="1101"/>
      <c r="I228" s="964"/>
      <c r="J228" s="723"/>
      <c r="K228" s="723"/>
      <c r="L228" s="723"/>
      <c r="M228" s="723"/>
      <c r="N228" s="723"/>
      <c r="O228" s="723"/>
    </row>
    <row r="229" spans="2:15" x14ac:dyDescent="0.2">
      <c r="B229" s="2061" t="s">
        <v>1305</v>
      </c>
      <c r="C229" s="2412" t="s">
        <v>1301</v>
      </c>
      <c r="D229" s="2419"/>
      <c r="E229" s="2420"/>
      <c r="F229" s="2421"/>
      <c r="G229" s="2421"/>
      <c r="H229" s="1101"/>
      <c r="I229" s="964"/>
      <c r="J229" s="723"/>
      <c r="K229" s="723"/>
      <c r="L229" s="723"/>
      <c r="M229" s="723"/>
      <c r="N229" s="723"/>
      <c r="O229" s="723"/>
    </row>
    <row r="230" spans="2:15" ht="25.5" x14ac:dyDescent="0.2">
      <c r="B230" s="2061"/>
      <c r="C230" s="2410" t="s">
        <v>1294</v>
      </c>
      <c r="D230" s="2068" t="s">
        <v>149</v>
      </c>
      <c r="E230" s="2069">
        <v>3</v>
      </c>
      <c r="F230" s="2066">
        <v>0</v>
      </c>
      <c r="G230" s="2067">
        <f t="shared" ref="G230:G232" si="45">E230*F230</f>
        <v>0</v>
      </c>
      <c r="H230" s="1101"/>
      <c r="I230" s="964"/>
      <c r="J230" s="723"/>
      <c r="K230" s="723"/>
      <c r="L230" s="723"/>
      <c r="M230" s="723"/>
      <c r="N230" s="723"/>
      <c r="O230" s="723"/>
    </row>
    <row r="231" spans="2:15" ht="25.5" x14ac:dyDescent="0.2">
      <c r="B231" s="2061"/>
      <c r="C231" s="2410" t="s">
        <v>1302</v>
      </c>
      <c r="D231" s="2068" t="s">
        <v>149</v>
      </c>
      <c r="E231" s="2069">
        <v>3</v>
      </c>
      <c r="F231" s="2066">
        <v>0</v>
      </c>
      <c r="G231" s="2067">
        <f t="shared" si="45"/>
        <v>0</v>
      </c>
      <c r="H231" s="1101"/>
      <c r="I231" s="964"/>
      <c r="J231" s="723"/>
      <c r="K231" s="723"/>
      <c r="L231" s="723"/>
      <c r="M231" s="723"/>
      <c r="N231" s="723"/>
      <c r="O231" s="723"/>
    </row>
    <row r="232" spans="2:15" ht="25.5" x14ac:dyDescent="0.2">
      <c r="B232" s="2061"/>
      <c r="C232" s="2410" t="s">
        <v>1269</v>
      </c>
      <c r="D232" s="2068" t="s">
        <v>149</v>
      </c>
      <c r="E232" s="2069">
        <v>3</v>
      </c>
      <c r="F232" s="2066">
        <v>0</v>
      </c>
      <c r="G232" s="2067">
        <f t="shared" si="45"/>
        <v>0</v>
      </c>
      <c r="H232" s="1101"/>
      <c r="I232" s="964"/>
      <c r="J232" s="723"/>
      <c r="K232" s="723"/>
      <c r="L232" s="723"/>
      <c r="M232" s="723"/>
      <c r="N232" s="723"/>
      <c r="O232" s="723"/>
    </row>
    <row r="233" spans="2:15" x14ac:dyDescent="0.2">
      <c r="B233" s="950"/>
      <c r="C233" s="959"/>
      <c r="D233" s="960"/>
      <c r="E233" s="961"/>
      <c r="F233" s="958"/>
      <c r="G233" s="958"/>
      <c r="H233" s="1101"/>
      <c r="I233" s="964"/>
      <c r="J233" s="723"/>
      <c r="K233" s="723"/>
      <c r="L233" s="723"/>
      <c r="M233" s="723"/>
      <c r="N233" s="723"/>
      <c r="O233" s="723"/>
    </row>
    <row r="234" spans="2:15" x14ac:dyDescent="0.2">
      <c r="B234" s="950"/>
      <c r="C234" s="959"/>
      <c r="D234" s="960"/>
      <c r="E234" s="961"/>
      <c r="F234" s="958"/>
      <c r="G234" s="958"/>
      <c r="H234" s="1101"/>
      <c r="I234" s="964"/>
      <c r="J234" s="723"/>
      <c r="K234" s="723"/>
      <c r="L234" s="723"/>
      <c r="M234" s="723"/>
      <c r="N234" s="723"/>
      <c r="O234" s="723"/>
    </row>
    <row r="235" spans="2:15" ht="38.25" x14ac:dyDescent="0.2">
      <c r="B235" s="950" t="s">
        <v>1308</v>
      </c>
      <c r="C235" s="959" t="s">
        <v>229</v>
      </c>
      <c r="D235" s="1091" t="s">
        <v>149</v>
      </c>
      <c r="E235" s="1092">
        <v>6</v>
      </c>
      <c r="F235" s="2010">
        <v>0</v>
      </c>
      <c r="G235" s="976">
        <f>E235*F235</f>
        <v>0</v>
      </c>
      <c r="H235" s="1101"/>
      <c r="I235" s="964"/>
      <c r="J235" s="723"/>
      <c r="K235" s="723"/>
      <c r="L235" s="723"/>
      <c r="M235" s="723"/>
      <c r="N235" s="723"/>
      <c r="O235" s="723"/>
    </row>
    <row r="236" spans="2:15" x14ac:dyDescent="0.2">
      <c r="B236" s="950"/>
      <c r="C236" s="959"/>
      <c r="D236" s="960"/>
      <c r="E236" s="961"/>
      <c r="F236" s="958"/>
      <c r="G236" s="958"/>
      <c r="H236" s="1101"/>
      <c r="I236" s="964"/>
      <c r="J236" s="723"/>
      <c r="K236" s="723"/>
      <c r="L236" s="723"/>
      <c r="M236" s="723"/>
      <c r="N236" s="723"/>
      <c r="O236" s="723"/>
    </row>
    <row r="237" spans="2:15" x14ac:dyDescent="0.2">
      <c r="B237" s="950" t="s">
        <v>1395</v>
      </c>
      <c r="C237" s="2413" t="s">
        <v>1680</v>
      </c>
      <c r="D237" s="960"/>
      <c r="E237" s="961"/>
      <c r="F237" s="958"/>
      <c r="G237" s="958"/>
      <c r="H237" s="1101"/>
      <c r="I237" s="964"/>
      <c r="J237" s="723"/>
      <c r="K237" s="723"/>
      <c r="L237" s="723"/>
      <c r="M237" s="723"/>
      <c r="N237" s="723"/>
      <c r="O237" s="723"/>
    </row>
    <row r="238" spans="2:15" s="136" customFormat="1" x14ac:dyDescent="0.2">
      <c r="B238" s="135"/>
      <c r="C238" s="267" t="s">
        <v>256</v>
      </c>
      <c r="D238" s="231" t="s">
        <v>149</v>
      </c>
      <c r="E238" s="265">
        <v>4</v>
      </c>
      <c r="F238" s="2433">
        <v>0</v>
      </c>
      <c r="G238" s="2434">
        <f t="shared" ref="G238:G263" si="46">E238*F238</f>
        <v>0</v>
      </c>
      <c r="H238" s="2426"/>
    </row>
    <row r="239" spans="2:15" s="136" customFormat="1" ht="24" x14ac:dyDescent="0.2">
      <c r="B239" s="135"/>
      <c r="C239" s="267" t="s">
        <v>208</v>
      </c>
      <c r="D239" s="231" t="s">
        <v>149</v>
      </c>
      <c r="E239" s="265">
        <v>2</v>
      </c>
      <c r="F239" s="2433">
        <v>0</v>
      </c>
      <c r="G239" s="2434">
        <f t="shared" si="46"/>
        <v>0</v>
      </c>
      <c r="H239" s="2426"/>
    </row>
    <row r="240" spans="2:15" s="136" customFormat="1" ht="15.75" customHeight="1" x14ac:dyDescent="0.2">
      <c r="B240" s="135"/>
      <c r="C240" s="267" t="s">
        <v>257</v>
      </c>
      <c r="D240" s="231" t="s">
        <v>149</v>
      </c>
      <c r="E240" s="265">
        <v>2</v>
      </c>
      <c r="F240" s="2433">
        <v>0</v>
      </c>
      <c r="G240" s="2434">
        <f t="shared" si="46"/>
        <v>0</v>
      </c>
      <c r="H240" s="2426"/>
    </row>
    <row r="241" spans="2:8" s="136" customFormat="1" ht="25.5" customHeight="1" x14ac:dyDescent="0.2">
      <c r="B241" s="135"/>
      <c r="C241" s="267" t="s">
        <v>273</v>
      </c>
      <c r="D241" s="231" t="s">
        <v>149</v>
      </c>
      <c r="E241" s="265">
        <v>2</v>
      </c>
      <c r="F241" s="2433">
        <v>0</v>
      </c>
      <c r="G241" s="2434">
        <f t="shared" si="46"/>
        <v>0</v>
      </c>
      <c r="H241" s="2426"/>
    </row>
    <row r="242" spans="2:8" s="136" customFormat="1" ht="27" customHeight="1" x14ac:dyDescent="0.2">
      <c r="B242" s="135"/>
      <c r="C242" s="267" t="s">
        <v>274</v>
      </c>
      <c r="D242" s="231" t="s">
        <v>149</v>
      </c>
      <c r="E242" s="265">
        <v>2</v>
      </c>
      <c r="F242" s="2433">
        <v>0</v>
      </c>
      <c r="G242" s="2434">
        <f t="shared" si="46"/>
        <v>0</v>
      </c>
      <c r="H242" s="2426"/>
    </row>
    <row r="243" spans="2:8" s="136" customFormat="1" ht="28.5" customHeight="1" x14ac:dyDescent="0.2">
      <c r="B243" s="135"/>
      <c r="C243" s="267" t="s">
        <v>275</v>
      </c>
      <c r="D243" s="231" t="s">
        <v>149</v>
      </c>
      <c r="E243" s="265">
        <v>1</v>
      </c>
      <c r="F243" s="2433">
        <v>0</v>
      </c>
      <c r="G243" s="2434">
        <f t="shared" si="46"/>
        <v>0</v>
      </c>
      <c r="H243" s="2426"/>
    </row>
    <row r="244" spans="2:8" s="136" customFormat="1" ht="12" customHeight="1" x14ac:dyDescent="0.2">
      <c r="B244" s="135"/>
      <c r="C244" s="268" t="s">
        <v>276</v>
      </c>
      <c r="D244" s="231" t="s">
        <v>149</v>
      </c>
      <c r="E244" s="265">
        <v>2</v>
      </c>
      <c r="F244" s="2433">
        <v>0</v>
      </c>
      <c r="G244" s="2434">
        <f t="shared" si="46"/>
        <v>0</v>
      </c>
      <c r="H244" s="2426"/>
    </row>
    <row r="245" spans="2:8" s="136" customFormat="1" ht="12.75" customHeight="1" x14ac:dyDescent="0.2">
      <c r="B245" s="135"/>
      <c r="C245" s="268" t="s">
        <v>277</v>
      </c>
      <c r="D245" s="231" t="s">
        <v>149</v>
      </c>
      <c r="E245" s="265">
        <v>1</v>
      </c>
      <c r="F245" s="2433">
        <v>0</v>
      </c>
      <c r="G245" s="2434">
        <f t="shared" si="46"/>
        <v>0</v>
      </c>
      <c r="H245" s="2426"/>
    </row>
    <row r="246" spans="2:8" s="136" customFormat="1" ht="12.75" customHeight="1" x14ac:dyDescent="0.2">
      <c r="B246" s="135"/>
      <c r="C246" s="268" t="s">
        <v>278</v>
      </c>
      <c r="D246" s="231" t="s">
        <v>149</v>
      </c>
      <c r="E246" s="265">
        <v>1</v>
      </c>
      <c r="F246" s="2433">
        <v>0</v>
      </c>
      <c r="G246" s="2434">
        <f t="shared" si="46"/>
        <v>0</v>
      </c>
      <c r="H246" s="2426"/>
    </row>
    <row r="247" spans="2:8" s="136" customFormat="1" x14ac:dyDescent="0.2">
      <c r="B247" s="135"/>
      <c r="C247" s="268" t="s">
        <v>262</v>
      </c>
      <c r="D247" s="231" t="s">
        <v>149</v>
      </c>
      <c r="E247" s="265">
        <v>1</v>
      </c>
      <c r="F247" s="2433">
        <v>0</v>
      </c>
      <c r="G247" s="2434">
        <f t="shared" si="46"/>
        <v>0</v>
      </c>
      <c r="H247" s="2426"/>
    </row>
    <row r="248" spans="2:8" s="136" customFormat="1" ht="30.75" customHeight="1" x14ac:dyDescent="0.2">
      <c r="B248" s="135"/>
      <c r="C248" s="268" t="s">
        <v>279</v>
      </c>
      <c r="D248" s="231" t="s">
        <v>149</v>
      </c>
      <c r="E248" s="265">
        <v>1</v>
      </c>
      <c r="F248" s="2433">
        <v>0</v>
      </c>
      <c r="G248" s="2434">
        <f t="shared" si="46"/>
        <v>0</v>
      </c>
      <c r="H248" s="2426"/>
    </row>
    <row r="249" spans="2:8" s="136" customFormat="1" ht="25.5" customHeight="1" x14ac:dyDescent="0.2">
      <c r="B249" s="135"/>
      <c r="C249" s="268" t="s">
        <v>280</v>
      </c>
      <c r="D249" s="231" t="s">
        <v>149</v>
      </c>
      <c r="E249" s="265">
        <v>1</v>
      </c>
      <c r="F249" s="2433">
        <v>0</v>
      </c>
      <c r="G249" s="2434">
        <f t="shared" si="46"/>
        <v>0</v>
      </c>
      <c r="H249" s="2426"/>
    </row>
    <row r="250" spans="2:8" s="136" customFormat="1" ht="29.25" customHeight="1" x14ac:dyDescent="0.2">
      <c r="B250" s="135"/>
      <c r="C250" s="268" t="s">
        <v>281</v>
      </c>
      <c r="D250" s="231" t="s">
        <v>149</v>
      </c>
      <c r="E250" s="265">
        <v>1</v>
      </c>
      <c r="F250" s="2433">
        <v>0</v>
      </c>
      <c r="G250" s="2434">
        <f t="shared" si="46"/>
        <v>0</v>
      </c>
      <c r="H250" s="2426"/>
    </row>
    <row r="251" spans="2:8" s="136" customFormat="1" ht="14.25" customHeight="1" x14ac:dyDescent="0.2">
      <c r="B251" s="135"/>
      <c r="C251" s="268" t="s">
        <v>282</v>
      </c>
      <c r="D251" s="231" t="s">
        <v>149</v>
      </c>
      <c r="E251" s="265">
        <v>1</v>
      </c>
      <c r="F251" s="2433">
        <v>0</v>
      </c>
      <c r="G251" s="2434">
        <f t="shared" si="46"/>
        <v>0</v>
      </c>
      <c r="H251" s="2426"/>
    </row>
    <row r="252" spans="2:8" s="136" customFormat="1" x14ac:dyDescent="0.2">
      <c r="B252" s="135"/>
      <c r="C252" s="2435" t="s">
        <v>283</v>
      </c>
      <c r="D252" s="231" t="s">
        <v>149</v>
      </c>
      <c r="E252" s="265">
        <v>2</v>
      </c>
      <c r="F252" s="2433">
        <v>0</v>
      </c>
      <c r="G252" s="2434">
        <f t="shared" si="46"/>
        <v>0</v>
      </c>
      <c r="H252" s="2426"/>
    </row>
    <row r="253" spans="2:8" s="136" customFormat="1" ht="58.5" customHeight="1" x14ac:dyDescent="0.2">
      <c r="B253" s="135"/>
      <c r="C253" s="2435" t="s">
        <v>284</v>
      </c>
      <c r="D253" s="231" t="s">
        <v>149</v>
      </c>
      <c r="E253" s="265">
        <v>1</v>
      </c>
      <c r="F253" s="2433">
        <v>0</v>
      </c>
      <c r="G253" s="2434">
        <f t="shared" si="46"/>
        <v>0</v>
      </c>
      <c r="H253" s="2426"/>
    </row>
    <row r="254" spans="2:8" s="136" customFormat="1" ht="38.25" customHeight="1" x14ac:dyDescent="0.2">
      <c r="B254" s="135"/>
      <c r="C254" s="268" t="s">
        <v>285</v>
      </c>
      <c r="D254" s="231" t="s">
        <v>149</v>
      </c>
      <c r="E254" s="265">
        <v>1</v>
      </c>
      <c r="F254" s="2433">
        <v>0</v>
      </c>
      <c r="G254" s="2434">
        <f t="shared" si="46"/>
        <v>0</v>
      </c>
      <c r="H254" s="2426"/>
    </row>
    <row r="255" spans="2:8" s="136" customFormat="1" x14ac:dyDescent="0.2">
      <c r="B255" s="135"/>
      <c r="C255" s="267" t="s">
        <v>191</v>
      </c>
      <c r="D255" s="231" t="s">
        <v>149</v>
      </c>
      <c r="E255" s="265">
        <v>2</v>
      </c>
      <c r="F255" s="2433">
        <v>0</v>
      </c>
      <c r="G255" s="2434">
        <f t="shared" si="46"/>
        <v>0</v>
      </c>
      <c r="H255" s="2426"/>
    </row>
    <row r="256" spans="2:8" s="136" customFormat="1" x14ac:dyDescent="0.2">
      <c r="B256" s="135"/>
      <c r="C256" s="268" t="s">
        <v>193</v>
      </c>
      <c r="D256" s="231" t="s">
        <v>149</v>
      </c>
      <c r="E256" s="265">
        <v>1</v>
      </c>
      <c r="F256" s="2433">
        <v>0</v>
      </c>
      <c r="G256" s="2434">
        <f t="shared" si="46"/>
        <v>0</v>
      </c>
      <c r="H256" s="2426"/>
    </row>
    <row r="257" spans="2:15" s="136" customFormat="1" x14ac:dyDescent="0.2">
      <c r="B257" s="135"/>
      <c r="C257" s="268" t="s">
        <v>194</v>
      </c>
      <c r="D257" s="231" t="s">
        <v>149</v>
      </c>
      <c r="E257" s="265">
        <v>1</v>
      </c>
      <c r="F257" s="2433">
        <v>0</v>
      </c>
      <c r="G257" s="2434">
        <f t="shared" si="46"/>
        <v>0</v>
      </c>
      <c r="H257" s="2426"/>
    </row>
    <row r="258" spans="2:15" s="136" customFormat="1" x14ac:dyDescent="0.2">
      <c r="B258" s="135"/>
      <c r="C258" s="267" t="s">
        <v>286</v>
      </c>
      <c r="D258" s="231" t="s">
        <v>149</v>
      </c>
      <c r="E258" s="265">
        <v>1</v>
      </c>
      <c r="F258" s="2433">
        <v>0</v>
      </c>
      <c r="G258" s="2434">
        <f t="shared" si="46"/>
        <v>0</v>
      </c>
      <c r="H258" s="2426"/>
    </row>
    <row r="259" spans="2:15" s="136" customFormat="1" ht="24" x14ac:dyDescent="0.2">
      <c r="B259" s="135"/>
      <c r="C259" s="2435" t="s">
        <v>195</v>
      </c>
      <c r="D259" s="231" t="s">
        <v>149</v>
      </c>
      <c r="E259" s="265">
        <v>6</v>
      </c>
      <c r="F259" s="2433">
        <v>0</v>
      </c>
      <c r="G259" s="2434">
        <f t="shared" si="46"/>
        <v>0</v>
      </c>
      <c r="H259" s="2426"/>
    </row>
    <row r="260" spans="2:15" s="136" customFormat="1" ht="24" x14ac:dyDescent="0.2">
      <c r="B260" s="135"/>
      <c r="C260" s="2435" t="s">
        <v>218</v>
      </c>
      <c r="D260" s="231" t="s">
        <v>149</v>
      </c>
      <c r="E260" s="265">
        <v>6</v>
      </c>
      <c r="F260" s="2433">
        <v>0</v>
      </c>
      <c r="G260" s="2434">
        <f t="shared" si="46"/>
        <v>0</v>
      </c>
      <c r="H260" s="2426"/>
    </row>
    <row r="261" spans="2:15" s="136" customFormat="1" ht="24" x14ac:dyDescent="0.2">
      <c r="B261" s="135"/>
      <c r="C261" s="2435" t="s">
        <v>227</v>
      </c>
      <c r="D261" s="231" t="s">
        <v>149</v>
      </c>
      <c r="E261" s="265">
        <v>2</v>
      </c>
      <c r="F261" s="2433">
        <v>0</v>
      </c>
      <c r="G261" s="2434">
        <f t="shared" si="46"/>
        <v>0</v>
      </c>
      <c r="H261" s="2426"/>
    </row>
    <row r="262" spans="2:15" s="136" customFormat="1" ht="24" x14ac:dyDescent="0.2">
      <c r="B262" s="135"/>
      <c r="C262" s="2435" t="s">
        <v>197</v>
      </c>
      <c r="D262" s="231" t="s">
        <v>149</v>
      </c>
      <c r="E262" s="265">
        <v>1</v>
      </c>
      <c r="F262" s="2433">
        <v>0</v>
      </c>
      <c r="G262" s="2434">
        <f t="shared" si="46"/>
        <v>0</v>
      </c>
      <c r="H262" s="2426"/>
    </row>
    <row r="263" spans="2:15" s="136" customFormat="1" ht="24" x14ac:dyDescent="0.2">
      <c r="B263" s="135"/>
      <c r="C263" s="2436" t="s">
        <v>198</v>
      </c>
      <c r="D263" s="231" t="s">
        <v>149</v>
      </c>
      <c r="E263" s="265">
        <v>1</v>
      </c>
      <c r="F263" s="2433">
        <v>0</v>
      </c>
      <c r="G263" s="2434">
        <f t="shared" si="46"/>
        <v>0</v>
      </c>
      <c r="H263" s="2426"/>
    </row>
    <row r="264" spans="2:15" x14ac:dyDescent="0.2">
      <c r="B264" s="950"/>
      <c r="C264" s="959"/>
      <c r="D264" s="960"/>
      <c r="E264" s="961"/>
      <c r="F264" s="958"/>
      <c r="G264" s="958"/>
      <c r="H264" s="1101"/>
      <c r="I264" s="964"/>
      <c r="J264" s="723"/>
      <c r="K264" s="723"/>
      <c r="L264" s="723"/>
      <c r="M264" s="723"/>
      <c r="N264" s="723"/>
      <c r="O264" s="723"/>
    </row>
    <row r="265" spans="2:15" s="723" customFormat="1" x14ac:dyDescent="0.2">
      <c r="B265" s="950" t="s">
        <v>1275</v>
      </c>
      <c r="C265" s="967" t="s">
        <v>244</v>
      </c>
      <c r="D265" s="967"/>
      <c r="E265" s="957"/>
      <c r="F265" s="958"/>
      <c r="G265" s="958"/>
      <c r="H265" s="953"/>
      <c r="I265" s="965"/>
      <c r="J265" s="748"/>
      <c r="K265" s="748"/>
    </row>
    <row r="266" spans="2:15" s="723" customFormat="1" x14ac:dyDescent="0.2">
      <c r="B266" s="950"/>
      <c r="C266" s="967" t="s">
        <v>828</v>
      </c>
      <c r="D266" s="960"/>
      <c r="E266" s="961"/>
      <c r="F266" s="968"/>
      <c r="G266" s="969"/>
      <c r="H266" s="953"/>
      <c r="I266" s="965"/>
      <c r="J266" s="748"/>
      <c r="K266" s="748"/>
    </row>
    <row r="267" spans="2:15" s="723" customFormat="1" ht="51" x14ac:dyDescent="0.2">
      <c r="B267" s="970"/>
      <c r="C267" s="959" t="s">
        <v>1276</v>
      </c>
      <c r="D267" s="960" t="s">
        <v>149</v>
      </c>
      <c r="E267" s="961">
        <v>10</v>
      </c>
      <c r="F267" s="971">
        <v>0</v>
      </c>
      <c r="G267" s="915">
        <f>E267*F267</f>
        <v>0</v>
      </c>
      <c r="H267" s="953"/>
      <c r="I267" s="965"/>
      <c r="J267" s="748"/>
      <c r="K267" s="748"/>
    </row>
    <row r="268" spans="2:15" s="723" customFormat="1" ht="25.5" x14ac:dyDescent="0.2">
      <c r="B268" s="950"/>
      <c r="C268" s="962" t="s">
        <v>247</v>
      </c>
      <c r="D268" s="960" t="s">
        <v>149</v>
      </c>
      <c r="E268" s="961">
        <v>10</v>
      </c>
      <c r="F268" s="971">
        <v>0</v>
      </c>
      <c r="G268" s="915">
        <f>E268*F268</f>
        <v>0</v>
      </c>
      <c r="H268" s="953"/>
      <c r="I268" s="965"/>
      <c r="J268" s="748"/>
      <c r="K268" s="748"/>
    </row>
    <row r="269" spans="2:15" s="723" customFormat="1" ht="25.5" x14ac:dyDescent="0.2">
      <c r="B269" s="950"/>
      <c r="C269" s="869" t="s">
        <v>1196</v>
      </c>
      <c r="D269" s="960" t="s">
        <v>149</v>
      </c>
      <c r="E269" s="961">
        <v>10</v>
      </c>
      <c r="F269" s="971">
        <v>0</v>
      </c>
      <c r="G269" s="915">
        <f>E269*F269</f>
        <v>0</v>
      </c>
      <c r="H269" s="953"/>
      <c r="I269" s="965"/>
      <c r="J269" s="748"/>
      <c r="K269" s="748"/>
    </row>
    <row r="270" spans="2:15" s="723" customFormat="1" ht="15" customHeight="1" x14ac:dyDescent="0.2">
      <c r="B270" s="950"/>
      <c r="C270" s="967" t="s">
        <v>849</v>
      </c>
      <c r="D270" s="960"/>
      <c r="E270" s="961"/>
      <c r="F270" s="971"/>
      <c r="G270" s="915"/>
      <c r="H270" s="953"/>
      <c r="I270" s="965"/>
      <c r="J270" s="748"/>
      <c r="K270" s="748"/>
    </row>
    <row r="271" spans="2:15" s="723" customFormat="1" ht="51" x14ac:dyDescent="0.2">
      <c r="B271" s="950"/>
      <c r="C271" s="959" t="s">
        <v>1428</v>
      </c>
      <c r="D271" s="960" t="s">
        <v>149</v>
      </c>
      <c r="E271" s="961">
        <v>10</v>
      </c>
      <c r="F271" s="971">
        <v>0</v>
      </c>
      <c r="G271" s="915">
        <f>E271*F271</f>
        <v>0</v>
      </c>
      <c r="H271" s="953"/>
      <c r="I271" s="965"/>
      <c r="J271" s="748"/>
      <c r="K271" s="748"/>
    </row>
    <row r="272" spans="2:15" s="723" customFormat="1" ht="25.5" x14ac:dyDescent="0.2">
      <c r="B272" s="950"/>
      <c r="C272" s="962" t="s">
        <v>247</v>
      </c>
      <c r="D272" s="960" t="s">
        <v>149</v>
      </c>
      <c r="E272" s="961">
        <v>10</v>
      </c>
      <c r="F272" s="971">
        <v>0</v>
      </c>
      <c r="G272" s="915">
        <f>E272*F272</f>
        <v>0</v>
      </c>
      <c r="H272" s="953"/>
      <c r="I272" s="965"/>
      <c r="J272" s="748"/>
      <c r="K272" s="748"/>
    </row>
    <row r="273" spans="2:11" s="723" customFormat="1" ht="25.5" x14ac:dyDescent="0.2">
      <c r="B273" s="950"/>
      <c r="C273" s="869" t="s">
        <v>1196</v>
      </c>
      <c r="D273" s="960" t="s">
        <v>149</v>
      </c>
      <c r="E273" s="961">
        <v>10</v>
      </c>
      <c r="F273" s="971">
        <v>0</v>
      </c>
      <c r="G273" s="915">
        <f>E273*F273</f>
        <v>0</v>
      </c>
      <c r="H273" s="953"/>
      <c r="I273" s="965"/>
      <c r="J273" s="748"/>
      <c r="K273" s="748"/>
    </row>
    <row r="274" spans="2:11" s="723" customFormat="1" x14ac:dyDescent="0.2">
      <c r="B274" s="950"/>
      <c r="C274" s="955"/>
      <c r="D274" s="956"/>
      <c r="E274" s="957"/>
      <c r="F274" s="958"/>
      <c r="G274" s="958"/>
      <c r="H274" s="953"/>
      <c r="I274" s="965"/>
      <c r="J274" s="748"/>
      <c r="K274" s="748"/>
    </row>
    <row r="275" spans="2:11" s="723" customFormat="1" x14ac:dyDescent="0.2">
      <c r="B275" s="970" t="s">
        <v>199</v>
      </c>
      <c r="C275" s="972" t="s">
        <v>300</v>
      </c>
      <c r="D275" s="973"/>
      <c r="E275" s="974"/>
      <c r="F275" s="975"/>
      <c r="G275" s="976"/>
      <c r="H275" s="953"/>
      <c r="I275" s="965"/>
      <c r="J275" s="748"/>
      <c r="K275" s="748"/>
    </row>
    <row r="276" spans="2:11" s="723" customFormat="1" ht="102" x14ac:dyDescent="0.2">
      <c r="B276" s="977"/>
      <c r="C276" s="954" t="s">
        <v>301</v>
      </c>
      <c r="D276" s="960" t="s">
        <v>149</v>
      </c>
      <c r="E276" s="961">
        <v>20</v>
      </c>
      <c r="F276" s="971">
        <v>0</v>
      </c>
      <c r="G276" s="915">
        <f>E276*F276</f>
        <v>0</v>
      </c>
      <c r="H276" s="953"/>
      <c r="I276" s="965"/>
      <c r="J276" s="748"/>
      <c r="K276" s="748"/>
    </row>
    <row r="277" spans="2:11" s="723" customFormat="1" x14ac:dyDescent="0.2">
      <c r="B277" s="978"/>
      <c r="C277" s="979"/>
      <c r="D277" s="980"/>
      <c r="E277" s="981"/>
      <c r="F277" s="982"/>
      <c r="G277" s="983"/>
      <c r="H277" s="744"/>
      <c r="J277" s="748"/>
    </row>
    <row r="278" spans="2:11" s="723" customFormat="1" x14ac:dyDescent="0.2">
      <c r="B278" s="984" t="s">
        <v>17</v>
      </c>
      <c r="C278" s="985" t="s">
        <v>302</v>
      </c>
      <c r="D278" s="986"/>
      <c r="E278" s="987"/>
      <c r="F278" s="988"/>
      <c r="G278" s="876">
        <f>SUM(G121:G276)</f>
        <v>0</v>
      </c>
      <c r="H278" s="744"/>
      <c r="J278" s="748"/>
    </row>
    <row r="279" spans="2:11" s="723" customFormat="1" x14ac:dyDescent="0.2">
      <c r="B279" s="908"/>
      <c r="C279" s="989"/>
      <c r="D279" s="908"/>
      <c r="E279" s="990"/>
      <c r="F279" s="910"/>
      <c r="G279" s="749"/>
      <c r="H279" s="744"/>
      <c r="J279" s="748"/>
    </row>
    <row r="280" spans="2:11" s="723" customFormat="1" x14ac:dyDescent="0.2">
      <c r="B280" s="739"/>
      <c r="C280" s="740"/>
      <c r="D280" s="741"/>
      <c r="E280" s="747"/>
      <c r="F280" s="748"/>
      <c r="G280" s="749"/>
      <c r="H280" s="991"/>
      <c r="J280" s="748"/>
    </row>
    <row r="281" spans="2:11" s="723" customFormat="1" x14ac:dyDescent="0.2">
      <c r="B281" s="739"/>
      <c r="C281" s="740"/>
      <c r="D281" s="741"/>
      <c r="E281" s="747"/>
      <c r="F281" s="748"/>
      <c r="G281" s="749"/>
      <c r="H281" s="991"/>
      <c r="J281" s="748"/>
    </row>
    <row r="282" spans="2:11" s="723" customFormat="1" x14ac:dyDescent="0.2">
      <c r="B282" s="739"/>
      <c r="C282" s="740"/>
      <c r="D282" s="741"/>
      <c r="E282" s="747"/>
      <c r="F282" s="748"/>
      <c r="G282" s="749"/>
      <c r="H282" s="744"/>
      <c r="J282" s="748"/>
    </row>
    <row r="283" spans="2:11" s="723" customFormat="1" x14ac:dyDescent="0.2">
      <c r="B283" s="739"/>
      <c r="C283" s="740"/>
      <c r="D283" s="741"/>
      <c r="E283" s="747"/>
      <c r="F283" s="748"/>
      <c r="G283" s="749"/>
      <c r="H283" s="744"/>
      <c r="J283" s="748"/>
    </row>
    <row r="284" spans="2:11" s="723" customFormat="1" x14ac:dyDescent="0.2">
      <c r="B284" s="739"/>
      <c r="C284" s="740"/>
      <c r="D284" s="741"/>
      <c r="E284" s="747"/>
      <c r="F284" s="748"/>
      <c r="G284" s="749"/>
      <c r="H284" s="744"/>
      <c r="J284" s="748"/>
    </row>
    <row r="285" spans="2:11" s="723" customFormat="1" ht="15" customHeight="1" x14ac:dyDescent="0.2">
      <c r="B285" s="739"/>
      <c r="C285" s="740"/>
      <c r="D285" s="741"/>
      <c r="E285" s="747"/>
      <c r="F285" s="748"/>
      <c r="G285" s="749"/>
      <c r="H285" s="744"/>
      <c r="J285" s="748"/>
    </row>
    <row r="286" spans="2:11" s="723" customFormat="1" x14ac:dyDescent="0.2">
      <c r="B286" s="739"/>
      <c r="C286" s="740"/>
      <c r="D286" s="741"/>
      <c r="E286" s="747"/>
      <c r="F286" s="748"/>
      <c r="G286" s="749"/>
      <c r="H286" s="744"/>
      <c r="J286" s="748"/>
    </row>
    <row r="287" spans="2:11" s="723" customFormat="1" ht="16.5" customHeight="1" x14ac:dyDescent="0.2">
      <c r="B287" s="739"/>
      <c r="C287" s="740"/>
      <c r="D287" s="741"/>
      <c r="E287" s="747"/>
      <c r="F287" s="748"/>
      <c r="G287" s="749"/>
      <c r="H287" s="744"/>
    </row>
    <row r="288" spans="2:11" s="723" customFormat="1" x14ac:dyDescent="0.2">
      <c r="B288" s="739"/>
      <c r="C288" s="740"/>
      <c r="D288" s="741"/>
      <c r="E288" s="747"/>
      <c r="F288" s="748"/>
      <c r="G288" s="749"/>
      <c r="H288" s="744"/>
    </row>
    <row r="289" spans="2:10" s="723" customFormat="1" x14ac:dyDescent="0.2">
      <c r="B289" s="739"/>
      <c r="C289" s="740"/>
      <c r="D289" s="741"/>
      <c r="E289" s="747"/>
      <c r="F289" s="748"/>
      <c r="G289" s="749"/>
      <c r="H289" s="744"/>
    </row>
    <row r="290" spans="2:10" s="723" customFormat="1" x14ac:dyDescent="0.2">
      <c r="B290" s="739"/>
      <c r="C290" s="740"/>
      <c r="D290" s="741"/>
      <c r="E290" s="747"/>
      <c r="F290" s="748"/>
      <c r="G290" s="749"/>
      <c r="H290" s="744"/>
    </row>
    <row r="291" spans="2:10" s="723" customFormat="1" x14ac:dyDescent="0.2">
      <c r="B291" s="739"/>
      <c r="C291" s="740"/>
      <c r="D291" s="741"/>
      <c r="E291" s="747"/>
      <c r="F291" s="748"/>
      <c r="G291" s="749"/>
      <c r="H291" s="744"/>
      <c r="J291" s="748"/>
    </row>
    <row r="292" spans="2:10" s="723" customFormat="1" x14ac:dyDescent="0.2">
      <c r="B292" s="739"/>
      <c r="C292" s="740"/>
      <c r="D292" s="741"/>
      <c r="E292" s="747"/>
      <c r="F292" s="748"/>
      <c r="G292" s="749"/>
      <c r="H292" s="744"/>
      <c r="J292" s="748"/>
    </row>
    <row r="293" spans="2:10" s="723" customFormat="1" x14ac:dyDescent="0.2">
      <c r="B293" s="739"/>
      <c r="C293" s="740"/>
      <c r="D293" s="741"/>
      <c r="E293" s="747"/>
      <c r="F293" s="748"/>
      <c r="G293" s="749"/>
      <c r="H293" s="744"/>
      <c r="J293" s="748"/>
    </row>
    <row r="294" spans="2:10" s="723" customFormat="1" x14ac:dyDescent="0.2">
      <c r="B294" s="739"/>
      <c r="C294" s="740"/>
      <c r="D294" s="741"/>
      <c r="E294" s="747"/>
      <c r="F294" s="748"/>
      <c r="G294" s="749"/>
      <c r="H294" s="744"/>
      <c r="J294" s="748"/>
    </row>
    <row r="295" spans="2:10" s="723" customFormat="1" x14ac:dyDescent="0.2">
      <c r="B295" s="739"/>
      <c r="C295" s="740"/>
      <c r="D295" s="741"/>
      <c r="E295" s="747"/>
      <c r="F295" s="748"/>
      <c r="G295" s="749"/>
      <c r="H295" s="744"/>
      <c r="J295" s="748"/>
    </row>
    <row r="296" spans="2:10" s="723" customFormat="1" x14ac:dyDescent="0.2">
      <c r="B296" s="739"/>
      <c r="C296" s="740"/>
      <c r="D296" s="741"/>
      <c r="E296" s="747"/>
      <c r="F296" s="748"/>
      <c r="G296" s="749"/>
      <c r="H296" s="744"/>
      <c r="J296" s="748"/>
    </row>
    <row r="297" spans="2:10" s="723" customFormat="1" x14ac:dyDescent="0.2">
      <c r="B297" s="739"/>
      <c r="C297" s="740"/>
      <c r="D297" s="741"/>
      <c r="E297" s="747"/>
      <c r="F297" s="748"/>
      <c r="G297" s="749"/>
      <c r="H297" s="744"/>
    </row>
    <row r="298" spans="2:10" s="723" customFormat="1" x14ac:dyDescent="0.2">
      <c r="B298" s="739"/>
      <c r="C298" s="740"/>
      <c r="D298" s="741"/>
      <c r="E298" s="747"/>
      <c r="F298" s="748"/>
      <c r="G298" s="749"/>
      <c r="H298" s="744"/>
    </row>
    <row r="299" spans="2:10" s="723" customFormat="1" x14ac:dyDescent="0.2">
      <c r="B299" s="739"/>
      <c r="C299" s="740"/>
      <c r="D299" s="741"/>
      <c r="E299" s="747"/>
      <c r="F299" s="748"/>
      <c r="G299" s="749"/>
      <c r="H299" s="744"/>
    </row>
    <row r="300" spans="2:10" s="723" customFormat="1" x14ac:dyDescent="0.2">
      <c r="B300" s="739"/>
      <c r="C300" s="740"/>
      <c r="D300" s="741"/>
      <c r="E300" s="747"/>
      <c r="F300" s="748"/>
      <c r="G300" s="749"/>
      <c r="H300" s="744"/>
    </row>
    <row r="301" spans="2:10" s="723" customFormat="1" x14ac:dyDescent="0.2">
      <c r="B301" s="739"/>
      <c r="C301" s="740"/>
      <c r="D301" s="741"/>
      <c r="E301" s="747"/>
      <c r="F301" s="748"/>
      <c r="G301" s="749"/>
      <c r="H301" s="744"/>
      <c r="J301" s="748"/>
    </row>
    <row r="302" spans="2:10" s="723" customFormat="1" x14ac:dyDescent="0.2">
      <c r="B302" s="739"/>
      <c r="C302" s="740"/>
      <c r="D302" s="741"/>
      <c r="E302" s="747"/>
      <c r="F302" s="748"/>
      <c r="G302" s="749"/>
      <c r="H302" s="744"/>
      <c r="J302" s="748"/>
    </row>
    <row r="303" spans="2:10" s="723" customFormat="1" x14ac:dyDescent="0.2">
      <c r="B303" s="739"/>
      <c r="C303" s="740"/>
      <c r="D303" s="741"/>
      <c r="E303" s="747"/>
      <c r="F303" s="748"/>
      <c r="G303" s="749"/>
      <c r="H303" s="744"/>
    </row>
    <row r="304" spans="2:10" s="723" customFormat="1" x14ac:dyDescent="0.2">
      <c r="B304" s="739"/>
      <c r="C304" s="740"/>
      <c r="D304" s="741"/>
      <c r="E304" s="747"/>
      <c r="F304" s="748"/>
      <c r="G304" s="749"/>
      <c r="H304" s="744"/>
      <c r="I304" s="741"/>
    </row>
    <row r="305" spans="2:9" s="723" customFormat="1" x14ac:dyDescent="0.2">
      <c r="B305" s="739"/>
      <c r="C305" s="740"/>
      <c r="D305" s="741"/>
      <c r="E305" s="747"/>
      <c r="F305" s="748"/>
      <c r="G305" s="749"/>
      <c r="H305" s="744"/>
      <c r="I305" s="741"/>
    </row>
    <row r="306" spans="2:9" s="723" customFormat="1" x14ac:dyDescent="0.2">
      <c r="B306" s="739"/>
      <c r="C306" s="740"/>
      <c r="D306" s="741"/>
      <c r="E306" s="747"/>
      <c r="F306" s="748"/>
      <c r="G306" s="749"/>
      <c r="H306" s="744"/>
      <c r="I306" s="741"/>
    </row>
    <row r="307" spans="2:9" s="723" customFormat="1" x14ac:dyDescent="0.2">
      <c r="B307" s="739"/>
      <c r="C307" s="740"/>
      <c r="D307" s="741"/>
      <c r="E307" s="747"/>
      <c r="F307" s="748"/>
      <c r="G307" s="749"/>
      <c r="H307" s="744"/>
      <c r="I307" s="741"/>
    </row>
    <row r="308" spans="2:9" s="723" customFormat="1" x14ac:dyDescent="0.2">
      <c r="B308" s="739"/>
      <c r="C308" s="740"/>
      <c r="D308" s="741"/>
      <c r="E308" s="747"/>
      <c r="F308" s="748"/>
      <c r="G308" s="749"/>
      <c r="H308" s="744"/>
      <c r="I308" s="741"/>
    </row>
    <row r="309" spans="2:9" s="723" customFormat="1" x14ac:dyDescent="0.2">
      <c r="B309" s="739"/>
      <c r="C309" s="740"/>
      <c r="D309" s="741"/>
      <c r="E309" s="747"/>
      <c r="F309" s="748"/>
      <c r="G309" s="749"/>
      <c r="H309" s="744"/>
      <c r="I309" s="741"/>
    </row>
    <row r="310" spans="2:9" s="723" customFormat="1" x14ac:dyDescent="0.2">
      <c r="B310" s="739"/>
      <c r="C310" s="740"/>
      <c r="D310" s="741"/>
      <c r="E310" s="747"/>
      <c r="F310" s="748"/>
      <c r="G310" s="749"/>
      <c r="H310" s="744"/>
      <c r="I310" s="741"/>
    </row>
    <row r="311" spans="2:9" s="723" customFormat="1" x14ac:dyDescent="0.2">
      <c r="B311" s="739"/>
      <c r="C311" s="740"/>
      <c r="D311" s="741"/>
      <c r="E311" s="747"/>
      <c r="F311" s="748"/>
      <c r="G311" s="749"/>
      <c r="H311" s="744"/>
      <c r="I311" s="741"/>
    </row>
    <row r="312" spans="2:9" s="723" customFormat="1" x14ac:dyDescent="0.2">
      <c r="B312" s="739"/>
      <c r="C312" s="740"/>
      <c r="D312" s="741"/>
      <c r="E312" s="747"/>
      <c r="F312" s="748"/>
      <c r="G312" s="749"/>
      <c r="H312" s="744"/>
      <c r="I312" s="741"/>
    </row>
    <row r="313" spans="2:9" s="723" customFormat="1" x14ac:dyDescent="0.2">
      <c r="B313" s="739"/>
      <c r="C313" s="740"/>
      <c r="D313" s="741"/>
      <c r="E313" s="747"/>
      <c r="F313" s="748"/>
      <c r="G313" s="749"/>
      <c r="H313" s="744"/>
      <c r="I313" s="741"/>
    </row>
    <row r="314" spans="2:9" s="723" customFormat="1" x14ac:dyDescent="0.2">
      <c r="B314" s="739"/>
      <c r="C314" s="740"/>
      <c r="D314" s="741"/>
      <c r="E314" s="747"/>
      <c r="F314" s="748"/>
      <c r="G314" s="749"/>
      <c r="H314" s="744"/>
      <c r="I314" s="741"/>
    </row>
    <row r="315" spans="2:9" s="723" customFormat="1" x14ac:dyDescent="0.2">
      <c r="B315" s="739"/>
      <c r="C315" s="740"/>
      <c r="D315" s="741"/>
      <c r="E315" s="747"/>
      <c r="F315" s="748"/>
      <c r="G315" s="749"/>
      <c r="H315" s="744"/>
      <c r="I315" s="741"/>
    </row>
    <row r="316" spans="2:9" s="723" customFormat="1" x14ac:dyDescent="0.2">
      <c r="B316" s="739"/>
      <c r="C316" s="740"/>
      <c r="D316" s="741"/>
      <c r="E316" s="747"/>
      <c r="F316" s="748"/>
      <c r="G316" s="749"/>
      <c r="H316" s="744"/>
      <c r="I316" s="741"/>
    </row>
    <row r="317" spans="2:9" s="723" customFormat="1" ht="12.75" customHeight="1" x14ac:dyDescent="0.2">
      <c r="B317" s="739"/>
      <c r="C317" s="740"/>
      <c r="D317" s="741"/>
      <c r="E317" s="747"/>
      <c r="F317" s="748"/>
      <c r="G317" s="749"/>
      <c r="H317" s="744"/>
      <c r="I317" s="992"/>
    </row>
    <row r="318" spans="2:9" s="723" customFormat="1" x14ac:dyDescent="0.2">
      <c r="B318" s="739"/>
      <c r="C318" s="740"/>
      <c r="D318" s="741"/>
      <c r="E318" s="747"/>
      <c r="F318" s="748"/>
      <c r="G318" s="749"/>
      <c r="H318" s="744"/>
      <c r="I318" s="992"/>
    </row>
    <row r="319" spans="2:9" s="723" customFormat="1" x14ac:dyDescent="0.2">
      <c r="B319" s="739"/>
      <c r="C319" s="740"/>
      <c r="D319" s="741"/>
      <c r="E319" s="747"/>
      <c r="F319" s="748"/>
      <c r="G319" s="749"/>
      <c r="H319" s="744"/>
      <c r="I319" s="741"/>
    </row>
    <row r="320" spans="2:9" s="723" customFormat="1" x14ac:dyDescent="0.2">
      <c r="B320" s="739"/>
      <c r="C320" s="740"/>
      <c r="D320" s="741"/>
      <c r="E320" s="747"/>
      <c r="F320" s="748"/>
      <c r="G320" s="749"/>
      <c r="H320" s="744"/>
      <c r="I320" s="741"/>
    </row>
    <row r="321" spans="2:10" s="723" customFormat="1" x14ac:dyDescent="0.2">
      <c r="B321" s="739"/>
      <c r="C321" s="740"/>
      <c r="D321" s="741"/>
      <c r="E321" s="747"/>
      <c r="F321" s="748"/>
      <c r="G321" s="749"/>
      <c r="H321" s="744"/>
      <c r="I321" s="741"/>
    </row>
    <row r="322" spans="2:10" s="723" customFormat="1" x14ac:dyDescent="0.2">
      <c r="B322" s="739"/>
      <c r="C322" s="740"/>
      <c r="D322" s="741"/>
      <c r="E322" s="747"/>
      <c r="F322" s="748"/>
      <c r="G322" s="749"/>
      <c r="H322" s="744"/>
      <c r="I322" s="741"/>
    </row>
    <row r="323" spans="2:10" s="723" customFormat="1" x14ac:dyDescent="0.2">
      <c r="B323" s="739"/>
      <c r="C323" s="740"/>
      <c r="D323" s="741"/>
      <c r="E323" s="747"/>
      <c r="F323" s="748"/>
      <c r="G323" s="749"/>
      <c r="H323" s="744"/>
      <c r="I323" s="741"/>
    </row>
    <row r="324" spans="2:10" s="723" customFormat="1" x14ac:dyDescent="0.2">
      <c r="B324" s="739"/>
      <c r="C324" s="740"/>
      <c r="D324" s="741"/>
      <c r="E324" s="747"/>
      <c r="F324" s="748"/>
      <c r="G324" s="749"/>
      <c r="H324" s="744"/>
      <c r="I324" s="741"/>
    </row>
    <row r="325" spans="2:10" s="723" customFormat="1" x14ac:dyDescent="0.2">
      <c r="B325" s="739"/>
      <c r="C325" s="740"/>
      <c r="D325" s="741"/>
      <c r="E325" s="747"/>
      <c r="F325" s="748"/>
      <c r="G325" s="749"/>
      <c r="H325" s="744"/>
      <c r="I325" s="741"/>
    </row>
    <row r="326" spans="2:10" s="723" customFormat="1" x14ac:dyDescent="0.2">
      <c r="B326" s="739"/>
      <c r="C326" s="740"/>
      <c r="D326" s="741"/>
      <c r="E326" s="747"/>
      <c r="F326" s="748"/>
      <c r="G326" s="749"/>
      <c r="H326" s="744"/>
      <c r="I326" s="741"/>
    </row>
    <row r="327" spans="2:10" s="723" customFormat="1" ht="12.75" customHeight="1" x14ac:dyDescent="0.2">
      <c r="B327" s="739"/>
      <c r="C327" s="740"/>
      <c r="D327" s="741"/>
      <c r="E327" s="747"/>
      <c r="F327" s="748"/>
      <c r="G327" s="749"/>
      <c r="H327" s="744"/>
      <c r="I327" s="741"/>
    </row>
    <row r="328" spans="2:10" s="723" customFormat="1" x14ac:dyDescent="0.2">
      <c r="B328" s="739"/>
      <c r="C328" s="740"/>
      <c r="D328" s="741"/>
      <c r="E328" s="747"/>
      <c r="F328" s="748"/>
      <c r="G328" s="749"/>
      <c r="H328" s="744"/>
      <c r="I328" s="741"/>
    </row>
    <row r="329" spans="2:10" s="723" customFormat="1" x14ac:dyDescent="0.2">
      <c r="B329" s="739"/>
      <c r="C329" s="740"/>
      <c r="D329" s="741"/>
      <c r="E329" s="747"/>
      <c r="F329" s="748"/>
      <c r="G329" s="749"/>
      <c r="H329" s="744"/>
      <c r="I329" s="741"/>
    </row>
    <row r="330" spans="2:10" s="723" customFormat="1" x14ac:dyDescent="0.2">
      <c r="B330" s="739"/>
      <c r="C330" s="740"/>
      <c r="D330" s="741"/>
      <c r="E330" s="747"/>
      <c r="F330" s="748"/>
      <c r="G330" s="749"/>
      <c r="H330" s="744"/>
      <c r="I330" s="741"/>
    </row>
    <row r="331" spans="2:10" s="723" customFormat="1" x14ac:dyDescent="0.2">
      <c r="B331" s="739"/>
      <c r="C331" s="740"/>
      <c r="D331" s="741"/>
      <c r="E331" s="747"/>
      <c r="F331" s="748"/>
      <c r="G331" s="749"/>
      <c r="H331" s="744"/>
      <c r="I331" s="741"/>
    </row>
    <row r="332" spans="2:10" s="723" customFormat="1" x14ac:dyDescent="0.2">
      <c r="B332" s="739"/>
      <c r="C332" s="740"/>
      <c r="D332" s="741"/>
      <c r="E332" s="747"/>
      <c r="F332" s="748"/>
      <c r="G332" s="749"/>
      <c r="H332" s="744"/>
      <c r="I332" s="741"/>
      <c r="J332" s="741"/>
    </row>
    <row r="333" spans="2:10" s="723" customFormat="1" x14ac:dyDescent="0.2">
      <c r="B333" s="739"/>
      <c r="C333" s="740"/>
      <c r="D333" s="741"/>
      <c r="E333" s="747"/>
      <c r="F333" s="748"/>
      <c r="G333" s="749"/>
      <c r="H333" s="744"/>
      <c r="I333" s="741"/>
      <c r="J333" s="741"/>
    </row>
    <row r="334" spans="2:10" s="723" customFormat="1" x14ac:dyDescent="0.2">
      <c r="B334" s="739"/>
      <c r="C334" s="740"/>
      <c r="D334" s="741"/>
      <c r="E334" s="747"/>
      <c r="F334" s="748"/>
      <c r="G334" s="749"/>
      <c r="H334" s="744"/>
      <c r="I334" s="741"/>
      <c r="J334" s="741"/>
    </row>
    <row r="335" spans="2:10" s="723" customFormat="1" x14ac:dyDescent="0.2">
      <c r="B335" s="739"/>
      <c r="C335" s="740"/>
      <c r="D335" s="741"/>
      <c r="E335" s="747"/>
      <c r="F335" s="748"/>
      <c r="G335" s="749"/>
      <c r="H335" s="744"/>
      <c r="I335" s="741"/>
      <c r="J335" s="741"/>
    </row>
    <row r="336" spans="2:10" s="723" customFormat="1" x14ac:dyDescent="0.2">
      <c r="B336" s="739"/>
      <c r="C336" s="740"/>
      <c r="D336" s="741"/>
      <c r="E336" s="747"/>
      <c r="F336" s="748"/>
      <c r="G336" s="749"/>
      <c r="H336" s="744"/>
      <c r="I336" s="741"/>
      <c r="J336" s="741"/>
    </row>
    <row r="337" spans="2:12" s="723" customFormat="1" x14ac:dyDescent="0.2">
      <c r="B337" s="739"/>
      <c r="C337" s="740"/>
      <c r="D337" s="741"/>
      <c r="E337" s="747"/>
      <c r="F337" s="748"/>
      <c r="G337" s="749"/>
      <c r="H337" s="744"/>
      <c r="I337" s="741"/>
      <c r="J337" s="741"/>
    </row>
    <row r="338" spans="2:12" s="723" customFormat="1" x14ac:dyDescent="0.2">
      <c r="B338" s="739"/>
      <c r="C338" s="740"/>
      <c r="D338" s="741"/>
      <c r="E338" s="747"/>
      <c r="F338" s="748"/>
      <c r="G338" s="749"/>
      <c r="H338" s="744"/>
      <c r="I338" s="741"/>
      <c r="J338" s="741"/>
    </row>
    <row r="339" spans="2:12" s="723" customFormat="1" x14ac:dyDescent="0.2">
      <c r="B339" s="739"/>
      <c r="C339" s="740"/>
      <c r="D339" s="741"/>
      <c r="E339" s="747"/>
      <c r="F339" s="748"/>
      <c r="G339" s="749"/>
      <c r="H339" s="744"/>
      <c r="I339" s="741"/>
      <c r="J339" s="741"/>
    </row>
    <row r="340" spans="2:12" s="723" customFormat="1" x14ac:dyDescent="0.2">
      <c r="B340" s="739"/>
      <c r="C340" s="740"/>
      <c r="D340" s="741"/>
      <c r="E340" s="747"/>
      <c r="F340" s="748"/>
      <c r="G340" s="749"/>
      <c r="H340" s="744"/>
      <c r="I340" s="741"/>
      <c r="J340" s="741"/>
    </row>
    <row r="341" spans="2:12" s="723" customFormat="1" x14ac:dyDescent="0.2">
      <c r="B341" s="739"/>
      <c r="C341" s="740"/>
      <c r="D341" s="741"/>
      <c r="E341" s="747"/>
      <c r="F341" s="748"/>
      <c r="G341" s="749"/>
      <c r="H341" s="744"/>
      <c r="I341" s="741"/>
      <c r="J341" s="741"/>
    </row>
    <row r="342" spans="2:12" s="723" customFormat="1" x14ac:dyDescent="0.2">
      <c r="B342" s="739"/>
      <c r="C342" s="740"/>
      <c r="D342" s="741"/>
      <c r="E342" s="747"/>
      <c r="F342" s="748"/>
      <c r="G342" s="749"/>
      <c r="H342" s="744"/>
      <c r="I342" s="741"/>
      <c r="J342" s="741"/>
    </row>
    <row r="343" spans="2:12" s="723" customFormat="1" x14ac:dyDescent="0.2">
      <c r="B343" s="739"/>
      <c r="C343" s="740"/>
      <c r="D343" s="741"/>
      <c r="E343" s="747"/>
      <c r="F343" s="748"/>
      <c r="G343" s="749"/>
      <c r="H343" s="744"/>
      <c r="I343" s="741"/>
      <c r="J343" s="741"/>
    </row>
    <row r="344" spans="2:12" s="723" customFormat="1" x14ac:dyDescent="0.2">
      <c r="B344" s="739"/>
      <c r="C344" s="740"/>
      <c r="D344" s="741"/>
      <c r="E344" s="747"/>
      <c r="F344" s="748"/>
      <c r="G344" s="749"/>
      <c r="H344" s="744"/>
      <c r="I344" s="741"/>
      <c r="J344" s="741"/>
    </row>
    <row r="345" spans="2:12" s="723" customFormat="1" x14ac:dyDescent="0.2">
      <c r="B345" s="739"/>
      <c r="C345" s="740"/>
      <c r="D345" s="741"/>
      <c r="E345" s="747"/>
      <c r="F345" s="748"/>
      <c r="G345" s="749"/>
      <c r="H345" s="744"/>
      <c r="I345" s="741"/>
      <c r="J345" s="992"/>
    </row>
    <row r="346" spans="2:12" s="723" customFormat="1" x14ac:dyDescent="0.2">
      <c r="B346" s="739"/>
      <c r="C346" s="740"/>
      <c r="D346" s="741"/>
      <c r="E346" s="747"/>
      <c r="F346" s="748"/>
      <c r="G346" s="749"/>
      <c r="H346" s="744"/>
      <c r="I346" s="741"/>
      <c r="J346" s="992"/>
    </row>
    <row r="347" spans="2:12" s="723" customFormat="1" x14ac:dyDescent="0.2">
      <c r="B347" s="739"/>
      <c r="C347" s="740"/>
      <c r="D347" s="741"/>
      <c r="E347" s="747"/>
      <c r="F347" s="748"/>
      <c r="G347" s="749"/>
      <c r="H347" s="744"/>
      <c r="I347" s="741"/>
      <c r="J347" s="741"/>
    </row>
    <row r="348" spans="2:12" s="723" customFormat="1" x14ac:dyDescent="0.2">
      <c r="B348" s="739"/>
      <c r="C348" s="740"/>
      <c r="D348" s="741"/>
      <c r="E348" s="747"/>
      <c r="F348" s="748"/>
      <c r="G348" s="749"/>
      <c r="H348" s="744"/>
      <c r="I348" s="741"/>
      <c r="J348" s="741"/>
    </row>
    <row r="349" spans="2:12" s="723" customFormat="1" x14ac:dyDescent="0.2">
      <c r="B349" s="739"/>
      <c r="C349" s="740"/>
      <c r="D349" s="741"/>
      <c r="E349" s="747"/>
      <c r="F349" s="748"/>
      <c r="G349" s="749"/>
      <c r="H349" s="744"/>
      <c r="I349" s="741"/>
      <c r="J349" s="741"/>
    </row>
    <row r="350" spans="2:12" s="723" customFormat="1" x14ac:dyDescent="0.2">
      <c r="B350" s="739"/>
      <c r="C350" s="740"/>
      <c r="D350" s="741"/>
      <c r="E350" s="747"/>
      <c r="F350" s="748"/>
      <c r="G350" s="749"/>
      <c r="H350" s="744"/>
      <c r="I350" s="741"/>
      <c r="J350" s="741"/>
    </row>
    <row r="351" spans="2:12" s="723" customFormat="1" x14ac:dyDescent="0.2">
      <c r="B351" s="739"/>
      <c r="C351" s="740"/>
      <c r="D351" s="741"/>
      <c r="E351" s="747"/>
      <c r="F351" s="748"/>
      <c r="G351" s="749"/>
      <c r="H351" s="744"/>
      <c r="I351" s="741"/>
      <c r="J351" s="741"/>
    </row>
    <row r="352" spans="2:12" s="723" customFormat="1" x14ac:dyDescent="0.2">
      <c r="B352" s="739"/>
      <c r="C352" s="740"/>
      <c r="D352" s="741"/>
      <c r="E352" s="747"/>
      <c r="F352" s="748"/>
      <c r="G352" s="749"/>
      <c r="H352" s="744"/>
      <c r="I352" s="741"/>
      <c r="J352" s="741"/>
      <c r="K352" s="741"/>
      <c r="L352" s="741"/>
    </row>
    <row r="353" spans="2:15" s="723" customFormat="1" x14ac:dyDescent="0.2">
      <c r="B353" s="739"/>
      <c r="C353" s="740"/>
      <c r="D353" s="741"/>
      <c r="E353" s="747"/>
      <c r="F353" s="748"/>
      <c r="G353" s="749"/>
      <c r="H353" s="744"/>
      <c r="I353" s="741"/>
      <c r="J353" s="741"/>
      <c r="K353" s="741"/>
      <c r="L353" s="741"/>
    </row>
    <row r="354" spans="2:15" s="723" customFormat="1" x14ac:dyDescent="0.2">
      <c r="B354" s="739"/>
      <c r="C354" s="740"/>
      <c r="D354" s="741"/>
      <c r="E354" s="747"/>
      <c r="F354" s="748"/>
      <c r="G354" s="749"/>
      <c r="H354" s="744"/>
      <c r="I354" s="741"/>
      <c r="J354" s="741"/>
      <c r="K354" s="741"/>
      <c r="L354" s="741"/>
    </row>
    <row r="355" spans="2:15" s="723" customFormat="1" x14ac:dyDescent="0.2">
      <c r="B355" s="739"/>
      <c r="C355" s="740"/>
      <c r="D355" s="741"/>
      <c r="E355" s="747"/>
      <c r="F355" s="748"/>
      <c r="G355" s="749"/>
      <c r="H355" s="744"/>
      <c r="I355" s="741"/>
      <c r="J355" s="741"/>
      <c r="K355" s="741"/>
      <c r="L355" s="741"/>
    </row>
    <row r="356" spans="2:15" s="723" customFormat="1" x14ac:dyDescent="0.2">
      <c r="B356" s="739"/>
      <c r="C356" s="740"/>
      <c r="D356" s="741"/>
      <c r="E356" s="747"/>
      <c r="F356" s="748"/>
      <c r="G356" s="749"/>
      <c r="H356" s="744"/>
      <c r="I356" s="741"/>
      <c r="J356" s="741"/>
      <c r="K356" s="741"/>
      <c r="L356" s="741"/>
      <c r="M356" s="741"/>
    </row>
    <row r="357" spans="2:15" s="723" customFormat="1" x14ac:dyDescent="0.2">
      <c r="B357" s="739"/>
      <c r="C357" s="740"/>
      <c r="D357" s="741"/>
      <c r="E357" s="747"/>
      <c r="F357" s="748"/>
      <c r="G357" s="749"/>
      <c r="H357" s="744"/>
      <c r="I357" s="741"/>
      <c r="J357" s="741"/>
      <c r="K357" s="741"/>
      <c r="L357" s="741"/>
      <c r="M357" s="741"/>
    </row>
    <row r="358" spans="2:15" s="723" customFormat="1" x14ac:dyDescent="0.2">
      <c r="B358" s="739"/>
      <c r="C358" s="740"/>
      <c r="D358" s="741"/>
      <c r="E358" s="747"/>
      <c r="F358" s="748"/>
      <c r="G358" s="749"/>
      <c r="H358" s="744"/>
      <c r="I358" s="741"/>
      <c r="J358" s="741"/>
      <c r="K358" s="741"/>
      <c r="L358" s="741"/>
      <c r="M358" s="741"/>
      <c r="N358" s="741"/>
      <c r="O358" s="741"/>
    </row>
    <row r="365" spans="2:15" x14ac:dyDescent="0.2">
      <c r="K365" s="992"/>
      <c r="L365" s="992"/>
    </row>
    <row r="366" spans="2:15" x14ac:dyDescent="0.2">
      <c r="K366" s="992"/>
      <c r="L366" s="992"/>
    </row>
    <row r="369" spans="2:15" x14ac:dyDescent="0.2">
      <c r="M369" s="992"/>
    </row>
    <row r="370" spans="2:15" x14ac:dyDescent="0.2">
      <c r="M370" s="992"/>
    </row>
    <row r="371" spans="2:15" x14ac:dyDescent="0.2">
      <c r="N371" s="992"/>
      <c r="O371" s="992"/>
    </row>
    <row r="372" spans="2:15" s="992" customFormat="1" x14ac:dyDescent="0.2">
      <c r="B372" s="739"/>
      <c r="C372" s="740"/>
      <c r="D372" s="741"/>
      <c r="E372" s="747"/>
      <c r="F372" s="748"/>
      <c r="G372" s="749"/>
      <c r="H372" s="744"/>
      <c r="I372" s="741"/>
      <c r="J372" s="741"/>
      <c r="K372" s="741"/>
      <c r="L372" s="741"/>
      <c r="M372" s="741"/>
    </row>
    <row r="373" spans="2:15" s="992" customFormat="1" x14ac:dyDescent="0.2">
      <c r="B373" s="739"/>
      <c r="C373" s="740"/>
      <c r="D373" s="741"/>
      <c r="E373" s="747"/>
      <c r="F373" s="748"/>
      <c r="G373" s="749"/>
      <c r="H373" s="744"/>
      <c r="I373" s="741"/>
      <c r="J373" s="741"/>
      <c r="K373" s="741"/>
      <c r="L373" s="741"/>
      <c r="M373" s="741"/>
      <c r="N373" s="741"/>
      <c r="O373" s="741"/>
    </row>
    <row r="378" spans="2:15" ht="43.5" customHeight="1" x14ac:dyDescent="0.2"/>
  </sheetData>
  <mergeCells count="6">
    <mergeCell ref="B128:B129"/>
    <mergeCell ref="C6:F6"/>
    <mergeCell ref="B57:G57"/>
    <mergeCell ref="B116:G116"/>
    <mergeCell ref="B117:G117"/>
    <mergeCell ref="B118:G118"/>
  </mergeCells>
  <pageMargins left="0.7" right="0.7" top="0.75" bottom="0.75" header="0.3" footer="0.3"/>
  <pageSetup paperSize="9" orientation="portrait" r:id="rId1"/>
  <headerFooter alignWithMargins="0"/>
  <rowBreaks count="3" manualBreakCount="3">
    <brk id="19" max="16383" man="1"/>
    <brk id="55" max="16383" man="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E9CCA-EC2A-4B55-8739-5532D64BB434}">
  <sheetPr codeName="Sheet74">
    <tabColor rgb="FF0070C0"/>
  </sheetPr>
  <dimension ref="B1:L195"/>
  <sheetViews>
    <sheetView topLeftCell="A79" zoomScaleNormal="100" workbookViewId="0">
      <selection activeCell="C95" sqref="C95"/>
    </sheetView>
  </sheetViews>
  <sheetFormatPr defaultColWidth="10.42578125" defaultRowHeight="12.75" x14ac:dyDescent="0.2"/>
  <cols>
    <col min="1" max="1" width="4.140625" style="130" customWidth="1"/>
    <col min="2" max="2" width="10.42578125" style="745" customWidth="1"/>
    <col min="3" max="3" width="36.28515625" style="746" customWidth="1"/>
    <col min="4" max="4" width="10.42578125" style="130" customWidth="1"/>
    <col min="5" max="5" width="17.140625" style="747" customWidth="1"/>
    <col min="6" max="6" width="15.140625" style="748" customWidth="1"/>
    <col min="7" max="7" width="14.85546875" style="749" customWidth="1"/>
    <col min="8" max="8" width="10.42578125" style="130" customWidth="1"/>
    <col min="9" max="9" width="12.85546875" style="130" customWidth="1"/>
    <col min="10" max="10" width="15.42578125" style="130" customWidth="1"/>
    <col min="11" max="11" width="10.42578125" style="130" customWidth="1"/>
    <col min="12" max="12" width="14.28515625" style="130" customWidth="1"/>
    <col min="13" max="13" width="11.7109375" style="130" customWidth="1"/>
    <col min="14" max="258" width="10.42578125" style="130"/>
    <col min="259" max="259" width="36.28515625" style="130" customWidth="1"/>
    <col min="260" max="260" width="10.42578125" style="130"/>
    <col min="261" max="261" width="17.140625" style="130" customWidth="1"/>
    <col min="262" max="262" width="15.140625" style="130" customWidth="1"/>
    <col min="263" max="263" width="14.85546875" style="130" customWidth="1"/>
    <col min="264" max="264" width="10.42578125" style="130"/>
    <col min="265" max="265" width="12.85546875" style="130" customWidth="1"/>
    <col min="266" max="266" width="15.42578125" style="130" customWidth="1"/>
    <col min="267" max="267" width="10.42578125" style="130"/>
    <col min="268" max="268" width="14.28515625" style="130" customWidth="1"/>
    <col min="269" max="269" width="11.7109375" style="130" customWidth="1"/>
    <col min="270" max="514" width="10.42578125" style="130"/>
    <col min="515" max="515" width="36.28515625" style="130" customWidth="1"/>
    <col min="516" max="516" width="10.42578125" style="130"/>
    <col min="517" max="517" width="17.140625" style="130" customWidth="1"/>
    <col min="518" max="518" width="15.140625" style="130" customWidth="1"/>
    <col min="519" max="519" width="14.85546875" style="130" customWidth="1"/>
    <col min="520" max="520" width="10.42578125" style="130"/>
    <col min="521" max="521" width="12.85546875" style="130" customWidth="1"/>
    <col min="522" max="522" width="15.42578125" style="130" customWidth="1"/>
    <col min="523" max="523" width="10.42578125" style="130"/>
    <col min="524" max="524" width="14.28515625" style="130" customWidth="1"/>
    <col min="525" max="525" width="11.7109375" style="130" customWidth="1"/>
    <col min="526" max="770" width="10.42578125" style="130"/>
    <col min="771" max="771" width="36.28515625" style="130" customWidth="1"/>
    <col min="772" max="772" width="10.42578125" style="130"/>
    <col min="773" max="773" width="17.140625" style="130" customWidth="1"/>
    <col min="774" max="774" width="15.140625" style="130" customWidth="1"/>
    <col min="775" max="775" width="14.85546875" style="130" customWidth="1"/>
    <col min="776" max="776" width="10.42578125" style="130"/>
    <col min="777" max="777" width="12.85546875" style="130" customWidth="1"/>
    <col min="778" max="778" width="15.42578125" style="130" customWidth="1"/>
    <col min="779" max="779" width="10.42578125" style="130"/>
    <col min="780" max="780" width="14.28515625" style="130" customWidth="1"/>
    <col min="781" max="781" width="11.7109375" style="130" customWidth="1"/>
    <col min="782" max="1026" width="10.42578125" style="130"/>
    <col min="1027" max="1027" width="36.28515625" style="130" customWidth="1"/>
    <col min="1028" max="1028" width="10.42578125" style="130"/>
    <col min="1029" max="1029" width="17.140625" style="130" customWidth="1"/>
    <col min="1030" max="1030" width="15.140625" style="130" customWidth="1"/>
    <col min="1031" max="1031" width="14.85546875" style="130" customWidth="1"/>
    <col min="1032" max="1032" width="10.42578125" style="130"/>
    <col min="1033" max="1033" width="12.85546875" style="130" customWidth="1"/>
    <col min="1034" max="1034" width="15.42578125" style="130" customWidth="1"/>
    <col min="1035" max="1035" width="10.42578125" style="130"/>
    <col min="1036" max="1036" width="14.28515625" style="130" customWidth="1"/>
    <col min="1037" max="1037" width="11.7109375" style="130" customWidth="1"/>
    <col min="1038" max="1282" width="10.42578125" style="130"/>
    <col min="1283" max="1283" width="36.28515625" style="130" customWidth="1"/>
    <col min="1284" max="1284" width="10.42578125" style="130"/>
    <col min="1285" max="1285" width="17.140625" style="130" customWidth="1"/>
    <col min="1286" max="1286" width="15.140625" style="130" customWidth="1"/>
    <col min="1287" max="1287" width="14.85546875" style="130" customWidth="1"/>
    <col min="1288" max="1288" width="10.42578125" style="130"/>
    <col min="1289" max="1289" width="12.85546875" style="130" customWidth="1"/>
    <col min="1290" max="1290" width="15.42578125" style="130" customWidth="1"/>
    <col min="1291" max="1291" width="10.42578125" style="130"/>
    <col min="1292" max="1292" width="14.28515625" style="130" customWidth="1"/>
    <col min="1293" max="1293" width="11.7109375" style="130" customWidth="1"/>
    <col min="1294" max="1538" width="10.42578125" style="130"/>
    <col min="1539" max="1539" width="36.28515625" style="130" customWidth="1"/>
    <col min="1540" max="1540" width="10.42578125" style="130"/>
    <col min="1541" max="1541" width="17.140625" style="130" customWidth="1"/>
    <col min="1542" max="1542" width="15.140625" style="130" customWidth="1"/>
    <col min="1543" max="1543" width="14.85546875" style="130" customWidth="1"/>
    <col min="1544" max="1544" width="10.42578125" style="130"/>
    <col min="1545" max="1545" width="12.85546875" style="130" customWidth="1"/>
    <col min="1546" max="1546" width="15.42578125" style="130" customWidth="1"/>
    <col min="1547" max="1547" width="10.42578125" style="130"/>
    <col min="1548" max="1548" width="14.28515625" style="130" customWidth="1"/>
    <col min="1549" max="1549" width="11.7109375" style="130" customWidth="1"/>
    <col min="1550" max="1794" width="10.42578125" style="130"/>
    <col min="1795" max="1795" width="36.28515625" style="130" customWidth="1"/>
    <col min="1796" max="1796" width="10.42578125" style="130"/>
    <col min="1797" max="1797" width="17.140625" style="130" customWidth="1"/>
    <col min="1798" max="1798" width="15.140625" style="130" customWidth="1"/>
    <col min="1799" max="1799" width="14.85546875" style="130" customWidth="1"/>
    <col min="1800" max="1800" width="10.42578125" style="130"/>
    <col min="1801" max="1801" width="12.85546875" style="130" customWidth="1"/>
    <col min="1802" max="1802" width="15.42578125" style="130" customWidth="1"/>
    <col min="1803" max="1803" width="10.42578125" style="130"/>
    <col min="1804" max="1804" width="14.28515625" style="130" customWidth="1"/>
    <col min="1805" max="1805" width="11.7109375" style="130" customWidth="1"/>
    <col min="1806" max="2050" width="10.42578125" style="130"/>
    <col min="2051" max="2051" width="36.28515625" style="130" customWidth="1"/>
    <col min="2052" max="2052" width="10.42578125" style="130"/>
    <col min="2053" max="2053" width="17.140625" style="130" customWidth="1"/>
    <col min="2054" max="2054" width="15.140625" style="130" customWidth="1"/>
    <col min="2055" max="2055" width="14.85546875" style="130" customWidth="1"/>
    <col min="2056" max="2056" width="10.42578125" style="130"/>
    <col min="2057" max="2057" width="12.85546875" style="130" customWidth="1"/>
    <col min="2058" max="2058" width="15.42578125" style="130" customWidth="1"/>
    <col min="2059" max="2059" width="10.42578125" style="130"/>
    <col min="2060" max="2060" width="14.28515625" style="130" customWidth="1"/>
    <col min="2061" max="2061" width="11.7109375" style="130" customWidth="1"/>
    <col min="2062" max="2306" width="10.42578125" style="130"/>
    <col min="2307" max="2307" width="36.28515625" style="130" customWidth="1"/>
    <col min="2308" max="2308" width="10.42578125" style="130"/>
    <col min="2309" max="2309" width="17.140625" style="130" customWidth="1"/>
    <col min="2310" max="2310" width="15.140625" style="130" customWidth="1"/>
    <col min="2311" max="2311" width="14.85546875" style="130" customWidth="1"/>
    <col min="2312" max="2312" width="10.42578125" style="130"/>
    <col min="2313" max="2313" width="12.85546875" style="130" customWidth="1"/>
    <col min="2314" max="2314" width="15.42578125" style="130" customWidth="1"/>
    <col min="2315" max="2315" width="10.42578125" style="130"/>
    <col min="2316" max="2316" width="14.28515625" style="130" customWidth="1"/>
    <col min="2317" max="2317" width="11.7109375" style="130" customWidth="1"/>
    <col min="2318" max="2562" width="10.42578125" style="130"/>
    <col min="2563" max="2563" width="36.28515625" style="130" customWidth="1"/>
    <col min="2564" max="2564" width="10.42578125" style="130"/>
    <col min="2565" max="2565" width="17.140625" style="130" customWidth="1"/>
    <col min="2566" max="2566" width="15.140625" style="130" customWidth="1"/>
    <col min="2567" max="2567" width="14.85546875" style="130" customWidth="1"/>
    <col min="2568" max="2568" width="10.42578125" style="130"/>
    <col min="2569" max="2569" width="12.85546875" style="130" customWidth="1"/>
    <col min="2570" max="2570" width="15.42578125" style="130" customWidth="1"/>
    <col min="2571" max="2571" width="10.42578125" style="130"/>
    <col min="2572" max="2572" width="14.28515625" style="130" customWidth="1"/>
    <col min="2573" max="2573" width="11.7109375" style="130" customWidth="1"/>
    <col min="2574" max="2818" width="10.42578125" style="130"/>
    <col min="2819" max="2819" width="36.28515625" style="130" customWidth="1"/>
    <col min="2820" max="2820" width="10.42578125" style="130"/>
    <col min="2821" max="2821" width="17.140625" style="130" customWidth="1"/>
    <col min="2822" max="2822" width="15.140625" style="130" customWidth="1"/>
    <col min="2823" max="2823" width="14.85546875" style="130" customWidth="1"/>
    <col min="2824" max="2824" width="10.42578125" style="130"/>
    <col min="2825" max="2825" width="12.85546875" style="130" customWidth="1"/>
    <col min="2826" max="2826" width="15.42578125" style="130" customWidth="1"/>
    <col min="2827" max="2827" width="10.42578125" style="130"/>
    <col min="2828" max="2828" width="14.28515625" style="130" customWidth="1"/>
    <col min="2829" max="2829" width="11.7109375" style="130" customWidth="1"/>
    <col min="2830" max="3074" width="10.42578125" style="130"/>
    <col min="3075" max="3075" width="36.28515625" style="130" customWidth="1"/>
    <col min="3076" max="3076" width="10.42578125" style="130"/>
    <col min="3077" max="3077" width="17.140625" style="130" customWidth="1"/>
    <col min="3078" max="3078" width="15.140625" style="130" customWidth="1"/>
    <col min="3079" max="3079" width="14.85546875" style="130" customWidth="1"/>
    <col min="3080" max="3080" width="10.42578125" style="130"/>
    <col min="3081" max="3081" width="12.85546875" style="130" customWidth="1"/>
    <col min="3082" max="3082" width="15.42578125" style="130" customWidth="1"/>
    <col min="3083" max="3083" width="10.42578125" style="130"/>
    <col min="3084" max="3084" width="14.28515625" style="130" customWidth="1"/>
    <col min="3085" max="3085" width="11.7109375" style="130" customWidth="1"/>
    <col min="3086" max="3330" width="10.42578125" style="130"/>
    <col min="3331" max="3331" width="36.28515625" style="130" customWidth="1"/>
    <col min="3332" max="3332" width="10.42578125" style="130"/>
    <col min="3333" max="3333" width="17.140625" style="130" customWidth="1"/>
    <col min="3334" max="3334" width="15.140625" style="130" customWidth="1"/>
    <col min="3335" max="3335" width="14.85546875" style="130" customWidth="1"/>
    <col min="3336" max="3336" width="10.42578125" style="130"/>
    <col min="3337" max="3337" width="12.85546875" style="130" customWidth="1"/>
    <col min="3338" max="3338" width="15.42578125" style="130" customWidth="1"/>
    <col min="3339" max="3339" width="10.42578125" style="130"/>
    <col min="3340" max="3340" width="14.28515625" style="130" customWidth="1"/>
    <col min="3341" max="3341" width="11.7109375" style="130" customWidth="1"/>
    <col min="3342" max="3586" width="10.42578125" style="130"/>
    <col min="3587" max="3587" width="36.28515625" style="130" customWidth="1"/>
    <col min="3588" max="3588" width="10.42578125" style="130"/>
    <col min="3589" max="3589" width="17.140625" style="130" customWidth="1"/>
    <col min="3590" max="3590" width="15.140625" style="130" customWidth="1"/>
    <col min="3591" max="3591" width="14.85546875" style="130" customWidth="1"/>
    <col min="3592" max="3592" width="10.42578125" style="130"/>
    <col min="3593" max="3593" width="12.85546875" style="130" customWidth="1"/>
    <col min="3594" max="3594" width="15.42578125" style="130" customWidth="1"/>
    <col min="3595" max="3595" width="10.42578125" style="130"/>
    <col min="3596" max="3596" width="14.28515625" style="130" customWidth="1"/>
    <col min="3597" max="3597" width="11.7109375" style="130" customWidth="1"/>
    <col min="3598" max="3842" width="10.42578125" style="130"/>
    <col min="3843" max="3843" width="36.28515625" style="130" customWidth="1"/>
    <col min="3844" max="3844" width="10.42578125" style="130"/>
    <col min="3845" max="3845" width="17.140625" style="130" customWidth="1"/>
    <col min="3846" max="3846" width="15.140625" style="130" customWidth="1"/>
    <col min="3847" max="3847" width="14.85546875" style="130" customWidth="1"/>
    <col min="3848" max="3848" width="10.42578125" style="130"/>
    <col min="3849" max="3849" width="12.85546875" style="130" customWidth="1"/>
    <col min="3850" max="3850" width="15.42578125" style="130" customWidth="1"/>
    <col min="3851" max="3851" width="10.42578125" style="130"/>
    <col min="3852" max="3852" width="14.28515625" style="130" customWidth="1"/>
    <col min="3853" max="3853" width="11.7109375" style="130" customWidth="1"/>
    <col min="3854" max="4098" width="10.42578125" style="130"/>
    <col min="4099" max="4099" width="36.28515625" style="130" customWidth="1"/>
    <col min="4100" max="4100" width="10.42578125" style="130"/>
    <col min="4101" max="4101" width="17.140625" style="130" customWidth="1"/>
    <col min="4102" max="4102" width="15.140625" style="130" customWidth="1"/>
    <col min="4103" max="4103" width="14.85546875" style="130" customWidth="1"/>
    <col min="4104" max="4104" width="10.42578125" style="130"/>
    <col min="4105" max="4105" width="12.85546875" style="130" customWidth="1"/>
    <col min="4106" max="4106" width="15.42578125" style="130" customWidth="1"/>
    <col min="4107" max="4107" width="10.42578125" style="130"/>
    <col min="4108" max="4108" width="14.28515625" style="130" customWidth="1"/>
    <col min="4109" max="4109" width="11.7109375" style="130" customWidth="1"/>
    <col min="4110" max="4354" width="10.42578125" style="130"/>
    <col min="4355" max="4355" width="36.28515625" style="130" customWidth="1"/>
    <col min="4356" max="4356" width="10.42578125" style="130"/>
    <col min="4357" max="4357" width="17.140625" style="130" customWidth="1"/>
    <col min="4358" max="4358" width="15.140625" style="130" customWidth="1"/>
    <col min="4359" max="4359" width="14.85546875" style="130" customWidth="1"/>
    <col min="4360" max="4360" width="10.42578125" style="130"/>
    <col min="4361" max="4361" width="12.85546875" style="130" customWidth="1"/>
    <col min="4362" max="4362" width="15.42578125" style="130" customWidth="1"/>
    <col min="4363" max="4363" width="10.42578125" style="130"/>
    <col min="4364" max="4364" width="14.28515625" style="130" customWidth="1"/>
    <col min="4365" max="4365" width="11.7109375" style="130" customWidth="1"/>
    <col min="4366" max="4610" width="10.42578125" style="130"/>
    <col min="4611" max="4611" width="36.28515625" style="130" customWidth="1"/>
    <col min="4612" max="4612" width="10.42578125" style="130"/>
    <col min="4613" max="4613" width="17.140625" style="130" customWidth="1"/>
    <col min="4614" max="4614" width="15.140625" style="130" customWidth="1"/>
    <col min="4615" max="4615" width="14.85546875" style="130" customWidth="1"/>
    <col min="4616" max="4616" width="10.42578125" style="130"/>
    <col min="4617" max="4617" width="12.85546875" style="130" customWidth="1"/>
    <col min="4618" max="4618" width="15.42578125" style="130" customWidth="1"/>
    <col min="4619" max="4619" width="10.42578125" style="130"/>
    <col min="4620" max="4620" width="14.28515625" style="130" customWidth="1"/>
    <col min="4621" max="4621" width="11.7109375" style="130" customWidth="1"/>
    <col min="4622" max="4866" width="10.42578125" style="130"/>
    <col min="4867" max="4867" width="36.28515625" style="130" customWidth="1"/>
    <col min="4868" max="4868" width="10.42578125" style="130"/>
    <col min="4869" max="4869" width="17.140625" style="130" customWidth="1"/>
    <col min="4870" max="4870" width="15.140625" style="130" customWidth="1"/>
    <col min="4871" max="4871" width="14.85546875" style="130" customWidth="1"/>
    <col min="4872" max="4872" width="10.42578125" style="130"/>
    <col min="4873" max="4873" width="12.85546875" style="130" customWidth="1"/>
    <col min="4874" max="4874" width="15.42578125" style="130" customWidth="1"/>
    <col min="4875" max="4875" width="10.42578125" style="130"/>
    <col min="4876" max="4876" width="14.28515625" style="130" customWidth="1"/>
    <col min="4877" max="4877" width="11.7109375" style="130" customWidth="1"/>
    <col min="4878" max="5122" width="10.42578125" style="130"/>
    <col min="5123" max="5123" width="36.28515625" style="130" customWidth="1"/>
    <col min="5124" max="5124" width="10.42578125" style="130"/>
    <col min="5125" max="5125" width="17.140625" style="130" customWidth="1"/>
    <col min="5126" max="5126" width="15.140625" style="130" customWidth="1"/>
    <col min="5127" max="5127" width="14.85546875" style="130" customWidth="1"/>
    <col min="5128" max="5128" width="10.42578125" style="130"/>
    <col min="5129" max="5129" width="12.85546875" style="130" customWidth="1"/>
    <col min="5130" max="5130" width="15.42578125" style="130" customWidth="1"/>
    <col min="5131" max="5131" width="10.42578125" style="130"/>
    <col min="5132" max="5132" width="14.28515625" style="130" customWidth="1"/>
    <col min="5133" max="5133" width="11.7109375" style="130" customWidth="1"/>
    <col min="5134" max="5378" width="10.42578125" style="130"/>
    <col min="5379" max="5379" width="36.28515625" style="130" customWidth="1"/>
    <col min="5380" max="5380" width="10.42578125" style="130"/>
    <col min="5381" max="5381" width="17.140625" style="130" customWidth="1"/>
    <col min="5382" max="5382" width="15.140625" style="130" customWidth="1"/>
    <col min="5383" max="5383" width="14.85546875" style="130" customWidth="1"/>
    <col min="5384" max="5384" width="10.42578125" style="130"/>
    <col min="5385" max="5385" width="12.85546875" style="130" customWidth="1"/>
    <col min="5386" max="5386" width="15.42578125" style="130" customWidth="1"/>
    <col min="5387" max="5387" width="10.42578125" style="130"/>
    <col min="5388" max="5388" width="14.28515625" style="130" customWidth="1"/>
    <col min="5389" max="5389" width="11.7109375" style="130" customWidth="1"/>
    <col min="5390" max="5634" width="10.42578125" style="130"/>
    <col min="5635" max="5635" width="36.28515625" style="130" customWidth="1"/>
    <col min="5636" max="5636" width="10.42578125" style="130"/>
    <col min="5637" max="5637" width="17.140625" style="130" customWidth="1"/>
    <col min="5638" max="5638" width="15.140625" style="130" customWidth="1"/>
    <col min="5639" max="5639" width="14.85546875" style="130" customWidth="1"/>
    <col min="5640" max="5640" width="10.42578125" style="130"/>
    <col min="5641" max="5641" width="12.85546875" style="130" customWidth="1"/>
    <col min="5642" max="5642" width="15.42578125" style="130" customWidth="1"/>
    <col min="5643" max="5643" width="10.42578125" style="130"/>
    <col min="5644" max="5644" width="14.28515625" style="130" customWidth="1"/>
    <col min="5645" max="5645" width="11.7109375" style="130" customWidth="1"/>
    <col min="5646" max="5890" width="10.42578125" style="130"/>
    <col min="5891" max="5891" width="36.28515625" style="130" customWidth="1"/>
    <col min="5892" max="5892" width="10.42578125" style="130"/>
    <col min="5893" max="5893" width="17.140625" style="130" customWidth="1"/>
    <col min="5894" max="5894" width="15.140625" style="130" customWidth="1"/>
    <col min="5895" max="5895" width="14.85546875" style="130" customWidth="1"/>
    <col min="5896" max="5896" width="10.42578125" style="130"/>
    <col min="5897" max="5897" width="12.85546875" style="130" customWidth="1"/>
    <col min="5898" max="5898" width="15.42578125" style="130" customWidth="1"/>
    <col min="5899" max="5899" width="10.42578125" style="130"/>
    <col min="5900" max="5900" width="14.28515625" style="130" customWidth="1"/>
    <col min="5901" max="5901" width="11.7109375" style="130" customWidth="1"/>
    <col min="5902" max="6146" width="10.42578125" style="130"/>
    <col min="6147" max="6147" width="36.28515625" style="130" customWidth="1"/>
    <col min="6148" max="6148" width="10.42578125" style="130"/>
    <col min="6149" max="6149" width="17.140625" style="130" customWidth="1"/>
    <col min="6150" max="6150" width="15.140625" style="130" customWidth="1"/>
    <col min="6151" max="6151" width="14.85546875" style="130" customWidth="1"/>
    <col min="6152" max="6152" width="10.42578125" style="130"/>
    <col min="6153" max="6153" width="12.85546875" style="130" customWidth="1"/>
    <col min="6154" max="6154" width="15.42578125" style="130" customWidth="1"/>
    <col min="6155" max="6155" width="10.42578125" style="130"/>
    <col min="6156" max="6156" width="14.28515625" style="130" customWidth="1"/>
    <col min="6157" max="6157" width="11.7109375" style="130" customWidth="1"/>
    <col min="6158" max="6402" width="10.42578125" style="130"/>
    <col min="6403" max="6403" width="36.28515625" style="130" customWidth="1"/>
    <col min="6404" max="6404" width="10.42578125" style="130"/>
    <col min="6405" max="6405" width="17.140625" style="130" customWidth="1"/>
    <col min="6406" max="6406" width="15.140625" style="130" customWidth="1"/>
    <col min="6407" max="6407" width="14.85546875" style="130" customWidth="1"/>
    <col min="6408" max="6408" width="10.42578125" style="130"/>
    <col min="6409" max="6409" width="12.85546875" style="130" customWidth="1"/>
    <col min="6410" max="6410" width="15.42578125" style="130" customWidth="1"/>
    <col min="6411" max="6411" width="10.42578125" style="130"/>
    <col min="6412" max="6412" width="14.28515625" style="130" customWidth="1"/>
    <col min="6413" max="6413" width="11.7109375" style="130" customWidth="1"/>
    <col min="6414" max="6658" width="10.42578125" style="130"/>
    <col min="6659" max="6659" width="36.28515625" style="130" customWidth="1"/>
    <col min="6660" max="6660" width="10.42578125" style="130"/>
    <col min="6661" max="6661" width="17.140625" style="130" customWidth="1"/>
    <col min="6662" max="6662" width="15.140625" style="130" customWidth="1"/>
    <col min="6663" max="6663" width="14.85546875" style="130" customWidth="1"/>
    <col min="6664" max="6664" width="10.42578125" style="130"/>
    <col min="6665" max="6665" width="12.85546875" style="130" customWidth="1"/>
    <col min="6666" max="6666" width="15.42578125" style="130" customWidth="1"/>
    <col min="6667" max="6667" width="10.42578125" style="130"/>
    <col min="6668" max="6668" width="14.28515625" style="130" customWidth="1"/>
    <col min="6669" max="6669" width="11.7109375" style="130" customWidth="1"/>
    <col min="6670" max="6914" width="10.42578125" style="130"/>
    <col min="6915" max="6915" width="36.28515625" style="130" customWidth="1"/>
    <col min="6916" max="6916" width="10.42578125" style="130"/>
    <col min="6917" max="6917" width="17.140625" style="130" customWidth="1"/>
    <col min="6918" max="6918" width="15.140625" style="130" customWidth="1"/>
    <col min="6919" max="6919" width="14.85546875" style="130" customWidth="1"/>
    <col min="6920" max="6920" width="10.42578125" style="130"/>
    <col min="6921" max="6921" width="12.85546875" style="130" customWidth="1"/>
    <col min="6922" max="6922" width="15.42578125" style="130" customWidth="1"/>
    <col min="6923" max="6923" width="10.42578125" style="130"/>
    <col min="6924" max="6924" width="14.28515625" style="130" customWidth="1"/>
    <col min="6925" max="6925" width="11.7109375" style="130" customWidth="1"/>
    <col min="6926" max="7170" width="10.42578125" style="130"/>
    <col min="7171" max="7171" width="36.28515625" style="130" customWidth="1"/>
    <col min="7172" max="7172" width="10.42578125" style="130"/>
    <col min="7173" max="7173" width="17.140625" style="130" customWidth="1"/>
    <col min="7174" max="7174" width="15.140625" style="130" customWidth="1"/>
    <col min="7175" max="7175" width="14.85546875" style="130" customWidth="1"/>
    <col min="7176" max="7176" width="10.42578125" style="130"/>
    <col min="7177" max="7177" width="12.85546875" style="130" customWidth="1"/>
    <col min="7178" max="7178" width="15.42578125" style="130" customWidth="1"/>
    <col min="7179" max="7179" width="10.42578125" style="130"/>
    <col min="7180" max="7180" width="14.28515625" style="130" customWidth="1"/>
    <col min="7181" max="7181" width="11.7109375" style="130" customWidth="1"/>
    <col min="7182" max="7426" width="10.42578125" style="130"/>
    <col min="7427" max="7427" width="36.28515625" style="130" customWidth="1"/>
    <col min="7428" max="7428" width="10.42578125" style="130"/>
    <col min="7429" max="7429" width="17.140625" style="130" customWidth="1"/>
    <col min="7430" max="7430" width="15.140625" style="130" customWidth="1"/>
    <col min="7431" max="7431" width="14.85546875" style="130" customWidth="1"/>
    <col min="7432" max="7432" width="10.42578125" style="130"/>
    <col min="7433" max="7433" width="12.85546875" style="130" customWidth="1"/>
    <col min="7434" max="7434" width="15.42578125" style="130" customWidth="1"/>
    <col min="7435" max="7435" width="10.42578125" style="130"/>
    <col min="7436" max="7436" width="14.28515625" style="130" customWidth="1"/>
    <col min="7437" max="7437" width="11.7109375" style="130" customWidth="1"/>
    <col min="7438" max="7682" width="10.42578125" style="130"/>
    <col min="7683" max="7683" width="36.28515625" style="130" customWidth="1"/>
    <col min="7684" max="7684" width="10.42578125" style="130"/>
    <col min="7685" max="7685" width="17.140625" style="130" customWidth="1"/>
    <col min="7686" max="7686" width="15.140625" style="130" customWidth="1"/>
    <col min="7687" max="7687" width="14.85546875" style="130" customWidth="1"/>
    <col min="7688" max="7688" width="10.42578125" style="130"/>
    <col min="7689" max="7689" width="12.85546875" style="130" customWidth="1"/>
    <col min="7690" max="7690" width="15.42578125" style="130" customWidth="1"/>
    <col min="7691" max="7691" width="10.42578125" style="130"/>
    <col min="7692" max="7692" width="14.28515625" style="130" customWidth="1"/>
    <col min="7693" max="7693" width="11.7109375" style="130" customWidth="1"/>
    <col min="7694" max="7938" width="10.42578125" style="130"/>
    <col min="7939" max="7939" width="36.28515625" style="130" customWidth="1"/>
    <col min="7940" max="7940" width="10.42578125" style="130"/>
    <col min="7941" max="7941" width="17.140625" style="130" customWidth="1"/>
    <col min="7942" max="7942" width="15.140625" style="130" customWidth="1"/>
    <col min="7943" max="7943" width="14.85546875" style="130" customWidth="1"/>
    <col min="7944" max="7944" width="10.42578125" style="130"/>
    <col min="7945" max="7945" width="12.85546875" style="130" customWidth="1"/>
    <col min="7946" max="7946" width="15.42578125" style="130" customWidth="1"/>
    <col min="7947" max="7947" width="10.42578125" style="130"/>
    <col min="7948" max="7948" width="14.28515625" style="130" customWidth="1"/>
    <col min="7949" max="7949" width="11.7109375" style="130" customWidth="1"/>
    <col min="7950" max="8194" width="10.42578125" style="130"/>
    <col min="8195" max="8195" width="36.28515625" style="130" customWidth="1"/>
    <col min="8196" max="8196" width="10.42578125" style="130"/>
    <col min="8197" max="8197" width="17.140625" style="130" customWidth="1"/>
    <col min="8198" max="8198" width="15.140625" style="130" customWidth="1"/>
    <col min="8199" max="8199" width="14.85546875" style="130" customWidth="1"/>
    <col min="8200" max="8200" width="10.42578125" style="130"/>
    <col min="8201" max="8201" width="12.85546875" style="130" customWidth="1"/>
    <col min="8202" max="8202" width="15.42578125" style="130" customWidth="1"/>
    <col min="8203" max="8203" width="10.42578125" style="130"/>
    <col min="8204" max="8204" width="14.28515625" style="130" customWidth="1"/>
    <col min="8205" max="8205" width="11.7109375" style="130" customWidth="1"/>
    <col min="8206" max="8450" width="10.42578125" style="130"/>
    <col min="8451" max="8451" width="36.28515625" style="130" customWidth="1"/>
    <col min="8452" max="8452" width="10.42578125" style="130"/>
    <col min="8453" max="8453" width="17.140625" style="130" customWidth="1"/>
    <col min="8454" max="8454" width="15.140625" style="130" customWidth="1"/>
    <col min="8455" max="8455" width="14.85546875" style="130" customWidth="1"/>
    <col min="8456" max="8456" width="10.42578125" style="130"/>
    <col min="8457" max="8457" width="12.85546875" style="130" customWidth="1"/>
    <col min="8458" max="8458" width="15.42578125" style="130" customWidth="1"/>
    <col min="8459" max="8459" width="10.42578125" style="130"/>
    <col min="8460" max="8460" width="14.28515625" style="130" customWidth="1"/>
    <col min="8461" max="8461" width="11.7109375" style="130" customWidth="1"/>
    <col min="8462" max="8706" width="10.42578125" style="130"/>
    <col min="8707" max="8707" width="36.28515625" style="130" customWidth="1"/>
    <col min="8708" max="8708" width="10.42578125" style="130"/>
    <col min="8709" max="8709" width="17.140625" style="130" customWidth="1"/>
    <col min="8710" max="8710" width="15.140625" style="130" customWidth="1"/>
    <col min="8711" max="8711" width="14.85546875" style="130" customWidth="1"/>
    <col min="8712" max="8712" width="10.42578125" style="130"/>
    <col min="8713" max="8713" width="12.85546875" style="130" customWidth="1"/>
    <col min="8714" max="8714" width="15.42578125" style="130" customWidth="1"/>
    <col min="8715" max="8715" width="10.42578125" style="130"/>
    <col min="8716" max="8716" width="14.28515625" style="130" customWidth="1"/>
    <col min="8717" max="8717" width="11.7109375" style="130" customWidth="1"/>
    <col min="8718" max="8962" width="10.42578125" style="130"/>
    <col min="8963" max="8963" width="36.28515625" style="130" customWidth="1"/>
    <col min="8964" max="8964" width="10.42578125" style="130"/>
    <col min="8965" max="8965" width="17.140625" style="130" customWidth="1"/>
    <col min="8966" max="8966" width="15.140625" style="130" customWidth="1"/>
    <col min="8967" max="8967" width="14.85546875" style="130" customWidth="1"/>
    <col min="8968" max="8968" width="10.42578125" style="130"/>
    <col min="8969" max="8969" width="12.85546875" style="130" customWidth="1"/>
    <col min="8970" max="8970" width="15.42578125" style="130" customWidth="1"/>
    <col min="8971" max="8971" width="10.42578125" style="130"/>
    <col min="8972" max="8972" width="14.28515625" style="130" customWidth="1"/>
    <col min="8973" max="8973" width="11.7109375" style="130" customWidth="1"/>
    <col min="8974" max="9218" width="10.42578125" style="130"/>
    <col min="9219" max="9219" width="36.28515625" style="130" customWidth="1"/>
    <col min="9220" max="9220" width="10.42578125" style="130"/>
    <col min="9221" max="9221" width="17.140625" style="130" customWidth="1"/>
    <col min="9222" max="9222" width="15.140625" style="130" customWidth="1"/>
    <col min="9223" max="9223" width="14.85546875" style="130" customWidth="1"/>
    <col min="9224" max="9224" width="10.42578125" style="130"/>
    <col min="9225" max="9225" width="12.85546875" style="130" customWidth="1"/>
    <col min="9226" max="9226" width="15.42578125" style="130" customWidth="1"/>
    <col min="9227" max="9227" width="10.42578125" style="130"/>
    <col min="9228" max="9228" width="14.28515625" style="130" customWidth="1"/>
    <col min="9229" max="9229" width="11.7109375" style="130" customWidth="1"/>
    <col min="9230" max="9474" width="10.42578125" style="130"/>
    <col min="9475" max="9475" width="36.28515625" style="130" customWidth="1"/>
    <col min="9476" max="9476" width="10.42578125" style="130"/>
    <col min="9477" max="9477" width="17.140625" style="130" customWidth="1"/>
    <col min="9478" max="9478" width="15.140625" style="130" customWidth="1"/>
    <col min="9479" max="9479" width="14.85546875" style="130" customWidth="1"/>
    <col min="9480" max="9480" width="10.42578125" style="130"/>
    <col min="9481" max="9481" width="12.85546875" style="130" customWidth="1"/>
    <col min="9482" max="9482" width="15.42578125" style="130" customWidth="1"/>
    <col min="9483" max="9483" width="10.42578125" style="130"/>
    <col min="9484" max="9484" width="14.28515625" style="130" customWidth="1"/>
    <col min="9485" max="9485" width="11.7109375" style="130" customWidth="1"/>
    <col min="9486" max="9730" width="10.42578125" style="130"/>
    <col min="9731" max="9731" width="36.28515625" style="130" customWidth="1"/>
    <col min="9732" max="9732" width="10.42578125" style="130"/>
    <col min="9733" max="9733" width="17.140625" style="130" customWidth="1"/>
    <col min="9734" max="9734" width="15.140625" style="130" customWidth="1"/>
    <col min="9735" max="9735" width="14.85546875" style="130" customWidth="1"/>
    <col min="9736" max="9736" width="10.42578125" style="130"/>
    <col min="9737" max="9737" width="12.85546875" style="130" customWidth="1"/>
    <col min="9738" max="9738" width="15.42578125" style="130" customWidth="1"/>
    <col min="9739" max="9739" width="10.42578125" style="130"/>
    <col min="9740" max="9740" width="14.28515625" style="130" customWidth="1"/>
    <col min="9741" max="9741" width="11.7109375" style="130" customWidth="1"/>
    <col min="9742" max="9986" width="10.42578125" style="130"/>
    <col min="9987" max="9987" width="36.28515625" style="130" customWidth="1"/>
    <col min="9988" max="9988" width="10.42578125" style="130"/>
    <col min="9989" max="9989" width="17.140625" style="130" customWidth="1"/>
    <col min="9990" max="9990" width="15.140625" style="130" customWidth="1"/>
    <col min="9991" max="9991" width="14.85546875" style="130" customWidth="1"/>
    <col min="9992" max="9992" width="10.42578125" style="130"/>
    <col min="9993" max="9993" width="12.85546875" style="130" customWidth="1"/>
    <col min="9994" max="9994" width="15.42578125" style="130" customWidth="1"/>
    <col min="9995" max="9995" width="10.42578125" style="130"/>
    <col min="9996" max="9996" width="14.28515625" style="130" customWidth="1"/>
    <col min="9997" max="9997" width="11.7109375" style="130" customWidth="1"/>
    <col min="9998" max="10242" width="10.42578125" style="130"/>
    <col min="10243" max="10243" width="36.28515625" style="130" customWidth="1"/>
    <col min="10244" max="10244" width="10.42578125" style="130"/>
    <col min="10245" max="10245" width="17.140625" style="130" customWidth="1"/>
    <col min="10246" max="10246" width="15.140625" style="130" customWidth="1"/>
    <col min="10247" max="10247" width="14.85546875" style="130" customWidth="1"/>
    <col min="10248" max="10248" width="10.42578125" style="130"/>
    <col min="10249" max="10249" width="12.85546875" style="130" customWidth="1"/>
    <col min="10250" max="10250" width="15.42578125" style="130" customWidth="1"/>
    <col min="10251" max="10251" width="10.42578125" style="130"/>
    <col min="10252" max="10252" width="14.28515625" style="130" customWidth="1"/>
    <col min="10253" max="10253" width="11.7109375" style="130" customWidth="1"/>
    <col min="10254" max="10498" width="10.42578125" style="130"/>
    <col min="10499" max="10499" width="36.28515625" style="130" customWidth="1"/>
    <col min="10500" max="10500" width="10.42578125" style="130"/>
    <col min="10501" max="10501" width="17.140625" style="130" customWidth="1"/>
    <col min="10502" max="10502" width="15.140625" style="130" customWidth="1"/>
    <col min="10503" max="10503" width="14.85546875" style="130" customWidth="1"/>
    <col min="10504" max="10504" width="10.42578125" style="130"/>
    <col min="10505" max="10505" width="12.85546875" style="130" customWidth="1"/>
    <col min="10506" max="10506" width="15.42578125" style="130" customWidth="1"/>
    <col min="10507" max="10507" width="10.42578125" style="130"/>
    <col min="10508" max="10508" width="14.28515625" style="130" customWidth="1"/>
    <col min="10509" max="10509" width="11.7109375" style="130" customWidth="1"/>
    <col min="10510" max="10754" width="10.42578125" style="130"/>
    <col min="10755" max="10755" width="36.28515625" style="130" customWidth="1"/>
    <col min="10756" max="10756" width="10.42578125" style="130"/>
    <col min="10757" max="10757" width="17.140625" style="130" customWidth="1"/>
    <col min="10758" max="10758" width="15.140625" style="130" customWidth="1"/>
    <col min="10759" max="10759" width="14.85546875" style="130" customWidth="1"/>
    <col min="10760" max="10760" width="10.42578125" style="130"/>
    <col min="10761" max="10761" width="12.85546875" style="130" customWidth="1"/>
    <col min="10762" max="10762" width="15.42578125" style="130" customWidth="1"/>
    <col min="10763" max="10763" width="10.42578125" style="130"/>
    <col min="10764" max="10764" width="14.28515625" style="130" customWidth="1"/>
    <col min="10765" max="10765" width="11.7109375" style="130" customWidth="1"/>
    <col min="10766" max="11010" width="10.42578125" style="130"/>
    <col min="11011" max="11011" width="36.28515625" style="130" customWidth="1"/>
    <col min="11012" max="11012" width="10.42578125" style="130"/>
    <col min="11013" max="11013" width="17.140625" style="130" customWidth="1"/>
    <col min="11014" max="11014" width="15.140625" style="130" customWidth="1"/>
    <col min="11015" max="11015" width="14.85546875" style="130" customWidth="1"/>
    <col min="11016" max="11016" width="10.42578125" style="130"/>
    <col min="11017" max="11017" width="12.85546875" style="130" customWidth="1"/>
    <col min="11018" max="11018" width="15.42578125" style="130" customWidth="1"/>
    <col min="11019" max="11019" width="10.42578125" style="130"/>
    <col min="11020" max="11020" width="14.28515625" style="130" customWidth="1"/>
    <col min="11021" max="11021" width="11.7109375" style="130" customWidth="1"/>
    <col min="11022" max="11266" width="10.42578125" style="130"/>
    <col min="11267" max="11267" width="36.28515625" style="130" customWidth="1"/>
    <col min="11268" max="11268" width="10.42578125" style="130"/>
    <col min="11269" max="11269" width="17.140625" style="130" customWidth="1"/>
    <col min="11270" max="11270" width="15.140625" style="130" customWidth="1"/>
    <col min="11271" max="11271" width="14.85546875" style="130" customWidth="1"/>
    <col min="11272" max="11272" width="10.42578125" style="130"/>
    <col min="11273" max="11273" width="12.85546875" style="130" customWidth="1"/>
    <col min="11274" max="11274" width="15.42578125" style="130" customWidth="1"/>
    <col min="11275" max="11275" width="10.42578125" style="130"/>
    <col min="11276" max="11276" width="14.28515625" style="130" customWidth="1"/>
    <col min="11277" max="11277" width="11.7109375" style="130" customWidth="1"/>
    <col min="11278" max="11522" width="10.42578125" style="130"/>
    <col min="11523" max="11523" width="36.28515625" style="130" customWidth="1"/>
    <col min="11524" max="11524" width="10.42578125" style="130"/>
    <col min="11525" max="11525" width="17.140625" style="130" customWidth="1"/>
    <col min="11526" max="11526" width="15.140625" style="130" customWidth="1"/>
    <col min="11527" max="11527" width="14.85546875" style="130" customWidth="1"/>
    <col min="11528" max="11528" width="10.42578125" style="130"/>
    <col min="11529" max="11529" width="12.85546875" style="130" customWidth="1"/>
    <col min="11530" max="11530" width="15.42578125" style="130" customWidth="1"/>
    <col min="11531" max="11531" width="10.42578125" style="130"/>
    <col min="11532" max="11532" width="14.28515625" style="130" customWidth="1"/>
    <col min="11533" max="11533" width="11.7109375" style="130" customWidth="1"/>
    <col min="11534" max="11778" width="10.42578125" style="130"/>
    <col min="11779" max="11779" width="36.28515625" style="130" customWidth="1"/>
    <col min="11780" max="11780" width="10.42578125" style="130"/>
    <col min="11781" max="11781" width="17.140625" style="130" customWidth="1"/>
    <col min="11782" max="11782" width="15.140625" style="130" customWidth="1"/>
    <col min="11783" max="11783" width="14.85546875" style="130" customWidth="1"/>
    <col min="11784" max="11784" width="10.42578125" style="130"/>
    <col min="11785" max="11785" width="12.85546875" style="130" customWidth="1"/>
    <col min="11786" max="11786" width="15.42578125" style="130" customWidth="1"/>
    <col min="11787" max="11787" width="10.42578125" style="130"/>
    <col min="11788" max="11788" width="14.28515625" style="130" customWidth="1"/>
    <col min="11789" max="11789" width="11.7109375" style="130" customWidth="1"/>
    <col min="11790" max="12034" width="10.42578125" style="130"/>
    <col min="12035" max="12035" width="36.28515625" style="130" customWidth="1"/>
    <col min="12036" max="12036" width="10.42578125" style="130"/>
    <col min="12037" max="12037" width="17.140625" style="130" customWidth="1"/>
    <col min="12038" max="12038" width="15.140625" style="130" customWidth="1"/>
    <col min="12039" max="12039" width="14.85546875" style="130" customWidth="1"/>
    <col min="12040" max="12040" width="10.42578125" style="130"/>
    <col min="12041" max="12041" width="12.85546875" style="130" customWidth="1"/>
    <col min="12042" max="12042" width="15.42578125" style="130" customWidth="1"/>
    <col min="12043" max="12043" width="10.42578125" style="130"/>
    <col min="12044" max="12044" width="14.28515625" style="130" customWidth="1"/>
    <col min="12045" max="12045" width="11.7109375" style="130" customWidth="1"/>
    <col min="12046" max="12290" width="10.42578125" style="130"/>
    <col min="12291" max="12291" width="36.28515625" style="130" customWidth="1"/>
    <col min="12292" max="12292" width="10.42578125" style="130"/>
    <col min="12293" max="12293" width="17.140625" style="130" customWidth="1"/>
    <col min="12294" max="12294" width="15.140625" style="130" customWidth="1"/>
    <col min="12295" max="12295" width="14.85546875" style="130" customWidth="1"/>
    <col min="12296" max="12296" width="10.42578125" style="130"/>
    <col min="12297" max="12297" width="12.85546875" style="130" customWidth="1"/>
    <col min="12298" max="12298" width="15.42578125" style="130" customWidth="1"/>
    <col min="12299" max="12299" width="10.42578125" style="130"/>
    <col min="12300" max="12300" width="14.28515625" style="130" customWidth="1"/>
    <col min="12301" max="12301" width="11.7109375" style="130" customWidth="1"/>
    <col min="12302" max="12546" width="10.42578125" style="130"/>
    <col min="12547" max="12547" width="36.28515625" style="130" customWidth="1"/>
    <col min="12548" max="12548" width="10.42578125" style="130"/>
    <col min="12549" max="12549" width="17.140625" style="130" customWidth="1"/>
    <col min="12550" max="12550" width="15.140625" style="130" customWidth="1"/>
    <col min="12551" max="12551" width="14.85546875" style="130" customWidth="1"/>
    <col min="12552" max="12552" width="10.42578125" style="130"/>
    <col min="12553" max="12553" width="12.85546875" style="130" customWidth="1"/>
    <col min="12554" max="12554" width="15.42578125" style="130" customWidth="1"/>
    <col min="12555" max="12555" width="10.42578125" style="130"/>
    <col min="12556" max="12556" width="14.28515625" style="130" customWidth="1"/>
    <col min="12557" max="12557" width="11.7109375" style="130" customWidth="1"/>
    <col min="12558" max="12802" width="10.42578125" style="130"/>
    <col min="12803" max="12803" width="36.28515625" style="130" customWidth="1"/>
    <col min="12804" max="12804" width="10.42578125" style="130"/>
    <col min="12805" max="12805" width="17.140625" style="130" customWidth="1"/>
    <col min="12806" max="12806" width="15.140625" style="130" customWidth="1"/>
    <col min="12807" max="12807" width="14.85546875" style="130" customWidth="1"/>
    <col min="12808" max="12808" width="10.42578125" style="130"/>
    <col min="12809" max="12809" width="12.85546875" style="130" customWidth="1"/>
    <col min="12810" max="12810" width="15.42578125" style="130" customWidth="1"/>
    <col min="12811" max="12811" width="10.42578125" style="130"/>
    <col min="12812" max="12812" width="14.28515625" style="130" customWidth="1"/>
    <col min="12813" max="12813" width="11.7109375" style="130" customWidth="1"/>
    <col min="12814" max="13058" width="10.42578125" style="130"/>
    <col min="13059" max="13059" width="36.28515625" style="130" customWidth="1"/>
    <col min="13060" max="13060" width="10.42578125" style="130"/>
    <col min="13061" max="13061" width="17.140625" style="130" customWidth="1"/>
    <col min="13062" max="13062" width="15.140625" style="130" customWidth="1"/>
    <col min="13063" max="13063" width="14.85546875" style="130" customWidth="1"/>
    <col min="13064" max="13064" width="10.42578125" style="130"/>
    <col min="13065" max="13065" width="12.85546875" style="130" customWidth="1"/>
    <col min="13066" max="13066" width="15.42578125" style="130" customWidth="1"/>
    <col min="13067" max="13067" width="10.42578125" style="130"/>
    <col min="13068" max="13068" width="14.28515625" style="130" customWidth="1"/>
    <col min="13069" max="13069" width="11.7109375" style="130" customWidth="1"/>
    <col min="13070" max="13314" width="10.42578125" style="130"/>
    <col min="13315" max="13315" width="36.28515625" style="130" customWidth="1"/>
    <col min="13316" max="13316" width="10.42578125" style="130"/>
    <col min="13317" max="13317" width="17.140625" style="130" customWidth="1"/>
    <col min="13318" max="13318" width="15.140625" style="130" customWidth="1"/>
    <col min="13319" max="13319" width="14.85546875" style="130" customWidth="1"/>
    <col min="13320" max="13320" width="10.42578125" style="130"/>
    <col min="13321" max="13321" width="12.85546875" style="130" customWidth="1"/>
    <col min="13322" max="13322" width="15.42578125" style="130" customWidth="1"/>
    <col min="13323" max="13323" width="10.42578125" style="130"/>
    <col min="13324" max="13324" width="14.28515625" style="130" customWidth="1"/>
    <col min="13325" max="13325" width="11.7109375" style="130" customWidth="1"/>
    <col min="13326" max="13570" width="10.42578125" style="130"/>
    <col min="13571" max="13571" width="36.28515625" style="130" customWidth="1"/>
    <col min="13572" max="13572" width="10.42578125" style="130"/>
    <col min="13573" max="13573" width="17.140625" style="130" customWidth="1"/>
    <col min="13574" max="13574" width="15.140625" style="130" customWidth="1"/>
    <col min="13575" max="13575" width="14.85546875" style="130" customWidth="1"/>
    <col min="13576" max="13576" width="10.42578125" style="130"/>
    <col min="13577" max="13577" width="12.85546875" style="130" customWidth="1"/>
    <col min="13578" max="13578" width="15.42578125" style="130" customWidth="1"/>
    <col min="13579" max="13579" width="10.42578125" style="130"/>
    <col min="13580" max="13580" width="14.28515625" style="130" customWidth="1"/>
    <col min="13581" max="13581" width="11.7109375" style="130" customWidth="1"/>
    <col min="13582" max="13826" width="10.42578125" style="130"/>
    <col min="13827" max="13827" width="36.28515625" style="130" customWidth="1"/>
    <col min="13828" max="13828" width="10.42578125" style="130"/>
    <col min="13829" max="13829" width="17.140625" style="130" customWidth="1"/>
    <col min="13830" max="13830" width="15.140625" style="130" customWidth="1"/>
    <col min="13831" max="13831" width="14.85546875" style="130" customWidth="1"/>
    <col min="13832" max="13832" width="10.42578125" style="130"/>
    <col min="13833" max="13833" width="12.85546875" style="130" customWidth="1"/>
    <col min="13834" max="13834" width="15.42578125" style="130" customWidth="1"/>
    <col min="13835" max="13835" width="10.42578125" style="130"/>
    <col min="13836" max="13836" width="14.28515625" style="130" customWidth="1"/>
    <col min="13837" max="13837" width="11.7109375" style="130" customWidth="1"/>
    <col min="13838" max="14082" width="10.42578125" style="130"/>
    <col min="14083" max="14083" width="36.28515625" style="130" customWidth="1"/>
    <col min="14084" max="14084" width="10.42578125" style="130"/>
    <col min="14085" max="14085" width="17.140625" style="130" customWidth="1"/>
    <col min="14086" max="14086" width="15.140625" style="130" customWidth="1"/>
    <col min="14087" max="14087" width="14.85546875" style="130" customWidth="1"/>
    <col min="14088" max="14088" width="10.42578125" style="130"/>
    <col min="14089" max="14089" width="12.85546875" style="130" customWidth="1"/>
    <col min="14090" max="14090" width="15.42578125" style="130" customWidth="1"/>
    <col min="14091" max="14091" width="10.42578125" style="130"/>
    <col min="14092" max="14092" width="14.28515625" style="130" customWidth="1"/>
    <col min="14093" max="14093" width="11.7109375" style="130" customWidth="1"/>
    <col min="14094" max="14338" width="10.42578125" style="130"/>
    <col min="14339" max="14339" width="36.28515625" style="130" customWidth="1"/>
    <col min="14340" max="14340" width="10.42578125" style="130"/>
    <col min="14341" max="14341" width="17.140625" style="130" customWidth="1"/>
    <col min="14342" max="14342" width="15.140625" style="130" customWidth="1"/>
    <col min="14343" max="14343" width="14.85546875" style="130" customWidth="1"/>
    <col min="14344" max="14344" width="10.42578125" style="130"/>
    <col min="14345" max="14345" width="12.85546875" style="130" customWidth="1"/>
    <col min="14346" max="14346" width="15.42578125" style="130" customWidth="1"/>
    <col min="14347" max="14347" width="10.42578125" style="130"/>
    <col min="14348" max="14348" width="14.28515625" style="130" customWidth="1"/>
    <col min="14349" max="14349" width="11.7109375" style="130" customWidth="1"/>
    <col min="14350" max="14594" width="10.42578125" style="130"/>
    <col min="14595" max="14595" width="36.28515625" style="130" customWidth="1"/>
    <col min="14596" max="14596" width="10.42578125" style="130"/>
    <col min="14597" max="14597" width="17.140625" style="130" customWidth="1"/>
    <col min="14598" max="14598" width="15.140625" style="130" customWidth="1"/>
    <col min="14599" max="14599" width="14.85546875" style="130" customWidth="1"/>
    <col min="14600" max="14600" width="10.42578125" style="130"/>
    <col min="14601" max="14601" width="12.85546875" style="130" customWidth="1"/>
    <col min="14602" max="14602" width="15.42578125" style="130" customWidth="1"/>
    <col min="14603" max="14603" width="10.42578125" style="130"/>
    <col min="14604" max="14604" width="14.28515625" style="130" customWidth="1"/>
    <col min="14605" max="14605" width="11.7109375" style="130" customWidth="1"/>
    <col min="14606" max="14850" width="10.42578125" style="130"/>
    <col min="14851" max="14851" width="36.28515625" style="130" customWidth="1"/>
    <col min="14852" max="14852" width="10.42578125" style="130"/>
    <col min="14853" max="14853" width="17.140625" style="130" customWidth="1"/>
    <col min="14854" max="14854" width="15.140625" style="130" customWidth="1"/>
    <col min="14855" max="14855" width="14.85546875" style="130" customWidth="1"/>
    <col min="14856" max="14856" width="10.42578125" style="130"/>
    <col min="14857" max="14857" width="12.85546875" style="130" customWidth="1"/>
    <col min="14858" max="14858" width="15.42578125" style="130" customWidth="1"/>
    <col min="14859" max="14859" width="10.42578125" style="130"/>
    <col min="14860" max="14860" width="14.28515625" style="130" customWidth="1"/>
    <col min="14861" max="14861" width="11.7109375" style="130" customWidth="1"/>
    <col min="14862" max="15106" width="10.42578125" style="130"/>
    <col min="15107" max="15107" width="36.28515625" style="130" customWidth="1"/>
    <col min="15108" max="15108" width="10.42578125" style="130"/>
    <col min="15109" max="15109" width="17.140625" style="130" customWidth="1"/>
    <col min="15110" max="15110" width="15.140625" style="130" customWidth="1"/>
    <col min="15111" max="15111" width="14.85546875" style="130" customWidth="1"/>
    <col min="15112" max="15112" width="10.42578125" style="130"/>
    <col min="15113" max="15113" width="12.85546875" style="130" customWidth="1"/>
    <col min="15114" max="15114" width="15.42578125" style="130" customWidth="1"/>
    <col min="15115" max="15115" width="10.42578125" style="130"/>
    <col min="15116" max="15116" width="14.28515625" style="130" customWidth="1"/>
    <col min="15117" max="15117" width="11.7109375" style="130" customWidth="1"/>
    <col min="15118" max="15362" width="10.42578125" style="130"/>
    <col min="15363" max="15363" width="36.28515625" style="130" customWidth="1"/>
    <col min="15364" max="15364" width="10.42578125" style="130"/>
    <col min="15365" max="15365" width="17.140625" style="130" customWidth="1"/>
    <col min="15366" max="15366" width="15.140625" style="130" customWidth="1"/>
    <col min="15367" max="15367" width="14.85546875" style="130" customWidth="1"/>
    <col min="15368" max="15368" width="10.42578125" style="130"/>
    <col min="15369" max="15369" width="12.85546875" style="130" customWidth="1"/>
    <col min="15370" max="15370" width="15.42578125" style="130" customWidth="1"/>
    <col min="15371" max="15371" width="10.42578125" style="130"/>
    <col min="15372" max="15372" width="14.28515625" style="130" customWidth="1"/>
    <col min="15373" max="15373" width="11.7109375" style="130" customWidth="1"/>
    <col min="15374" max="15618" width="10.42578125" style="130"/>
    <col min="15619" max="15619" width="36.28515625" style="130" customWidth="1"/>
    <col min="15620" max="15620" width="10.42578125" style="130"/>
    <col min="15621" max="15621" width="17.140625" style="130" customWidth="1"/>
    <col min="15622" max="15622" width="15.140625" style="130" customWidth="1"/>
    <col min="15623" max="15623" width="14.85546875" style="130" customWidth="1"/>
    <col min="15624" max="15624" width="10.42578125" style="130"/>
    <col min="15625" max="15625" width="12.85546875" style="130" customWidth="1"/>
    <col min="15626" max="15626" width="15.42578125" style="130" customWidth="1"/>
    <col min="15627" max="15627" width="10.42578125" style="130"/>
    <col min="15628" max="15628" width="14.28515625" style="130" customWidth="1"/>
    <col min="15629" max="15629" width="11.7109375" style="130" customWidth="1"/>
    <col min="15630" max="15874" width="10.42578125" style="130"/>
    <col min="15875" max="15875" width="36.28515625" style="130" customWidth="1"/>
    <col min="15876" max="15876" width="10.42578125" style="130"/>
    <col min="15877" max="15877" width="17.140625" style="130" customWidth="1"/>
    <col min="15878" max="15878" width="15.140625" style="130" customWidth="1"/>
    <col min="15879" max="15879" width="14.85546875" style="130" customWidth="1"/>
    <col min="15880" max="15880" width="10.42578125" style="130"/>
    <col min="15881" max="15881" width="12.85546875" style="130" customWidth="1"/>
    <col min="15882" max="15882" width="15.42578125" style="130" customWidth="1"/>
    <col min="15883" max="15883" width="10.42578125" style="130"/>
    <col min="15884" max="15884" width="14.28515625" style="130" customWidth="1"/>
    <col min="15885" max="15885" width="11.7109375" style="130" customWidth="1"/>
    <col min="15886" max="16130" width="10.42578125" style="130"/>
    <col min="16131" max="16131" width="36.28515625" style="130" customWidth="1"/>
    <col min="16132" max="16132" width="10.42578125" style="130"/>
    <col min="16133" max="16133" width="17.140625" style="130" customWidth="1"/>
    <col min="16134" max="16134" width="15.140625" style="130" customWidth="1"/>
    <col min="16135" max="16135" width="14.85546875" style="130" customWidth="1"/>
    <col min="16136" max="16136" width="10.42578125" style="130"/>
    <col min="16137" max="16137" width="12.85546875" style="130" customWidth="1"/>
    <col min="16138" max="16138" width="15.42578125" style="130" customWidth="1"/>
    <col min="16139" max="16139" width="10.42578125" style="130"/>
    <col min="16140" max="16140" width="14.28515625" style="130" customWidth="1"/>
    <col min="16141" max="16141" width="11.7109375" style="130" customWidth="1"/>
    <col min="16142" max="16384" width="10.42578125" style="130"/>
  </cols>
  <sheetData>
    <row r="1" spans="2:8" x14ac:dyDescent="0.2">
      <c r="B1" s="1233"/>
      <c r="C1" s="1234"/>
      <c r="D1" s="1233"/>
      <c r="E1" s="1311"/>
      <c r="F1" s="1312"/>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1235"/>
      <c r="E4" s="1236"/>
      <c r="F4" s="1237"/>
      <c r="G4" s="760"/>
    </row>
    <row r="5" spans="2:8" x14ac:dyDescent="0.2">
      <c r="B5" s="761"/>
      <c r="C5" s="767"/>
      <c r="D5" s="768"/>
      <c r="E5" s="769"/>
      <c r="F5" s="770"/>
      <c r="G5" s="766"/>
    </row>
    <row r="6" spans="2:8" ht="15" x14ac:dyDescent="0.2">
      <c r="B6" s="1238" t="s">
        <v>80</v>
      </c>
      <c r="C6" s="3231" t="s">
        <v>1681</v>
      </c>
      <c r="D6" s="3281"/>
      <c r="E6" s="1236"/>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G48</f>
        <v>0</v>
      </c>
    </row>
    <row r="16" spans="2:8" x14ac:dyDescent="0.2">
      <c r="B16" s="792" t="s">
        <v>12</v>
      </c>
      <c r="C16" s="793" t="s">
        <v>86</v>
      </c>
      <c r="D16" s="794"/>
      <c r="E16" s="795"/>
      <c r="F16" s="796"/>
      <c r="G16" s="797">
        <f>G104</f>
        <v>0</v>
      </c>
    </row>
    <row r="17" spans="2:12" x14ac:dyDescent="0.2">
      <c r="B17" s="792" t="s">
        <v>17</v>
      </c>
      <c r="C17" s="793" t="s">
        <v>87</v>
      </c>
      <c r="D17" s="794"/>
      <c r="E17" s="795"/>
      <c r="F17" s="796"/>
      <c r="G17" s="797">
        <f>G194</f>
        <v>0</v>
      </c>
      <c r="J17" s="1239"/>
    </row>
    <row r="18" spans="2:12" ht="17.25" customHeight="1" x14ac:dyDescent="0.2">
      <c r="B18" s="2830"/>
      <c r="C18" s="2831" t="s">
        <v>88</v>
      </c>
      <c r="D18" s="2832"/>
      <c r="E18" s="2833"/>
      <c r="F18" s="2834"/>
      <c r="G18" s="2844">
        <f>SUM(G15:G17)</f>
        <v>0</v>
      </c>
      <c r="L18" s="1257"/>
    </row>
    <row r="19" spans="2:12" x14ac:dyDescent="0.2">
      <c r="B19" s="1233"/>
      <c r="C19" s="1234"/>
      <c r="D19" s="1233"/>
      <c r="E19" s="803"/>
      <c r="F19" s="801"/>
    </row>
    <row r="21" spans="2:12" x14ac:dyDescent="0.2">
      <c r="B21" s="2841" t="s">
        <v>83</v>
      </c>
      <c r="C21" s="2842" t="s">
        <v>89</v>
      </c>
      <c r="D21" s="2843" t="s">
        <v>90</v>
      </c>
      <c r="E21" s="2838" t="s">
        <v>91</v>
      </c>
      <c r="F21" s="2839" t="s">
        <v>92</v>
      </c>
      <c r="G21" s="2840" t="s">
        <v>93</v>
      </c>
    </row>
    <row r="22" spans="2:12" x14ac:dyDescent="0.2">
      <c r="B22" s="811"/>
      <c r="C22" s="812"/>
      <c r="D22" s="813"/>
      <c r="E22" s="814"/>
      <c r="F22" s="815"/>
      <c r="G22" s="816"/>
    </row>
    <row r="23" spans="2:12" ht="20.25" x14ac:dyDescent="0.2">
      <c r="B23" s="817" t="s">
        <v>10</v>
      </c>
      <c r="C23" s="818" t="s">
        <v>85</v>
      </c>
      <c r="D23" s="819"/>
      <c r="E23" s="820"/>
      <c r="F23" s="821"/>
      <c r="G23" s="822"/>
    </row>
    <row r="24" spans="2:12" ht="38.25" x14ac:dyDescent="0.2">
      <c r="B24" s="829">
        <v>1.1000000000000001</v>
      </c>
      <c r="C24" s="830" t="s">
        <v>94</v>
      </c>
      <c r="D24" s="831" t="s">
        <v>95</v>
      </c>
      <c r="E24" s="832">
        <v>4655</v>
      </c>
      <c r="F24" s="833">
        <v>0</v>
      </c>
      <c r="G24" s="834">
        <f>E24*F24</f>
        <v>0</v>
      </c>
    </row>
    <row r="25" spans="2:12" x14ac:dyDescent="0.2">
      <c r="B25" s="829"/>
      <c r="C25" s="830"/>
      <c r="D25" s="831"/>
      <c r="E25" s="832"/>
      <c r="F25" s="833"/>
      <c r="G25" s="834"/>
    </row>
    <row r="26" spans="2:12" ht="166.5" customHeight="1" x14ac:dyDescent="0.2">
      <c r="B26" s="829">
        <v>1.2</v>
      </c>
      <c r="C26" s="836" t="s">
        <v>99</v>
      </c>
      <c r="D26" s="837" t="s">
        <v>123</v>
      </c>
      <c r="E26" s="838">
        <v>1</v>
      </c>
      <c r="F26" s="833">
        <v>0</v>
      </c>
      <c r="G26" s="834">
        <f>E26*F26</f>
        <v>0</v>
      </c>
    </row>
    <row r="27" spans="2:12" x14ac:dyDescent="0.2">
      <c r="B27" s="1313"/>
      <c r="C27" s="1265"/>
      <c r="D27" s="1240"/>
      <c r="E27" s="838"/>
      <c r="F27" s="1241"/>
      <c r="G27" s="839"/>
    </row>
    <row r="28" spans="2:12" x14ac:dyDescent="0.2">
      <c r="B28" s="829">
        <v>1.2</v>
      </c>
      <c r="C28" s="887" t="s">
        <v>96</v>
      </c>
      <c r="D28" s="1240" t="s">
        <v>123</v>
      </c>
      <c r="E28" s="838">
        <v>145</v>
      </c>
      <c r="F28" s="833">
        <v>0</v>
      </c>
      <c r="G28" s="834">
        <f>E28*F28</f>
        <v>0</v>
      </c>
    </row>
    <row r="29" spans="2:12" x14ac:dyDescent="0.2">
      <c r="B29" s="829"/>
      <c r="C29" s="887"/>
      <c r="D29" s="863"/>
      <c r="E29" s="838"/>
      <c r="F29" s="1241"/>
      <c r="G29" s="839"/>
    </row>
    <row r="30" spans="2:12" ht="63.75" x14ac:dyDescent="0.2">
      <c r="B30" s="1273">
        <v>1.3</v>
      </c>
      <c r="C30" s="887" t="s">
        <v>97</v>
      </c>
      <c r="D30" s="1240" t="s">
        <v>98</v>
      </c>
      <c r="E30" s="838">
        <v>1</v>
      </c>
      <c r="F30" s="833">
        <v>0</v>
      </c>
      <c r="G30" s="834">
        <f>E30*F30</f>
        <v>0</v>
      </c>
    </row>
    <row r="31" spans="2:12" x14ac:dyDescent="0.2">
      <c r="B31" s="1273"/>
      <c r="C31" s="1274"/>
      <c r="D31" s="1275"/>
      <c r="E31" s="905"/>
      <c r="F31" s="929"/>
      <c r="G31" s="905"/>
      <c r="H31" s="903"/>
    </row>
    <row r="32" spans="2:12" ht="25.5" x14ac:dyDescent="0.2">
      <c r="B32" s="861" t="s">
        <v>641</v>
      </c>
      <c r="C32" s="887" t="s">
        <v>1136</v>
      </c>
      <c r="D32" s="863" t="s">
        <v>123</v>
      </c>
      <c r="E32" s="838">
        <v>1</v>
      </c>
      <c r="F32" s="833">
        <v>0</v>
      </c>
      <c r="G32" s="834">
        <f>E32*F32</f>
        <v>0</v>
      </c>
    </row>
    <row r="33" spans="2:7" x14ac:dyDescent="0.2">
      <c r="B33" s="835"/>
      <c r="C33" s="887"/>
      <c r="D33" s="863"/>
      <c r="E33" s="838"/>
      <c r="F33" s="1241"/>
      <c r="G33" s="839"/>
    </row>
    <row r="34" spans="2:7" ht="38.25" x14ac:dyDescent="0.2">
      <c r="B34" s="861" t="s">
        <v>653</v>
      </c>
      <c r="C34" s="887" t="s">
        <v>1682</v>
      </c>
      <c r="D34" s="863" t="s">
        <v>123</v>
      </c>
      <c r="E34" s="838">
        <v>1</v>
      </c>
      <c r="F34" s="833">
        <v>0</v>
      </c>
      <c r="G34" s="834">
        <f>E34*F34</f>
        <v>0</v>
      </c>
    </row>
    <row r="35" spans="2:7" x14ac:dyDescent="0.2">
      <c r="B35" s="861"/>
      <c r="C35" s="887"/>
      <c r="D35" s="863"/>
      <c r="E35" s="838"/>
      <c r="F35" s="1241"/>
      <c r="G35" s="839"/>
    </row>
    <row r="36" spans="2:7" ht="38.25" x14ac:dyDescent="0.2">
      <c r="B36" s="861" t="s">
        <v>664</v>
      </c>
      <c r="C36" s="887" t="s">
        <v>1645</v>
      </c>
      <c r="D36" s="1240" t="s">
        <v>98</v>
      </c>
      <c r="E36" s="838">
        <v>1</v>
      </c>
      <c r="F36" s="833">
        <v>0</v>
      </c>
      <c r="G36" s="834">
        <f>E36*F36</f>
        <v>0</v>
      </c>
    </row>
    <row r="37" spans="2:7" x14ac:dyDescent="0.2">
      <c r="B37" s="861"/>
      <c r="C37" s="887"/>
      <c r="D37" s="1240"/>
      <c r="E37" s="838"/>
      <c r="F37" s="844"/>
      <c r="G37" s="839"/>
    </row>
    <row r="38" spans="2:7" ht="39.75" customHeight="1" x14ac:dyDescent="0.2">
      <c r="B38" s="861" t="s">
        <v>678</v>
      </c>
      <c r="C38" s="3165" t="s">
        <v>2590</v>
      </c>
      <c r="D38" s="865" t="s">
        <v>95</v>
      </c>
      <c r="E38" s="832">
        <v>5195</v>
      </c>
      <c r="F38" s="833">
        <v>0</v>
      </c>
      <c r="G38" s="834">
        <f>E38*F38</f>
        <v>0</v>
      </c>
    </row>
    <row r="39" spans="2:7" ht="10.5" customHeight="1" x14ac:dyDescent="0.2">
      <c r="B39" s="861"/>
      <c r="C39" s="864"/>
      <c r="D39" s="865"/>
      <c r="E39" s="832"/>
      <c r="F39" s="844"/>
      <c r="G39" s="839"/>
    </row>
    <row r="40" spans="2:7" ht="38.25" x14ac:dyDescent="0.2">
      <c r="B40" s="861" t="s">
        <v>688</v>
      </c>
      <c r="C40" s="3166" t="s">
        <v>1137</v>
      </c>
      <c r="D40" s="863" t="s">
        <v>123</v>
      </c>
      <c r="E40" s="838">
        <v>1</v>
      </c>
      <c r="F40" s="833">
        <v>0</v>
      </c>
      <c r="G40" s="834">
        <f>E40*F40</f>
        <v>0</v>
      </c>
    </row>
    <row r="41" spans="2:7" x14ac:dyDescent="0.2">
      <c r="B41" s="861"/>
      <c r="C41" s="862"/>
      <c r="D41" s="863"/>
      <c r="E41" s="838"/>
      <c r="F41" s="1241"/>
      <c r="G41" s="839"/>
    </row>
    <row r="42" spans="2:7" ht="36" x14ac:dyDescent="0.2">
      <c r="B42" s="861" t="s">
        <v>1199</v>
      </c>
      <c r="C42" s="3165" t="s">
        <v>2591</v>
      </c>
      <c r="D42" s="865" t="s">
        <v>98</v>
      </c>
      <c r="E42" s="832">
        <v>1</v>
      </c>
      <c r="F42" s="833">
        <v>0</v>
      </c>
      <c r="G42" s="834">
        <f>E42*F42</f>
        <v>0</v>
      </c>
    </row>
    <row r="43" spans="2:7" x14ac:dyDescent="0.2">
      <c r="B43" s="861"/>
      <c r="C43" s="864"/>
      <c r="D43" s="865"/>
      <c r="E43" s="832"/>
      <c r="F43" s="844"/>
      <c r="G43" s="839"/>
    </row>
    <row r="44" spans="2:7" ht="38.25" x14ac:dyDescent="0.2">
      <c r="B44" s="861" t="s">
        <v>1200</v>
      </c>
      <c r="C44" s="864" t="s">
        <v>104</v>
      </c>
      <c r="D44" s="865" t="s">
        <v>98</v>
      </c>
      <c r="E44" s="832">
        <v>1</v>
      </c>
      <c r="F44" s="833">
        <v>0</v>
      </c>
      <c r="G44" s="834">
        <f>E44*F44</f>
        <v>0</v>
      </c>
    </row>
    <row r="45" spans="2:7" x14ac:dyDescent="0.2">
      <c r="B45" s="861"/>
      <c r="C45" s="864"/>
      <c r="D45" s="865"/>
      <c r="E45" s="832"/>
      <c r="F45" s="844"/>
      <c r="G45" s="839"/>
    </row>
    <row r="46" spans="2:7" x14ac:dyDescent="0.2">
      <c r="B46" s="861" t="s">
        <v>1201</v>
      </c>
      <c r="C46" s="864" t="s">
        <v>105</v>
      </c>
      <c r="D46" s="865" t="s">
        <v>98</v>
      </c>
      <c r="E46" s="832">
        <v>1</v>
      </c>
      <c r="F46" s="833">
        <v>0</v>
      </c>
      <c r="G46" s="834">
        <f>E46*F46</f>
        <v>0</v>
      </c>
    </row>
    <row r="47" spans="2:7" x14ac:dyDescent="0.2">
      <c r="B47" s="861"/>
      <c r="C47" s="864"/>
      <c r="D47" s="865"/>
      <c r="E47" s="832"/>
      <c r="F47" s="844"/>
      <c r="G47" s="839"/>
    </row>
    <row r="48" spans="2:7" x14ac:dyDescent="0.2">
      <c r="B48" s="872" t="s">
        <v>10</v>
      </c>
      <c r="C48" s="873" t="s">
        <v>108</v>
      </c>
      <c r="D48" s="873"/>
      <c r="E48" s="874"/>
      <c r="F48" s="875"/>
      <c r="G48" s="876">
        <f>SUM(G24:G46)</f>
        <v>0</v>
      </c>
    </row>
    <row r="50" spans="2:12" x14ac:dyDescent="0.2">
      <c r="B50" s="805" t="s">
        <v>83</v>
      </c>
      <c r="C50" s="806" t="s">
        <v>89</v>
      </c>
      <c r="D50" s="807" t="s">
        <v>90</v>
      </c>
      <c r="E50" s="808" t="s">
        <v>91</v>
      </c>
      <c r="F50" s="809" t="s">
        <v>92</v>
      </c>
      <c r="G50" s="810" t="s">
        <v>93</v>
      </c>
    </row>
    <row r="51" spans="2:12" x14ac:dyDescent="0.2">
      <c r="B51" s="811"/>
      <c r="C51" s="877"/>
      <c r="D51" s="878"/>
      <c r="E51" s="814"/>
      <c r="F51" s="815"/>
      <c r="G51" s="816"/>
    </row>
    <row r="52" spans="2:12" ht="20.25" x14ac:dyDescent="0.3">
      <c r="B52" s="817" t="s">
        <v>12</v>
      </c>
      <c r="C52" s="879" t="s">
        <v>109</v>
      </c>
      <c r="D52" s="880"/>
      <c r="E52" s="820"/>
      <c r="F52" s="821"/>
      <c r="G52" s="822"/>
    </row>
    <row r="53" spans="2:12" ht="77.25" customHeight="1" x14ac:dyDescent="0.2">
      <c r="B53" s="3233" t="s">
        <v>110</v>
      </c>
      <c r="C53" s="3234"/>
      <c r="D53" s="3234"/>
      <c r="E53" s="3234"/>
      <c r="F53" s="3234"/>
      <c r="G53" s="3235"/>
    </row>
    <row r="54" spans="2:12" x14ac:dyDescent="0.2">
      <c r="B54" s="1276"/>
      <c r="C54" s="1277"/>
      <c r="D54" s="1255"/>
      <c r="E54" s="838"/>
      <c r="F54" s="844"/>
      <c r="G54" s="839"/>
    </row>
    <row r="55" spans="2:12" ht="27.75" customHeight="1" x14ac:dyDescent="0.2">
      <c r="B55" s="835" t="s">
        <v>1205</v>
      </c>
      <c r="C55" s="887" t="s">
        <v>1206</v>
      </c>
      <c r="D55" s="863" t="s">
        <v>1207</v>
      </c>
      <c r="E55" s="843">
        <f>150*0.2*0.5</f>
        <v>15</v>
      </c>
      <c r="F55" s="833">
        <v>0</v>
      </c>
      <c r="G55" s="834">
        <f>E55*F55</f>
        <v>0</v>
      </c>
    </row>
    <row r="56" spans="2:12" ht="12.75" customHeight="1" x14ac:dyDescent="0.2">
      <c r="B56" s="835"/>
      <c r="C56" s="887"/>
      <c r="D56" s="863"/>
      <c r="E56" s="843"/>
      <c r="F56" s="844"/>
      <c r="G56" s="839"/>
    </row>
    <row r="57" spans="2:12" ht="52.5" customHeight="1" x14ac:dyDescent="0.2">
      <c r="B57" s="835">
        <v>2.2000000000000002</v>
      </c>
      <c r="C57" s="887" t="s">
        <v>1602</v>
      </c>
      <c r="D57" s="1240" t="s">
        <v>95</v>
      </c>
      <c r="E57" s="838">
        <v>420</v>
      </c>
      <c r="F57" s="833">
        <v>0</v>
      </c>
      <c r="G57" s="834">
        <f>E57*F57</f>
        <v>0</v>
      </c>
    </row>
    <row r="58" spans="2:12" ht="13.5" customHeight="1" x14ac:dyDescent="0.2">
      <c r="B58" s="835"/>
      <c r="C58" s="887"/>
      <c r="D58" s="863"/>
      <c r="E58" s="843"/>
      <c r="F58" s="844"/>
      <c r="G58" s="839"/>
    </row>
    <row r="59" spans="2:12" ht="53.25" customHeight="1" x14ac:dyDescent="0.2">
      <c r="B59" s="835" t="s">
        <v>1564</v>
      </c>
      <c r="C59" s="887" t="s">
        <v>1562</v>
      </c>
      <c r="D59" s="1240" t="s">
        <v>1207</v>
      </c>
      <c r="E59" s="838">
        <f>(4655+540)*1.2*0.6*0.15</f>
        <v>561.05999999999995</v>
      </c>
      <c r="F59" s="833">
        <v>0</v>
      </c>
      <c r="G59" s="834">
        <f t="shared" ref="G59" si="0">E59*F59</f>
        <v>0</v>
      </c>
      <c r="I59" s="742"/>
    </row>
    <row r="60" spans="2:12" x14ac:dyDescent="0.2">
      <c r="B60" s="829"/>
      <c r="C60" s="1253"/>
      <c r="D60" s="1240"/>
      <c r="E60" s="838"/>
      <c r="F60" s="844"/>
      <c r="G60" s="839"/>
    </row>
    <row r="61" spans="2:12" ht="53.25" customHeight="1" x14ac:dyDescent="0.2">
      <c r="B61" s="835" t="s">
        <v>1565</v>
      </c>
      <c r="C61" s="887" t="s">
        <v>1563</v>
      </c>
      <c r="D61" s="863" t="s">
        <v>112</v>
      </c>
      <c r="E61" s="838">
        <f>(4655+540)*1.2*0.6*0.85</f>
        <v>3179.3399999999997</v>
      </c>
      <c r="F61" s="833">
        <v>0</v>
      </c>
      <c r="G61" s="834">
        <f t="shared" ref="G61" si="1">E61*F61</f>
        <v>0</v>
      </c>
      <c r="I61" s="742"/>
      <c r="J61" s="923"/>
    </row>
    <row r="62" spans="2:12" x14ac:dyDescent="0.2">
      <c r="B62" s="835"/>
      <c r="C62" s="887"/>
      <c r="D62" s="863"/>
      <c r="E62" s="838"/>
      <c r="F62" s="844"/>
      <c r="G62" s="839"/>
    </row>
    <row r="63" spans="2:12" ht="38.25" x14ac:dyDescent="0.2">
      <c r="B63" s="883" t="s">
        <v>1566</v>
      </c>
      <c r="C63" s="1254" t="s">
        <v>1211</v>
      </c>
      <c r="D63" s="885" t="s">
        <v>117</v>
      </c>
      <c r="E63" s="886">
        <f>(E120)*1.2*2*0.35</f>
        <v>3519.6</v>
      </c>
      <c r="F63" s="833">
        <v>0</v>
      </c>
      <c r="G63" s="834">
        <f t="shared" ref="G63" si="2">E63*F63</f>
        <v>0</v>
      </c>
      <c r="I63" s="1278"/>
      <c r="L63" s="1278"/>
    </row>
    <row r="64" spans="2:12" x14ac:dyDescent="0.2">
      <c r="B64" s="835"/>
      <c r="C64" s="887"/>
      <c r="D64" s="863"/>
      <c r="E64" s="838"/>
      <c r="F64" s="844"/>
      <c r="G64" s="839"/>
    </row>
    <row r="65" spans="2:9" ht="25.5" x14ac:dyDescent="0.2">
      <c r="B65" s="835" t="s">
        <v>1567</v>
      </c>
      <c r="C65" s="887" t="s">
        <v>1212</v>
      </c>
      <c r="D65" s="863" t="s">
        <v>1213</v>
      </c>
      <c r="E65" s="838">
        <f>(4655+540)*0.6</f>
        <v>3117</v>
      </c>
      <c r="F65" s="833">
        <v>0</v>
      </c>
      <c r="G65" s="834">
        <f t="shared" ref="G65" si="3">E65*F65</f>
        <v>0</v>
      </c>
      <c r="I65" s="742"/>
    </row>
    <row r="66" spans="2:9" x14ac:dyDescent="0.2">
      <c r="B66" s="835"/>
      <c r="C66" s="887"/>
      <c r="D66" s="1240"/>
      <c r="E66" s="838"/>
      <c r="F66" s="844"/>
      <c r="G66" s="839"/>
    </row>
    <row r="67" spans="2:9" ht="30" customHeight="1" x14ac:dyDescent="0.2">
      <c r="B67" s="835">
        <v>2.7</v>
      </c>
      <c r="C67" s="887" t="s">
        <v>1568</v>
      </c>
      <c r="D67" s="863" t="s">
        <v>1207</v>
      </c>
      <c r="E67" s="838">
        <f>E59+E61-E69-E71</f>
        <v>1505.9999999999995</v>
      </c>
      <c r="F67" s="833">
        <v>0</v>
      </c>
      <c r="G67" s="834">
        <f t="shared" ref="G67" si="4">E67*F67</f>
        <v>0</v>
      </c>
      <c r="I67" s="742"/>
    </row>
    <row r="68" spans="2:9" x14ac:dyDescent="0.2">
      <c r="B68" s="835"/>
      <c r="C68" s="887"/>
      <c r="D68" s="863"/>
      <c r="E68" s="838"/>
      <c r="F68" s="844"/>
      <c r="G68" s="839"/>
    </row>
    <row r="69" spans="2:9" ht="27" customHeight="1" x14ac:dyDescent="0.2">
      <c r="B69" s="835">
        <v>2.8</v>
      </c>
      <c r="C69" s="887" t="s">
        <v>1217</v>
      </c>
      <c r="D69" s="863" t="s">
        <v>1207</v>
      </c>
      <c r="E69" s="838">
        <f>4655*0.3*0.6</f>
        <v>837.9</v>
      </c>
      <c r="F69" s="833">
        <v>0</v>
      </c>
      <c r="G69" s="834">
        <f t="shared" ref="G69" si="5">E69*F69</f>
        <v>0</v>
      </c>
    </row>
    <row r="70" spans="2:9" x14ac:dyDescent="0.2">
      <c r="B70" s="835"/>
      <c r="C70" s="887"/>
      <c r="D70" s="863"/>
      <c r="E70" s="838"/>
      <c r="F70" s="844"/>
      <c r="G70" s="839"/>
    </row>
    <row r="71" spans="2:9" ht="53.25" customHeight="1" x14ac:dyDescent="0.2">
      <c r="B71" s="835">
        <v>2.9</v>
      </c>
      <c r="C71" s="890" t="s">
        <v>1683</v>
      </c>
      <c r="D71" s="891" t="s">
        <v>1219</v>
      </c>
      <c r="E71" s="1279">
        <f>(4655)*0.5*0.6</f>
        <v>1396.5</v>
      </c>
      <c r="F71" s="833">
        <v>0</v>
      </c>
      <c r="G71" s="834">
        <f t="shared" ref="G71" si="6">E71*F71</f>
        <v>0</v>
      </c>
    </row>
    <row r="72" spans="2:9" x14ac:dyDescent="0.2">
      <c r="B72" s="835"/>
      <c r="C72" s="887"/>
      <c r="D72" s="863"/>
      <c r="E72" s="838"/>
      <c r="F72" s="844"/>
      <c r="G72" s="839"/>
    </row>
    <row r="73" spans="2:9" ht="25.5" x14ac:dyDescent="0.2">
      <c r="B73" s="861" t="s">
        <v>1220</v>
      </c>
      <c r="C73" s="887" t="s">
        <v>1225</v>
      </c>
      <c r="D73" s="863" t="s">
        <v>1226</v>
      </c>
      <c r="E73" s="843">
        <v>1192</v>
      </c>
      <c r="F73" s="833">
        <v>0</v>
      </c>
      <c r="G73" s="834">
        <f t="shared" ref="G73" si="7">E73*F73</f>
        <v>0</v>
      </c>
    </row>
    <row r="74" spans="2:9" x14ac:dyDescent="0.2">
      <c r="B74" s="835"/>
      <c r="C74" s="887"/>
      <c r="D74" s="863"/>
      <c r="E74" s="843"/>
      <c r="F74" s="844"/>
      <c r="G74" s="839"/>
    </row>
    <row r="75" spans="2:9" ht="25.5" x14ac:dyDescent="0.2">
      <c r="B75" s="861" t="s">
        <v>1222</v>
      </c>
      <c r="C75" s="887" t="s">
        <v>1228</v>
      </c>
      <c r="D75" s="1240" t="s">
        <v>1213</v>
      </c>
      <c r="E75" s="843">
        <f>E73*0.8*0.6</f>
        <v>572.16</v>
      </c>
      <c r="F75" s="833">
        <v>0</v>
      </c>
      <c r="G75" s="834">
        <f t="shared" ref="G75" si="8">E75*F75</f>
        <v>0</v>
      </c>
      <c r="I75" s="742"/>
    </row>
    <row r="76" spans="2:9" x14ac:dyDescent="0.2">
      <c r="B76" s="829"/>
      <c r="C76" s="835"/>
      <c r="D76" s="1255"/>
      <c r="E76" s="838"/>
      <c r="F76" s="844"/>
      <c r="G76" s="839"/>
    </row>
    <row r="77" spans="2:9" ht="76.5" x14ac:dyDescent="0.2">
      <c r="B77" s="861" t="s">
        <v>1224</v>
      </c>
      <c r="C77" s="1253" t="s">
        <v>1573</v>
      </c>
      <c r="D77" s="1240" t="s">
        <v>1213</v>
      </c>
      <c r="E77" s="843">
        <f>E75</f>
        <v>572.16</v>
      </c>
      <c r="F77" s="833">
        <v>0</v>
      </c>
      <c r="G77" s="834">
        <f t="shared" ref="G77" si="9">E77*F77</f>
        <v>0</v>
      </c>
      <c r="I77" s="742"/>
    </row>
    <row r="78" spans="2:9" ht="13.5" customHeight="1" x14ac:dyDescent="0.2">
      <c r="B78" s="829"/>
      <c r="C78" s="835"/>
      <c r="D78" s="1255"/>
      <c r="E78" s="843"/>
      <c r="F78" s="844"/>
      <c r="G78" s="839"/>
      <c r="I78" s="742"/>
    </row>
    <row r="79" spans="2:9" ht="38.25" x14ac:dyDescent="0.2">
      <c r="B79" s="861" t="s">
        <v>1227</v>
      </c>
      <c r="C79" s="887" t="s">
        <v>1574</v>
      </c>
      <c r="D79" s="863" t="s">
        <v>1213</v>
      </c>
      <c r="E79" s="843">
        <f>E77</f>
        <v>572.16</v>
      </c>
      <c r="F79" s="833">
        <v>0</v>
      </c>
      <c r="G79" s="834">
        <f t="shared" ref="G79" si="10">E79*F79</f>
        <v>0</v>
      </c>
      <c r="I79" s="742"/>
    </row>
    <row r="80" spans="2:9" x14ac:dyDescent="0.2">
      <c r="B80" s="835"/>
      <c r="C80" s="887"/>
      <c r="D80" s="863"/>
      <c r="E80" s="843"/>
      <c r="F80" s="844"/>
      <c r="G80" s="839"/>
    </row>
    <row r="81" spans="2:9" ht="63.75" x14ac:dyDescent="0.2">
      <c r="B81" s="861" t="s">
        <v>1229</v>
      </c>
      <c r="C81" s="887" t="s">
        <v>1575</v>
      </c>
      <c r="D81" s="1240" t="s">
        <v>1213</v>
      </c>
      <c r="E81" s="843">
        <f>E79*0.4</f>
        <v>228.864</v>
      </c>
      <c r="F81" s="833">
        <v>0</v>
      </c>
      <c r="G81" s="834">
        <f t="shared" ref="G81" si="11">E81*F81</f>
        <v>0</v>
      </c>
      <c r="I81" s="742"/>
    </row>
    <row r="82" spans="2:9" x14ac:dyDescent="0.2">
      <c r="B82" s="829"/>
      <c r="C82" s="835"/>
      <c r="D82" s="1255"/>
      <c r="E82" s="838"/>
      <c r="F82" s="844"/>
      <c r="G82" s="839"/>
    </row>
    <row r="83" spans="2:9" ht="63.75" x14ac:dyDescent="0.2">
      <c r="B83" s="861" t="s">
        <v>1231</v>
      </c>
      <c r="C83" s="887" t="s">
        <v>1576</v>
      </c>
      <c r="D83" s="863" t="s">
        <v>1213</v>
      </c>
      <c r="E83" s="838">
        <f>E79+E81</f>
        <v>801.024</v>
      </c>
      <c r="F83" s="833">
        <v>0</v>
      </c>
      <c r="G83" s="834">
        <f t="shared" ref="G83" si="12">E83*F83</f>
        <v>0</v>
      </c>
      <c r="I83" s="742"/>
    </row>
    <row r="84" spans="2:9" x14ac:dyDescent="0.2">
      <c r="B84" s="835"/>
      <c r="C84" s="887"/>
      <c r="D84" s="1240"/>
      <c r="E84" s="838"/>
      <c r="F84" s="844"/>
      <c r="G84" s="929"/>
    </row>
    <row r="85" spans="2:9" ht="51.75" customHeight="1" x14ac:dyDescent="0.2">
      <c r="B85" s="861" t="s">
        <v>1233</v>
      </c>
      <c r="C85" s="1280" t="s">
        <v>1604</v>
      </c>
      <c r="D85" s="863" t="s">
        <v>1207</v>
      </c>
      <c r="E85" s="838">
        <f>80*0.15</f>
        <v>12</v>
      </c>
      <c r="F85" s="833">
        <v>0</v>
      </c>
      <c r="G85" s="834">
        <f t="shared" ref="G85" si="13">E85*F85</f>
        <v>0</v>
      </c>
      <c r="I85" s="742"/>
    </row>
    <row r="86" spans="2:9" x14ac:dyDescent="0.2">
      <c r="B86" s="835"/>
      <c r="C86" s="887"/>
      <c r="D86" s="1240"/>
      <c r="E86" s="838"/>
      <c r="F86" s="844"/>
      <c r="G86" s="839"/>
      <c r="I86" s="742"/>
    </row>
    <row r="87" spans="2:9" ht="15" customHeight="1" x14ac:dyDescent="0.2">
      <c r="B87" s="861" t="s">
        <v>1235</v>
      </c>
      <c r="C87" s="887" t="s">
        <v>1577</v>
      </c>
      <c r="D87" s="863" t="s">
        <v>112</v>
      </c>
      <c r="E87" s="843">
        <f>E59+E61-E67</f>
        <v>2234.4</v>
      </c>
      <c r="F87" s="833">
        <v>0</v>
      </c>
      <c r="G87" s="834">
        <f t="shared" ref="G87" si="14">E87*F87</f>
        <v>0</v>
      </c>
      <c r="I87" s="742"/>
    </row>
    <row r="88" spans="2:9" x14ac:dyDescent="0.2">
      <c r="B88" s="835"/>
      <c r="C88" s="887"/>
      <c r="D88" s="863"/>
      <c r="E88" s="838"/>
      <c r="F88" s="844"/>
      <c r="G88" s="839"/>
      <c r="I88" s="742"/>
    </row>
    <row r="89" spans="2:9" ht="16.5" customHeight="1" x14ac:dyDescent="0.2">
      <c r="B89" s="861" t="s">
        <v>1237</v>
      </c>
      <c r="C89" s="887" t="s">
        <v>1223</v>
      </c>
      <c r="D89" s="863" t="s">
        <v>112</v>
      </c>
      <c r="E89" s="838">
        <f>E87</f>
        <v>2234.4</v>
      </c>
      <c r="F89" s="833">
        <v>0</v>
      </c>
      <c r="G89" s="834">
        <f t="shared" ref="G89" si="15">E89*F89</f>
        <v>0</v>
      </c>
      <c r="I89" s="742"/>
    </row>
    <row r="90" spans="2:9" x14ac:dyDescent="0.2">
      <c r="B90" s="835"/>
      <c r="C90" s="887"/>
      <c r="D90" s="863"/>
      <c r="E90" s="838"/>
      <c r="F90" s="844"/>
      <c r="G90" s="839"/>
    </row>
    <row r="91" spans="2:9" ht="25.5" x14ac:dyDescent="0.2">
      <c r="B91" s="861" t="s">
        <v>1239</v>
      </c>
      <c r="C91" s="887" t="s">
        <v>1234</v>
      </c>
      <c r="D91" s="863" t="s">
        <v>137</v>
      </c>
      <c r="E91" s="838">
        <f>E83*0.2</f>
        <v>160.20480000000001</v>
      </c>
      <c r="F91" s="833">
        <v>0</v>
      </c>
      <c r="G91" s="834">
        <f t="shared" ref="G91" si="16">E91*F91</f>
        <v>0</v>
      </c>
      <c r="I91" s="742"/>
    </row>
    <row r="92" spans="2:9" x14ac:dyDescent="0.2">
      <c r="B92" s="835"/>
      <c r="C92" s="887"/>
      <c r="D92" s="863"/>
      <c r="E92" s="838"/>
      <c r="F92" s="844"/>
      <c r="G92" s="839"/>
      <c r="I92" s="742"/>
    </row>
    <row r="93" spans="2:9" ht="27" customHeight="1" x14ac:dyDescent="0.2">
      <c r="B93" s="861" t="s">
        <v>1241</v>
      </c>
      <c r="C93" s="887" t="s">
        <v>1236</v>
      </c>
      <c r="D93" s="1240" t="s">
        <v>117</v>
      </c>
      <c r="E93" s="838">
        <f>(2210)*0.5</f>
        <v>1105</v>
      </c>
      <c r="F93" s="833">
        <v>0</v>
      </c>
      <c r="G93" s="834">
        <f t="shared" ref="G93" si="17">E93*F93</f>
        <v>0</v>
      </c>
      <c r="I93" s="742"/>
    </row>
    <row r="94" spans="2:9" ht="15" customHeight="1" x14ac:dyDescent="0.2">
      <c r="B94" s="829"/>
      <c r="C94" s="942"/>
      <c r="D94" s="1240"/>
      <c r="E94" s="838"/>
      <c r="F94" s="844"/>
      <c r="G94" s="905"/>
    </row>
    <row r="95" spans="2:9" ht="60" customHeight="1" x14ac:dyDescent="0.2">
      <c r="B95" s="3282">
        <v>2.21</v>
      </c>
      <c r="C95" s="911" t="s">
        <v>309</v>
      </c>
      <c r="D95" s="912"/>
      <c r="E95" s="913"/>
      <c r="F95" s="914"/>
      <c r="G95" s="915"/>
      <c r="I95" s="742"/>
    </row>
    <row r="96" spans="2:9" ht="13.5" customHeight="1" x14ac:dyDescent="0.2">
      <c r="B96" s="3282"/>
      <c r="C96" s="916" t="s">
        <v>1684</v>
      </c>
      <c r="D96" s="912" t="s">
        <v>95</v>
      </c>
      <c r="E96" s="843">
        <f>5.5+6.5+5+6+3.5+3+8+5.5+5.5+9+5.5+11</f>
        <v>74</v>
      </c>
      <c r="F96" s="833">
        <v>0</v>
      </c>
      <c r="G96" s="834">
        <f t="shared" ref="G96" si="18">E96*F96</f>
        <v>0</v>
      </c>
      <c r="I96" s="742"/>
    </row>
    <row r="97" spans="2:9" ht="13.5" customHeight="1" x14ac:dyDescent="0.2">
      <c r="B97" s="845"/>
      <c r="C97" s="904"/>
      <c r="D97" s="846"/>
      <c r="E97" s="843"/>
      <c r="F97" s="844"/>
      <c r="G97" s="905"/>
      <c r="I97" s="742"/>
    </row>
    <row r="98" spans="2:9" ht="39" customHeight="1" x14ac:dyDescent="0.2">
      <c r="B98" s="861" t="s">
        <v>1284</v>
      </c>
      <c r="C98" s="917" t="s">
        <v>1240</v>
      </c>
      <c r="D98" s="918" t="s">
        <v>112</v>
      </c>
      <c r="E98" s="1281">
        <v>25</v>
      </c>
      <c r="F98" s="833">
        <v>0</v>
      </c>
      <c r="G98" s="834">
        <f t="shared" ref="G98" si="19">E98*F98</f>
        <v>0</v>
      </c>
      <c r="I98" s="1282"/>
    </row>
    <row r="99" spans="2:9" ht="10.5" customHeight="1" x14ac:dyDescent="0.2">
      <c r="B99" s="829"/>
      <c r="C99" s="887"/>
      <c r="D99" s="1240"/>
      <c r="E99" s="838"/>
      <c r="F99" s="844"/>
      <c r="G99" s="905"/>
      <c r="I99" s="742"/>
    </row>
    <row r="100" spans="2:9" ht="55.5" customHeight="1" x14ac:dyDescent="0.2">
      <c r="B100" s="861" t="s">
        <v>1285</v>
      </c>
      <c r="C100" s="922" t="s">
        <v>152</v>
      </c>
      <c r="D100" s="918" t="s">
        <v>149</v>
      </c>
      <c r="E100" s="919">
        <v>25</v>
      </c>
      <c r="F100" s="833">
        <v>0</v>
      </c>
      <c r="G100" s="834">
        <f t="shared" ref="G100" si="20">E100*F100</f>
        <v>0</v>
      </c>
      <c r="I100" s="1282"/>
    </row>
    <row r="101" spans="2:9" ht="12.75" customHeight="1" x14ac:dyDescent="0.2">
      <c r="B101" s="861"/>
      <c r="C101" s="922"/>
      <c r="D101" s="918"/>
      <c r="E101" s="919"/>
      <c r="F101" s="920"/>
      <c r="G101" s="905"/>
      <c r="I101" s="1282"/>
    </row>
    <row r="102" spans="2:9" ht="55.5" customHeight="1" x14ac:dyDescent="0.2">
      <c r="B102" s="861" t="s">
        <v>1286</v>
      </c>
      <c r="C102" s="924" t="s">
        <v>153</v>
      </c>
      <c r="D102" s="925" t="s">
        <v>112</v>
      </c>
      <c r="E102" s="926">
        <v>16</v>
      </c>
      <c r="F102" s="833">
        <v>0</v>
      </c>
      <c r="G102" s="834">
        <f t="shared" ref="G102" si="21">E102*F102</f>
        <v>0</v>
      </c>
      <c r="I102" s="1282"/>
    </row>
    <row r="103" spans="2:9" x14ac:dyDescent="0.2">
      <c r="B103" s="1276"/>
      <c r="C103" s="1258"/>
      <c r="D103" s="1259"/>
      <c r="E103" s="1260"/>
      <c r="F103" s="1261"/>
      <c r="G103" s="1262"/>
    </row>
    <row r="104" spans="2:9" x14ac:dyDescent="0.2">
      <c r="B104" s="872" t="s">
        <v>12</v>
      </c>
      <c r="C104" s="873" t="s">
        <v>157</v>
      </c>
      <c r="D104" s="872"/>
      <c r="E104" s="874"/>
      <c r="F104" s="875"/>
      <c r="G104" s="876">
        <f>SUM(G54:G102)</f>
        <v>0</v>
      </c>
    </row>
    <row r="107" spans="2:9" x14ac:dyDescent="0.2">
      <c r="B107" s="805" t="s">
        <v>83</v>
      </c>
      <c r="C107" s="806" t="s">
        <v>89</v>
      </c>
      <c r="D107" s="806" t="s">
        <v>90</v>
      </c>
      <c r="E107" s="808" t="s">
        <v>91</v>
      </c>
      <c r="F107" s="809" t="s">
        <v>92</v>
      </c>
      <c r="G107" s="810" t="s">
        <v>93</v>
      </c>
    </row>
    <row r="108" spans="2:9" x14ac:dyDescent="0.2">
      <c r="B108" s="811"/>
      <c r="C108" s="812"/>
      <c r="D108" s="878"/>
      <c r="E108" s="814"/>
      <c r="F108" s="815"/>
      <c r="G108" s="816"/>
    </row>
    <row r="109" spans="2:9" ht="20.25" x14ac:dyDescent="0.2">
      <c r="B109" s="930" t="s">
        <v>17</v>
      </c>
      <c r="C109" s="931" t="s">
        <v>158</v>
      </c>
      <c r="D109" s="880"/>
      <c r="E109" s="820"/>
      <c r="F109" s="821"/>
      <c r="G109" s="822"/>
    </row>
    <row r="110" spans="2:9" x14ac:dyDescent="0.2">
      <c r="B110" s="2865" t="s">
        <v>1</v>
      </c>
      <c r="C110" s="2866"/>
      <c r="D110" s="2867"/>
      <c r="E110" s="2867"/>
      <c r="F110" s="2867"/>
      <c r="G110" s="2868"/>
    </row>
    <row r="111" spans="2:9" x14ac:dyDescent="0.2">
      <c r="B111" s="2869" t="s">
        <v>2</v>
      </c>
      <c r="C111" s="2870"/>
      <c r="D111" s="2871"/>
      <c r="E111" s="2872"/>
      <c r="F111" s="2872"/>
      <c r="G111" s="2871"/>
    </row>
    <row r="112" spans="2:9" x14ac:dyDescent="0.2">
      <c r="B112" s="2865" t="s">
        <v>3</v>
      </c>
      <c r="C112" s="2866"/>
      <c r="D112" s="2867"/>
      <c r="E112" s="2867"/>
      <c r="F112" s="2867"/>
      <c r="G112" s="2868"/>
    </row>
    <row r="113" spans="2:12" x14ac:dyDescent="0.2">
      <c r="B113" s="2869" t="s">
        <v>4</v>
      </c>
      <c r="C113" s="2870"/>
      <c r="D113" s="2872"/>
      <c r="E113" s="2872"/>
      <c r="F113" s="2872"/>
      <c r="G113" s="2871"/>
    </row>
    <row r="114" spans="2:12" x14ac:dyDescent="0.2">
      <c r="B114" s="3233" t="s">
        <v>159</v>
      </c>
      <c r="C114" s="3234"/>
      <c r="D114" s="3234"/>
      <c r="E114" s="3234"/>
      <c r="F114" s="3234"/>
      <c r="G114" s="3235"/>
    </row>
    <row r="115" spans="2:12" x14ac:dyDescent="0.2">
      <c r="B115" s="3233" t="s">
        <v>160</v>
      </c>
      <c r="C115" s="3234"/>
      <c r="D115" s="3234"/>
      <c r="E115" s="3234"/>
      <c r="F115" s="3234"/>
      <c r="G115" s="3235"/>
    </row>
    <row r="116" spans="2:12" x14ac:dyDescent="0.2">
      <c r="B116" s="3233" t="s">
        <v>161</v>
      </c>
      <c r="C116" s="3234"/>
      <c r="D116" s="3234"/>
      <c r="E116" s="3234"/>
      <c r="F116" s="3234"/>
      <c r="G116" s="3235"/>
    </row>
    <row r="117" spans="2:12" x14ac:dyDescent="0.2">
      <c r="B117" s="1314"/>
      <c r="C117" s="1315"/>
      <c r="D117" s="1296"/>
      <c r="E117" s="852"/>
      <c r="F117" s="743"/>
      <c r="G117" s="804"/>
    </row>
    <row r="118" spans="2:12" x14ac:dyDescent="0.2">
      <c r="B118" s="1248"/>
      <c r="C118" s="1307"/>
      <c r="D118" s="1308"/>
      <c r="E118" s="1250"/>
      <c r="F118" s="1251"/>
      <c r="G118" s="1252"/>
    </row>
    <row r="119" spans="2:12" ht="38.25" x14ac:dyDescent="0.2">
      <c r="B119" s="829">
        <v>1</v>
      </c>
      <c r="C119" s="932" t="s">
        <v>162</v>
      </c>
      <c r="D119" s="932"/>
      <c r="E119" s="933"/>
      <c r="F119" s="934"/>
      <c r="G119" s="935"/>
    </row>
    <row r="120" spans="2:12" ht="18" customHeight="1" x14ac:dyDescent="0.2">
      <c r="B120" s="829"/>
      <c r="C120" s="942" t="s">
        <v>1685</v>
      </c>
      <c r="D120" s="1240" t="s">
        <v>95</v>
      </c>
      <c r="E120" s="838">
        <v>4190</v>
      </c>
      <c r="F120" s="1241">
        <v>0</v>
      </c>
      <c r="G120" s="905">
        <f>E120*F120</f>
        <v>0</v>
      </c>
      <c r="H120" s="743"/>
      <c r="I120" s="923"/>
      <c r="K120" s="1302"/>
      <c r="L120" s="923"/>
    </row>
    <row r="121" spans="2:12" ht="28.5" customHeight="1" x14ac:dyDescent="0.2">
      <c r="B121" s="829"/>
      <c r="C121" s="943" t="s">
        <v>1246</v>
      </c>
      <c r="D121" s="1240"/>
      <c r="E121" s="838">
        <v>465</v>
      </c>
      <c r="F121" s="1241">
        <v>0</v>
      </c>
      <c r="G121" s="905">
        <f>E121*F121</f>
        <v>0</v>
      </c>
      <c r="H121" s="743"/>
      <c r="I121" s="923"/>
      <c r="J121" s="923"/>
      <c r="K121" s="1302"/>
      <c r="L121" s="923"/>
    </row>
    <row r="122" spans="2:12" ht="14.25" customHeight="1" x14ac:dyDescent="0.2">
      <c r="B122" s="829"/>
      <c r="C122" s="942" t="s">
        <v>1247</v>
      </c>
      <c r="D122" s="1240" t="s">
        <v>95</v>
      </c>
      <c r="E122" s="838">
        <v>486</v>
      </c>
      <c r="F122" s="1241">
        <v>0</v>
      </c>
      <c r="G122" s="905">
        <f>E122*F122</f>
        <v>0</v>
      </c>
      <c r="H122" s="743"/>
      <c r="I122" s="923"/>
      <c r="K122" s="1302"/>
      <c r="L122" s="923"/>
    </row>
    <row r="123" spans="2:12" ht="29.25" customHeight="1" x14ac:dyDescent="0.2">
      <c r="B123" s="829"/>
      <c r="C123" s="943" t="s">
        <v>1248</v>
      </c>
      <c r="D123" s="1240" t="s">
        <v>95</v>
      </c>
      <c r="E123" s="838">
        <v>54</v>
      </c>
      <c r="F123" s="1241">
        <v>0</v>
      </c>
      <c r="G123" s="905">
        <f>E123*F123</f>
        <v>0</v>
      </c>
      <c r="H123" s="743"/>
      <c r="I123" s="923"/>
      <c r="K123" s="1302"/>
      <c r="L123" s="923"/>
    </row>
    <row r="124" spans="2:12" ht="12" customHeight="1" x14ac:dyDescent="0.2">
      <c r="B124" s="829"/>
      <c r="C124" s="942"/>
      <c r="D124" s="1240"/>
      <c r="E124" s="838"/>
      <c r="F124" s="1241"/>
      <c r="G124" s="905"/>
      <c r="H124" s="743"/>
    </row>
    <row r="125" spans="2:12" ht="54.75" customHeight="1" x14ac:dyDescent="0.2">
      <c r="B125" s="945">
        <v>2</v>
      </c>
      <c r="C125" s="946" t="s">
        <v>172</v>
      </c>
      <c r="D125" s="2727" t="s">
        <v>95</v>
      </c>
      <c r="E125" s="947">
        <f>SUM(E120:E123)</f>
        <v>5195</v>
      </c>
      <c r="F125" s="833">
        <v>0</v>
      </c>
      <c r="G125" s="834">
        <f>E125*F125</f>
        <v>0</v>
      </c>
      <c r="H125" s="743"/>
    </row>
    <row r="126" spans="2:12" ht="45" customHeight="1" x14ac:dyDescent="0.2">
      <c r="B126" s="948" t="s">
        <v>173</v>
      </c>
      <c r="C126" s="946" t="s">
        <v>174</v>
      </c>
      <c r="D126" s="2727" t="s">
        <v>95</v>
      </c>
      <c r="E126" s="947">
        <f>E125</f>
        <v>5195</v>
      </c>
      <c r="F126" s="833">
        <v>0</v>
      </c>
      <c r="G126" s="834">
        <f>E126*F126</f>
        <v>0</v>
      </c>
      <c r="H126" s="743"/>
    </row>
    <row r="127" spans="2:12" ht="31.5" customHeight="1" x14ac:dyDescent="0.2">
      <c r="B127" s="948" t="s">
        <v>175</v>
      </c>
      <c r="C127" s="946" t="s">
        <v>176</v>
      </c>
      <c r="D127" s="2727" t="s">
        <v>95</v>
      </c>
      <c r="E127" s="947">
        <f>E125</f>
        <v>5195</v>
      </c>
      <c r="F127" s="833">
        <v>0</v>
      </c>
      <c r="G127" s="834">
        <f>E127*F127</f>
        <v>0</v>
      </c>
      <c r="H127" s="743"/>
    </row>
    <row r="128" spans="2:12" ht="58.5" customHeight="1" x14ac:dyDescent="0.2">
      <c r="B128" s="948" t="s">
        <v>177</v>
      </c>
      <c r="C128" s="946" t="s">
        <v>178</v>
      </c>
      <c r="D128" s="2727" t="s">
        <v>95</v>
      </c>
      <c r="E128" s="947">
        <f>E125</f>
        <v>5195</v>
      </c>
      <c r="F128" s="833">
        <v>0</v>
      </c>
      <c r="G128" s="834">
        <f>E128*F128</f>
        <v>0</v>
      </c>
      <c r="H128" s="743"/>
    </row>
    <row r="129" spans="2:8" ht="18" customHeight="1" x14ac:dyDescent="0.2">
      <c r="B129" s="1316"/>
      <c r="C129" s="946"/>
      <c r="D129" s="2727"/>
      <c r="E129" s="947"/>
      <c r="F129" s="833"/>
      <c r="G129" s="834"/>
      <c r="H129" s="743"/>
    </row>
    <row r="130" spans="2:8" ht="58.5" customHeight="1" x14ac:dyDescent="0.2">
      <c r="B130" s="3251" t="s">
        <v>1210</v>
      </c>
      <c r="C130" s="1058" t="s">
        <v>168</v>
      </c>
      <c r="D130" s="912"/>
      <c r="E130" s="913"/>
      <c r="F130" s="914"/>
      <c r="G130" s="915"/>
      <c r="H130" s="743"/>
    </row>
    <row r="131" spans="2:8" ht="15.75" customHeight="1" x14ac:dyDescent="0.2">
      <c r="B131" s="3252"/>
      <c r="C131" s="916" t="s">
        <v>171</v>
      </c>
      <c r="D131" s="912" t="s">
        <v>95</v>
      </c>
      <c r="E131" s="913">
        <v>65</v>
      </c>
      <c r="F131" s="914">
        <v>0</v>
      </c>
      <c r="G131" s="915">
        <f>E131*F131</f>
        <v>0</v>
      </c>
      <c r="H131" s="743"/>
    </row>
    <row r="132" spans="2:8" x14ac:dyDescent="0.2">
      <c r="B132" s="829"/>
      <c r="C132" s="1284"/>
      <c r="D132" s="1285"/>
      <c r="E132" s="1286"/>
      <c r="F132" s="1287"/>
      <c r="G132" s="905"/>
    </row>
    <row r="133" spans="2:8" x14ac:dyDescent="0.2">
      <c r="B133" s="2061" t="s">
        <v>1249</v>
      </c>
      <c r="C133" s="2414" t="s">
        <v>1686</v>
      </c>
      <c r="D133" s="2063"/>
      <c r="E133" s="2415"/>
      <c r="F133" s="2416"/>
      <c r="G133" s="2417"/>
    </row>
    <row r="134" spans="2:8" x14ac:dyDescent="0.2">
      <c r="B134" s="2061"/>
      <c r="C134" s="2409" t="s">
        <v>193</v>
      </c>
      <c r="D134" s="2068" t="s">
        <v>149</v>
      </c>
      <c r="E134" s="2069">
        <v>5</v>
      </c>
      <c r="F134" s="2443">
        <v>0</v>
      </c>
      <c r="G134" s="2391">
        <f t="shared" ref="G134:G144" si="22">E134*F134</f>
        <v>0</v>
      </c>
    </row>
    <row r="135" spans="2:8" x14ac:dyDescent="0.2">
      <c r="B135" s="2061"/>
      <c r="C135" s="2409" t="s">
        <v>194</v>
      </c>
      <c r="D135" s="2068" t="s">
        <v>149</v>
      </c>
      <c r="E135" s="2069">
        <v>5</v>
      </c>
      <c r="F135" s="2443">
        <v>0</v>
      </c>
      <c r="G135" s="2391">
        <f t="shared" si="22"/>
        <v>0</v>
      </c>
    </row>
    <row r="136" spans="2:8" ht="25.5" x14ac:dyDescent="0.2">
      <c r="B136" s="2061"/>
      <c r="C136" s="2410" t="s">
        <v>239</v>
      </c>
      <c r="D136" s="2068" t="s">
        <v>149</v>
      </c>
      <c r="E136" s="2069">
        <v>5</v>
      </c>
      <c r="F136" s="2443">
        <v>0</v>
      </c>
      <c r="G136" s="2391">
        <f t="shared" si="22"/>
        <v>0</v>
      </c>
    </row>
    <row r="137" spans="2:8" x14ac:dyDescent="0.2">
      <c r="B137" s="2061"/>
      <c r="C137" s="2410" t="s">
        <v>1267</v>
      </c>
      <c r="D137" s="2068" t="s">
        <v>149</v>
      </c>
      <c r="E137" s="2069">
        <v>5</v>
      </c>
      <c r="F137" s="2443">
        <v>0</v>
      </c>
      <c r="G137" s="2391">
        <f t="shared" si="22"/>
        <v>0</v>
      </c>
    </row>
    <row r="138" spans="2:8" x14ac:dyDescent="0.2">
      <c r="B138" s="2061"/>
      <c r="C138" s="2410" t="s">
        <v>1268</v>
      </c>
      <c r="D138" s="2068" t="s">
        <v>149</v>
      </c>
      <c r="E138" s="2069">
        <v>5</v>
      </c>
      <c r="F138" s="2443">
        <v>0</v>
      </c>
      <c r="G138" s="2391">
        <f t="shared" si="22"/>
        <v>0</v>
      </c>
    </row>
    <row r="139" spans="2:8" x14ac:dyDescent="0.2">
      <c r="B139" s="2061"/>
      <c r="C139" s="2410" t="s">
        <v>1269</v>
      </c>
      <c r="D139" s="2068" t="s">
        <v>149</v>
      </c>
      <c r="E139" s="2069">
        <v>5</v>
      </c>
      <c r="F139" s="2443">
        <v>0</v>
      </c>
      <c r="G139" s="2391">
        <f t="shared" si="22"/>
        <v>0</v>
      </c>
    </row>
    <row r="140" spans="2:8" x14ac:dyDescent="0.2">
      <c r="B140" s="2061"/>
      <c r="C140" s="2033" t="s">
        <v>1613</v>
      </c>
      <c r="D140" s="2063" t="s">
        <v>149</v>
      </c>
      <c r="E140" s="2069">
        <v>5</v>
      </c>
      <c r="F140" s="2443">
        <v>0</v>
      </c>
      <c r="G140" s="2391">
        <f t="shared" si="22"/>
        <v>0</v>
      </c>
    </row>
    <row r="141" spans="2:8" x14ac:dyDescent="0.2">
      <c r="B141" s="2061"/>
      <c r="C141" s="2423" t="s">
        <v>1614</v>
      </c>
      <c r="D141" s="2063" t="s">
        <v>149</v>
      </c>
      <c r="E141" s="2069">
        <v>5</v>
      </c>
      <c r="F141" s="2443">
        <v>0</v>
      </c>
      <c r="G141" s="2391">
        <f t="shared" si="22"/>
        <v>0</v>
      </c>
    </row>
    <row r="142" spans="2:8" ht="51" x14ac:dyDescent="0.2">
      <c r="B142" s="2061"/>
      <c r="C142" s="2409" t="s">
        <v>285</v>
      </c>
      <c r="D142" s="2063" t="s">
        <v>149</v>
      </c>
      <c r="E142" s="2069">
        <v>5</v>
      </c>
      <c r="F142" s="2443">
        <v>0</v>
      </c>
      <c r="G142" s="2391">
        <f t="shared" si="22"/>
        <v>0</v>
      </c>
    </row>
    <row r="143" spans="2:8" ht="17.25" customHeight="1" x14ac:dyDescent="0.2">
      <c r="B143" s="2061"/>
      <c r="C143" s="2410" t="s">
        <v>197</v>
      </c>
      <c r="D143" s="2068" t="s">
        <v>149</v>
      </c>
      <c r="E143" s="2069">
        <v>5</v>
      </c>
      <c r="F143" s="2443">
        <v>0</v>
      </c>
      <c r="G143" s="2391">
        <f t="shared" si="22"/>
        <v>0</v>
      </c>
    </row>
    <row r="144" spans="2:8" ht="25.5" x14ac:dyDescent="0.2">
      <c r="B144" s="2061"/>
      <c r="C144" s="2411" t="s">
        <v>1196</v>
      </c>
      <c r="D144" s="2068" t="s">
        <v>149</v>
      </c>
      <c r="E144" s="2069">
        <v>5</v>
      </c>
      <c r="F144" s="2443">
        <v>0</v>
      </c>
      <c r="G144" s="2391">
        <f t="shared" si="22"/>
        <v>0</v>
      </c>
    </row>
    <row r="145" spans="2:7" x14ac:dyDescent="0.2">
      <c r="B145" s="950"/>
      <c r="C145" s="955"/>
      <c r="D145" s="956"/>
      <c r="E145" s="957"/>
      <c r="F145" s="958"/>
      <c r="G145" s="958"/>
    </row>
    <row r="146" spans="2:7" x14ac:dyDescent="0.2">
      <c r="B146" s="2061" t="s">
        <v>1253</v>
      </c>
      <c r="C146" s="2414" t="s">
        <v>1386</v>
      </c>
      <c r="D146" s="2063"/>
      <c r="E146" s="2415"/>
      <c r="F146" s="2416"/>
      <c r="G146" s="2417"/>
    </row>
    <row r="147" spans="2:7" x14ac:dyDescent="0.2">
      <c r="B147" s="2061"/>
      <c r="C147" s="2408" t="s">
        <v>841</v>
      </c>
      <c r="D147" s="2068" t="s">
        <v>149</v>
      </c>
      <c r="E147" s="2069">
        <v>5</v>
      </c>
      <c r="F147" s="2443">
        <v>0</v>
      </c>
      <c r="G147" s="2391">
        <f t="shared" ref="G147:G156" si="23">E147*F147</f>
        <v>0</v>
      </c>
    </row>
    <row r="148" spans="2:7" ht="51" x14ac:dyDescent="0.2">
      <c r="B148" s="2061"/>
      <c r="C148" s="2409" t="s">
        <v>285</v>
      </c>
      <c r="D148" s="2068" t="s">
        <v>149</v>
      </c>
      <c r="E148" s="2069">
        <v>5</v>
      </c>
      <c r="F148" s="2443">
        <v>0</v>
      </c>
      <c r="G148" s="2391">
        <f t="shared" si="23"/>
        <v>0</v>
      </c>
    </row>
    <row r="149" spans="2:7" x14ac:dyDescent="0.2">
      <c r="B149" s="2061"/>
      <c r="C149" s="2409" t="s">
        <v>193</v>
      </c>
      <c r="D149" s="2068" t="s">
        <v>149</v>
      </c>
      <c r="E149" s="2069">
        <v>5</v>
      </c>
      <c r="F149" s="2443">
        <v>0</v>
      </c>
      <c r="G149" s="2391">
        <f t="shared" si="23"/>
        <v>0</v>
      </c>
    </row>
    <row r="150" spans="2:7" x14ac:dyDescent="0.2">
      <c r="B150" s="2061"/>
      <c r="C150" s="2409" t="s">
        <v>194</v>
      </c>
      <c r="D150" s="2068" t="s">
        <v>149</v>
      </c>
      <c r="E150" s="2069">
        <v>5</v>
      </c>
      <c r="F150" s="2443">
        <v>0</v>
      </c>
      <c r="G150" s="2391">
        <f t="shared" si="23"/>
        <v>0</v>
      </c>
    </row>
    <row r="151" spans="2:7" ht="25.5" x14ac:dyDescent="0.2">
      <c r="B151" s="2061"/>
      <c r="C151" s="2410" t="s">
        <v>239</v>
      </c>
      <c r="D151" s="2068" t="s">
        <v>149</v>
      </c>
      <c r="E151" s="2069">
        <v>10</v>
      </c>
      <c r="F151" s="2443">
        <v>0</v>
      </c>
      <c r="G151" s="2391">
        <f t="shared" si="23"/>
        <v>0</v>
      </c>
    </row>
    <row r="152" spans="2:7" x14ac:dyDescent="0.2">
      <c r="B152" s="2061"/>
      <c r="C152" s="2410" t="s">
        <v>1267</v>
      </c>
      <c r="D152" s="2068" t="s">
        <v>149</v>
      </c>
      <c r="E152" s="2069">
        <v>10</v>
      </c>
      <c r="F152" s="2443">
        <v>0</v>
      </c>
      <c r="G152" s="2391">
        <f t="shared" si="23"/>
        <v>0</v>
      </c>
    </row>
    <row r="153" spans="2:7" x14ac:dyDescent="0.2">
      <c r="B153" s="2061"/>
      <c r="C153" s="2410" t="s">
        <v>1268</v>
      </c>
      <c r="D153" s="2068" t="s">
        <v>149</v>
      </c>
      <c r="E153" s="2069">
        <v>10</v>
      </c>
      <c r="F153" s="2443">
        <v>0</v>
      </c>
      <c r="G153" s="2391">
        <f t="shared" si="23"/>
        <v>0</v>
      </c>
    </row>
    <row r="154" spans="2:7" x14ac:dyDescent="0.2">
      <c r="B154" s="2061"/>
      <c r="C154" s="2410" t="s">
        <v>1269</v>
      </c>
      <c r="D154" s="2068" t="s">
        <v>149</v>
      </c>
      <c r="E154" s="2069">
        <v>10</v>
      </c>
      <c r="F154" s="2443">
        <v>0</v>
      </c>
      <c r="G154" s="2391">
        <f t="shared" si="23"/>
        <v>0</v>
      </c>
    </row>
    <row r="155" spans="2:7" ht="21.75" customHeight="1" x14ac:dyDescent="0.2">
      <c r="B155" s="2061"/>
      <c r="C155" s="2410" t="s">
        <v>197</v>
      </c>
      <c r="D155" s="2068" t="s">
        <v>149</v>
      </c>
      <c r="E155" s="2069">
        <v>5</v>
      </c>
      <c r="F155" s="2443">
        <v>0</v>
      </c>
      <c r="G155" s="2391">
        <f t="shared" si="23"/>
        <v>0</v>
      </c>
    </row>
    <row r="156" spans="2:7" ht="25.5" x14ac:dyDescent="0.2">
      <c r="B156" s="2061"/>
      <c r="C156" s="2411" t="s">
        <v>1196</v>
      </c>
      <c r="D156" s="2068" t="s">
        <v>149</v>
      </c>
      <c r="E156" s="2069">
        <v>5</v>
      </c>
      <c r="F156" s="2443">
        <v>0</v>
      </c>
      <c r="G156" s="2391">
        <f t="shared" si="23"/>
        <v>0</v>
      </c>
    </row>
    <row r="157" spans="2:7" x14ac:dyDescent="0.2">
      <c r="B157" s="950"/>
      <c r="C157" s="955"/>
      <c r="D157" s="956"/>
      <c r="E157" s="957"/>
      <c r="F157" s="958"/>
      <c r="G157" s="958"/>
    </row>
    <row r="158" spans="2:7" x14ac:dyDescent="0.2">
      <c r="B158" s="2061" t="s">
        <v>1259</v>
      </c>
      <c r="C158" s="2414" t="s">
        <v>1615</v>
      </c>
      <c r="D158" s="2063"/>
      <c r="E158" s="2415"/>
      <c r="F158" s="2416"/>
      <c r="G158" s="2417"/>
    </row>
    <row r="159" spans="2:7" ht="38.25" x14ac:dyDescent="0.2">
      <c r="B159" s="2061"/>
      <c r="C159" s="2409" t="s">
        <v>1388</v>
      </c>
      <c r="D159" s="2068" t="s">
        <v>149</v>
      </c>
      <c r="E159" s="2069">
        <v>1</v>
      </c>
      <c r="F159" s="2443">
        <v>0</v>
      </c>
      <c r="G159" s="2391">
        <f t="shared" ref="G159:G161" si="24">E159*F159</f>
        <v>0</v>
      </c>
    </row>
    <row r="160" spans="2:7" ht="25.5" x14ac:dyDescent="0.2">
      <c r="B160" s="2061"/>
      <c r="C160" s="2410" t="s">
        <v>203</v>
      </c>
      <c r="D160" s="2068" t="s">
        <v>149</v>
      </c>
      <c r="E160" s="2069">
        <v>1</v>
      </c>
      <c r="F160" s="2443">
        <v>0</v>
      </c>
      <c r="G160" s="2391">
        <f t="shared" si="24"/>
        <v>0</v>
      </c>
    </row>
    <row r="161" spans="2:7" ht="25.5" x14ac:dyDescent="0.2">
      <c r="B161" s="2061"/>
      <c r="C161" s="2411" t="s">
        <v>1196</v>
      </c>
      <c r="D161" s="2068" t="s">
        <v>149</v>
      </c>
      <c r="E161" s="2069">
        <v>1</v>
      </c>
      <c r="F161" s="2443">
        <v>0</v>
      </c>
      <c r="G161" s="2391">
        <f t="shared" si="24"/>
        <v>0</v>
      </c>
    </row>
    <row r="162" spans="2:7" x14ac:dyDescent="0.2">
      <c r="B162" s="950"/>
      <c r="C162" s="955"/>
      <c r="D162" s="956"/>
      <c r="E162" s="957"/>
      <c r="F162" s="958"/>
      <c r="G162" s="958"/>
    </row>
    <row r="163" spans="2:7" x14ac:dyDescent="0.2">
      <c r="B163" s="2061" t="s">
        <v>1264</v>
      </c>
      <c r="C163" s="2414" t="s">
        <v>1687</v>
      </c>
      <c r="D163" s="2063"/>
      <c r="E163" s="2415"/>
      <c r="F163" s="2416"/>
      <c r="G163" s="2417"/>
    </row>
    <row r="164" spans="2:7" ht="38.25" x14ac:dyDescent="0.2">
      <c r="B164" s="2061"/>
      <c r="C164" s="2409" t="s">
        <v>1388</v>
      </c>
      <c r="D164" s="2068" t="s">
        <v>149</v>
      </c>
      <c r="E164" s="2069">
        <v>5</v>
      </c>
      <c r="F164" s="2443">
        <v>0</v>
      </c>
      <c r="G164" s="2391">
        <f t="shared" ref="G164:G168" si="25">E164*F164</f>
        <v>0</v>
      </c>
    </row>
    <row r="165" spans="2:7" x14ac:dyDescent="0.2">
      <c r="B165" s="2061"/>
      <c r="C165" s="2410" t="s">
        <v>1688</v>
      </c>
      <c r="D165" s="2068" t="s">
        <v>149</v>
      </c>
      <c r="E165" s="2069">
        <v>5</v>
      </c>
      <c r="F165" s="2443">
        <v>0</v>
      </c>
      <c r="G165" s="2391">
        <f t="shared" si="25"/>
        <v>0</v>
      </c>
    </row>
    <row r="166" spans="2:7" x14ac:dyDescent="0.2">
      <c r="B166" s="2061"/>
      <c r="C166" s="2410" t="s">
        <v>1269</v>
      </c>
      <c r="D166" s="2068" t="s">
        <v>149</v>
      </c>
      <c r="E166" s="2069">
        <v>15</v>
      </c>
      <c r="F166" s="2443">
        <v>0</v>
      </c>
      <c r="G166" s="2391">
        <f t="shared" si="25"/>
        <v>0</v>
      </c>
    </row>
    <row r="167" spans="2:7" ht="25.5" x14ac:dyDescent="0.2">
      <c r="B167" s="2061"/>
      <c r="C167" s="2410" t="s">
        <v>203</v>
      </c>
      <c r="D167" s="2068" t="s">
        <v>149</v>
      </c>
      <c r="E167" s="2069">
        <v>5</v>
      </c>
      <c r="F167" s="2443">
        <v>0</v>
      </c>
      <c r="G167" s="2391">
        <f t="shared" si="25"/>
        <v>0</v>
      </c>
    </row>
    <row r="168" spans="2:7" ht="25.5" x14ac:dyDescent="0.2">
      <c r="B168" s="2061"/>
      <c r="C168" s="2411" t="s">
        <v>1196</v>
      </c>
      <c r="D168" s="2068" t="s">
        <v>149</v>
      </c>
      <c r="E168" s="2069">
        <v>5</v>
      </c>
      <c r="F168" s="2443">
        <v>0</v>
      </c>
      <c r="G168" s="2391">
        <f t="shared" si="25"/>
        <v>0</v>
      </c>
    </row>
    <row r="169" spans="2:7" x14ac:dyDescent="0.2">
      <c r="B169" s="950"/>
      <c r="C169" s="955"/>
      <c r="D169" s="956"/>
      <c r="E169" s="957"/>
      <c r="F169" s="958"/>
      <c r="G169" s="958"/>
    </row>
    <row r="170" spans="2:7" x14ac:dyDescent="0.2">
      <c r="B170" s="2061" t="s">
        <v>1275</v>
      </c>
      <c r="C170" s="2412" t="s">
        <v>1689</v>
      </c>
      <c r="D170" s="2419"/>
      <c r="E170" s="2420"/>
      <c r="F170" s="2421"/>
      <c r="G170" s="2421"/>
    </row>
    <row r="171" spans="2:7" ht="38.25" x14ac:dyDescent="0.2">
      <c r="B171" s="2061"/>
      <c r="C171" s="2404" t="s">
        <v>1690</v>
      </c>
      <c r="D171" s="2418" t="s">
        <v>149</v>
      </c>
      <c r="E171" s="2069">
        <v>2</v>
      </c>
      <c r="F171" s="2443">
        <v>0</v>
      </c>
      <c r="G171" s="2391">
        <f t="shared" ref="G171:G172" si="26">E171*F171</f>
        <v>0</v>
      </c>
    </row>
    <row r="172" spans="2:7" ht="27.75" customHeight="1" x14ac:dyDescent="0.2">
      <c r="B172" s="2061"/>
      <c r="C172" s="2404" t="s">
        <v>1691</v>
      </c>
      <c r="D172" s="2418" t="s">
        <v>149</v>
      </c>
      <c r="E172" s="2069">
        <v>2</v>
      </c>
      <c r="F172" s="2443">
        <v>0</v>
      </c>
      <c r="G172" s="2391">
        <f t="shared" si="26"/>
        <v>0</v>
      </c>
    </row>
    <row r="173" spans="2:7" ht="25.5" x14ac:dyDescent="0.2">
      <c r="B173" s="2061"/>
      <c r="C173" s="2410" t="s">
        <v>239</v>
      </c>
      <c r="D173" s="2068" t="s">
        <v>149</v>
      </c>
      <c r="E173" s="2069">
        <v>6</v>
      </c>
      <c r="F173" s="2443">
        <v>0</v>
      </c>
      <c r="G173" s="2391">
        <f t="shared" ref="G173" si="27">E173*F173</f>
        <v>0</v>
      </c>
    </row>
    <row r="174" spans="2:7" x14ac:dyDescent="0.2">
      <c r="B174" s="2061"/>
      <c r="C174" s="2410" t="s">
        <v>1267</v>
      </c>
      <c r="D174" s="2068" t="s">
        <v>149</v>
      </c>
      <c r="E174" s="2069">
        <v>6</v>
      </c>
      <c r="F174" s="2443">
        <v>0</v>
      </c>
      <c r="G174" s="2391">
        <f t="shared" ref="G174:G178" si="28">E174*F174</f>
        <v>0</v>
      </c>
    </row>
    <row r="175" spans="2:7" x14ac:dyDescent="0.2">
      <c r="B175" s="2061"/>
      <c r="C175" s="2410" t="s">
        <v>1268</v>
      </c>
      <c r="D175" s="2068" t="s">
        <v>149</v>
      </c>
      <c r="E175" s="2069">
        <v>6</v>
      </c>
      <c r="F175" s="2443">
        <v>0</v>
      </c>
      <c r="G175" s="2391">
        <f t="shared" si="28"/>
        <v>0</v>
      </c>
    </row>
    <row r="176" spans="2:7" x14ac:dyDescent="0.2">
      <c r="B176" s="2061"/>
      <c r="C176" s="2410" t="s">
        <v>1269</v>
      </c>
      <c r="D176" s="2068" t="s">
        <v>149</v>
      </c>
      <c r="E176" s="2069">
        <v>6</v>
      </c>
      <c r="F176" s="2443">
        <v>0</v>
      </c>
      <c r="G176" s="2391">
        <f t="shared" si="28"/>
        <v>0</v>
      </c>
    </row>
    <row r="177" spans="2:7" ht="22.5" customHeight="1" x14ac:dyDescent="0.2">
      <c r="B177" s="2061"/>
      <c r="C177" s="2410" t="s">
        <v>1692</v>
      </c>
      <c r="D177" s="2068" t="s">
        <v>149</v>
      </c>
      <c r="E177" s="2069">
        <v>2</v>
      </c>
      <c r="F177" s="2443">
        <v>0</v>
      </c>
      <c r="G177" s="2391">
        <f t="shared" si="28"/>
        <v>0</v>
      </c>
    </row>
    <row r="178" spans="2:7" ht="25.5" x14ac:dyDescent="0.2">
      <c r="B178" s="2061"/>
      <c r="C178" s="2411" t="s">
        <v>1196</v>
      </c>
      <c r="D178" s="2068" t="s">
        <v>149</v>
      </c>
      <c r="E178" s="2069">
        <v>2</v>
      </c>
      <c r="F178" s="2443">
        <v>0</v>
      </c>
      <c r="G178" s="2391">
        <f t="shared" si="28"/>
        <v>0</v>
      </c>
    </row>
    <row r="179" spans="2:7" x14ac:dyDescent="0.2">
      <c r="B179" s="950"/>
      <c r="C179" s="955"/>
      <c r="D179" s="956"/>
      <c r="E179" s="957"/>
      <c r="F179" s="958"/>
      <c r="G179" s="958"/>
    </row>
    <row r="180" spans="2:7" ht="15" x14ac:dyDescent="0.25">
      <c r="B180" s="950" t="s">
        <v>1303</v>
      </c>
      <c r="C180" s="2413" t="s">
        <v>1693</v>
      </c>
      <c r="D180" s="956"/>
      <c r="E180" s="957"/>
      <c r="F180" s="958"/>
      <c r="G180" s="958"/>
    </row>
    <row r="181" spans="2:7" x14ac:dyDescent="0.2">
      <c r="B181" s="2061"/>
      <c r="C181" s="2410" t="s">
        <v>1294</v>
      </c>
      <c r="D181" s="2068" t="s">
        <v>149</v>
      </c>
      <c r="E181" s="2069">
        <v>2</v>
      </c>
      <c r="F181" s="2443">
        <v>0</v>
      </c>
      <c r="G181" s="2391">
        <f t="shared" ref="G181:G183" si="29">E181*F181</f>
        <v>0</v>
      </c>
    </row>
    <row r="182" spans="2:7" x14ac:dyDescent="0.2">
      <c r="B182" s="2061"/>
      <c r="C182" s="2410" t="s">
        <v>1302</v>
      </c>
      <c r="D182" s="2068" t="s">
        <v>149</v>
      </c>
      <c r="E182" s="2069">
        <v>2</v>
      </c>
      <c r="F182" s="2443">
        <v>0</v>
      </c>
      <c r="G182" s="2391">
        <f t="shared" si="29"/>
        <v>0</v>
      </c>
    </row>
    <row r="183" spans="2:7" x14ac:dyDescent="0.2">
      <c r="B183" s="2061"/>
      <c r="C183" s="2410" t="s">
        <v>1269</v>
      </c>
      <c r="D183" s="2068" t="s">
        <v>149</v>
      </c>
      <c r="E183" s="2069">
        <v>2</v>
      </c>
      <c r="F183" s="2443">
        <v>0</v>
      </c>
      <c r="G183" s="2391">
        <f t="shared" si="29"/>
        <v>0</v>
      </c>
    </row>
    <row r="184" spans="2:7" x14ac:dyDescent="0.2">
      <c r="B184" s="950"/>
      <c r="C184" s="955"/>
      <c r="D184" s="956"/>
      <c r="E184" s="957"/>
      <c r="F184" s="958"/>
      <c r="G184" s="958"/>
    </row>
    <row r="185" spans="2:7" x14ac:dyDescent="0.2">
      <c r="B185" s="950" t="s">
        <v>1305</v>
      </c>
      <c r="C185" s="967" t="s">
        <v>244</v>
      </c>
      <c r="D185" s="967"/>
      <c r="E185" s="957"/>
      <c r="F185" s="958"/>
      <c r="G185" s="958"/>
    </row>
    <row r="186" spans="2:7" x14ac:dyDescent="0.2">
      <c r="B186" s="950"/>
      <c r="C186" s="967" t="s">
        <v>828</v>
      </c>
      <c r="D186" s="960"/>
      <c r="E186" s="961"/>
      <c r="F186" s="968"/>
      <c r="G186" s="969"/>
    </row>
    <row r="187" spans="2:7" ht="38.25" x14ac:dyDescent="0.2">
      <c r="B187" s="970"/>
      <c r="C187" s="959" t="s">
        <v>1276</v>
      </c>
      <c r="D187" s="960" t="s">
        <v>149</v>
      </c>
      <c r="E187" s="961">
        <v>22</v>
      </c>
      <c r="F187" s="914">
        <v>0</v>
      </c>
      <c r="G187" s="915">
        <f>E187*F187</f>
        <v>0</v>
      </c>
    </row>
    <row r="188" spans="2:7" ht="25.5" x14ac:dyDescent="0.2">
      <c r="B188" s="950"/>
      <c r="C188" s="962" t="s">
        <v>247</v>
      </c>
      <c r="D188" s="960" t="s">
        <v>149</v>
      </c>
      <c r="E188" s="961">
        <v>22</v>
      </c>
      <c r="F188" s="914">
        <v>0</v>
      </c>
      <c r="G188" s="915">
        <f>E188*F188</f>
        <v>0</v>
      </c>
    </row>
    <row r="189" spans="2:7" ht="25.5" x14ac:dyDescent="0.2">
      <c r="B189" s="950"/>
      <c r="C189" s="869" t="s">
        <v>1196</v>
      </c>
      <c r="D189" s="960" t="s">
        <v>149</v>
      </c>
      <c r="E189" s="961">
        <v>22</v>
      </c>
      <c r="F189" s="914">
        <v>0</v>
      </c>
      <c r="G189" s="915">
        <f>E189*F189</f>
        <v>0</v>
      </c>
    </row>
    <row r="190" spans="2:7" x14ac:dyDescent="0.2">
      <c r="B190" s="950"/>
      <c r="C190" s="955"/>
      <c r="D190" s="956"/>
      <c r="E190" s="957"/>
      <c r="F190" s="958"/>
      <c r="G190" s="958"/>
    </row>
    <row r="191" spans="2:7" ht="13.5" customHeight="1" x14ac:dyDescent="0.2">
      <c r="B191" s="970" t="s">
        <v>199</v>
      </c>
      <c r="C191" s="972" t="s">
        <v>300</v>
      </c>
      <c r="D191" s="973"/>
      <c r="E191" s="974"/>
      <c r="F191" s="975"/>
      <c r="G191" s="976"/>
    </row>
    <row r="192" spans="2:7" ht="100.5" customHeight="1" x14ac:dyDescent="0.2">
      <c r="B192" s="977"/>
      <c r="C192" s="954" t="s">
        <v>301</v>
      </c>
      <c r="D192" s="960" t="s">
        <v>149</v>
      </c>
      <c r="E192" s="961">
        <v>37</v>
      </c>
      <c r="F192" s="914">
        <v>0</v>
      </c>
      <c r="G192" s="915">
        <f>E192*F192</f>
        <v>0</v>
      </c>
    </row>
    <row r="193" spans="2:7" x14ac:dyDescent="0.2">
      <c r="B193" s="1292"/>
      <c r="C193" s="1293"/>
      <c r="D193" s="1294"/>
      <c r="E193" s="981"/>
      <c r="F193" s="982"/>
      <c r="G193" s="983"/>
    </row>
    <row r="194" spans="2:7" x14ac:dyDescent="0.2">
      <c r="B194" s="984" t="s">
        <v>17</v>
      </c>
      <c r="C194" s="985" t="s">
        <v>302</v>
      </c>
      <c r="D194" s="986"/>
      <c r="E194" s="987"/>
      <c r="F194" s="988"/>
      <c r="G194" s="876">
        <f>SUM(G119:G192)</f>
        <v>0</v>
      </c>
    </row>
    <row r="195" spans="2:7" x14ac:dyDescent="0.2">
      <c r="B195" s="1292"/>
      <c r="C195" s="1295"/>
      <c r="D195" s="1296"/>
      <c r="E195" s="990"/>
      <c r="F195" s="910"/>
    </row>
  </sheetData>
  <mergeCells count="7">
    <mergeCell ref="B130:B131"/>
    <mergeCell ref="C6:D6"/>
    <mergeCell ref="B53:G53"/>
    <mergeCell ref="B95:B96"/>
    <mergeCell ref="B114:G114"/>
    <mergeCell ref="B115:G115"/>
    <mergeCell ref="B116:G116"/>
  </mergeCells>
  <pageMargins left="0.7" right="0.7" top="0.75" bottom="0.75" header="0.3" footer="0.3"/>
  <pageSetup paperSize="9" scale="80" orientation="portrait" r:id="rId1"/>
  <headerFooter alignWithMargins="0"/>
  <rowBreaks count="5" manualBreakCount="5">
    <brk id="22" max="16383" man="1"/>
    <brk id="51" max="16383" man="1"/>
    <brk id="80" max="16383" man="1"/>
    <brk id="111" max="16383" man="1"/>
    <brk id="144" max="16383" man="1"/>
  </rowBreaks>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B3DE-6079-4C84-BF9D-7BE7ADFF7582}">
  <sheetPr codeName="Sheet3">
    <tabColor rgb="FFFFC000"/>
  </sheetPr>
  <dimension ref="A2:L209"/>
  <sheetViews>
    <sheetView showZeros="0" topLeftCell="A87" zoomScale="110" zoomScaleNormal="110" workbookViewId="0">
      <selection activeCell="B114" sqref="B114:G114"/>
    </sheetView>
  </sheetViews>
  <sheetFormatPr defaultColWidth="10.42578125" defaultRowHeight="12.75" x14ac:dyDescent="0.2"/>
  <cols>
    <col min="1" max="1" width="4.42578125" style="1" customWidth="1"/>
    <col min="2" max="2" width="7.42578125" style="8" customWidth="1"/>
    <col min="3" max="3" width="53" style="7" customWidth="1"/>
    <col min="4" max="4" width="10.42578125" style="6" customWidth="1"/>
    <col min="5" max="5" width="9.28515625" style="5" customWidth="1"/>
    <col min="6" max="6" width="12.140625" style="4" customWidth="1"/>
    <col min="7" max="7" width="13.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x14ac:dyDescent="0.2">
      <c r="A2" s="121"/>
      <c r="B2" s="137"/>
      <c r="C2" s="108" t="s">
        <v>59</v>
      </c>
      <c r="D2" s="155"/>
      <c r="E2" s="156"/>
      <c r="F2" s="157"/>
      <c r="G2" s="363" t="s">
        <v>60</v>
      </c>
      <c r="H2" s="122"/>
      <c r="I2" s="121"/>
      <c r="J2" s="121"/>
      <c r="K2" s="121"/>
      <c r="L2" s="121"/>
    </row>
    <row r="4" spans="1:12" s="24" customFormat="1" ht="15" x14ac:dyDescent="0.25">
      <c r="A4" s="139"/>
      <c r="B4" s="364" t="s">
        <v>7</v>
      </c>
      <c r="C4" s="365" t="s">
        <v>701</v>
      </c>
      <c r="D4" s="366"/>
      <c r="E4" s="367"/>
      <c r="F4" s="368"/>
      <c r="G4" s="369"/>
      <c r="H4" s="26"/>
      <c r="I4" s="139"/>
      <c r="J4" s="139"/>
      <c r="K4" s="139"/>
      <c r="L4" s="139"/>
    </row>
    <row r="5" spans="1:12" s="24" customFormat="1" ht="12" customHeight="1" x14ac:dyDescent="0.25">
      <c r="A5" s="139"/>
      <c r="B5" s="370"/>
      <c r="C5" s="371"/>
      <c r="D5" s="372"/>
      <c r="E5" s="373"/>
      <c r="F5" s="374"/>
      <c r="G5" s="375"/>
      <c r="H5" s="26"/>
      <c r="I5" s="139"/>
      <c r="J5" s="139"/>
      <c r="K5" s="139"/>
      <c r="L5" s="139"/>
    </row>
    <row r="6" spans="1:12" s="107" customFormat="1" ht="21" customHeight="1" x14ac:dyDescent="0.2">
      <c r="A6" s="376"/>
      <c r="B6" s="377" t="s">
        <v>80</v>
      </c>
      <c r="C6" s="3208" t="s">
        <v>702</v>
      </c>
      <c r="D6" s="3208"/>
      <c r="E6" s="3208"/>
      <c r="F6" s="3208"/>
      <c r="G6" s="3209"/>
      <c r="H6" s="123"/>
      <c r="I6" s="378"/>
      <c r="J6" s="378"/>
      <c r="K6" s="378"/>
      <c r="L6" s="378"/>
    </row>
    <row r="7" spans="1:12" s="107" customFormat="1" ht="14.25" x14ac:dyDescent="0.2">
      <c r="A7" s="376"/>
      <c r="B7" s="370"/>
      <c r="C7" s="371"/>
      <c r="D7" s="372"/>
      <c r="E7" s="373"/>
      <c r="F7" s="374"/>
      <c r="G7" s="379"/>
      <c r="H7" s="123"/>
      <c r="I7" s="378"/>
      <c r="J7" s="378"/>
      <c r="K7" s="378"/>
      <c r="L7" s="378"/>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107" customFormat="1" ht="14.25" x14ac:dyDescent="0.2">
      <c r="A12" s="376"/>
      <c r="B12" s="380"/>
      <c r="C12" s="381"/>
      <c r="D12" s="382"/>
      <c r="E12" s="383"/>
      <c r="F12" s="384"/>
      <c r="G12" s="385"/>
      <c r="H12" s="123"/>
      <c r="I12" s="378"/>
      <c r="J12" s="378"/>
      <c r="K12" s="378"/>
      <c r="L12" s="378"/>
    </row>
    <row r="13" spans="1:12" s="107" customFormat="1" ht="18.75" customHeight="1" x14ac:dyDescent="0.2">
      <c r="A13" s="376"/>
      <c r="B13" s="386"/>
      <c r="C13" s="387" t="s">
        <v>82</v>
      </c>
      <c r="D13" s="388"/>
      <c r="E13" s="389"/>
      <c r="F13" s="390"/>
      <c r="G13" s="391"/>
      <c r="H13" s="123"/>
      <c r="I13" s="378"/>
      <c r="J13" s="378"/>
      <c r="K13" s="378"/>
      <c r="L13" s="378"/>
    </row>
    <row r="14" spans="1:12" s="24" customFormat="1" ht="18.75" customHeight="1" x14ac:dyDescent="0.2">
      <c r="A14" s="139"/>
      <c r="B14" s="392" t="s">
        <v>83</v>
      </c>
      <c r="C14" s="106" t="s">
        <v>84</v>
      </c>
      <c r="D14" s="393"/>
      <c r="E14" s="394"/>
      <c r="F14" s="395"/>
      <c r="G14" s="396" t="s">
        <v>64</v>
      </c>
      <c r="H14" s="22"/>
      <c r="I14" s="139"/>
      <c r="J14" s="139"/>
      <c r="K14" s="139"/>
      <c r="L14" s="139"/>
    </row>
    <row r="15" spans="1:12" s="103" customFormat="1" ht="18.75" customHeight="1" x14ac:dyDescent="0.25">
      <c r="A15" s="397"/>
      <c r="B15" s="105" t="s">
        <v>10</v>
      </c>
      <c r="C15" s="398" t="s">
        <v>85</v>
      </c>
      <c r="D15" s="399"/>
      <c r="E15" s="400"/>
      <c r="F15" s="401"/>
      <c r="G15" s="20">
        <f>G38</f>
        <v>0</v>
      </c>
      <c r="H15" s="18"/>
      <c r="I15" s="397"/>
      <c r="J15" s="397"/>
      <c r="K15" s="397"/>
      <c r="L15" s="397"/>
    </row>
    <row r="16" spans="1:12" s="103" customFormat="1" ht="18.75" customHeight="1" x14ac:dyDescent="0.25">
      <c r="A16" s="397"/>
      <c r="B16" s="105" t="s">
        <v>12</v>
      </c>
      <c r="C16" s="398" t="s">
        <v>86</v>
      </c>
      <c r="D16" s="399"/>
      <c r="E16" s="400"/>
      <c r="F16" s="401"/>
      <c r="G16" s="20">
        <f>G56</f>
        <v>0</v>
      </c>
      <c r="H16" s="18"/>
      <c r="I16" s="397"/>
      <c r="J16" s="397"/>
      <c r="K16" s="397"/>
      <c r="L16" s="397"/>
    </row>
    <row r="17" spans="2:12" s="103" customFormat="1" ht="18.75" customHeight="1" x14ac:dyDescent="0.25">
      <c r="B17" s="105" t="s">
        <v>17</v>
      </c>
      <c r="C17" s="398" t="s">
        <v>87</v>
      </c>
      <c r="D17" s="399"/>
      <c r="E17" s="400"/>
      <c r="F17" s="401"/>
      <c r="G17" s="20">
        <f>G106</f>
        <v>0</v>
      </c>
      <c r="H17" s="18"/>
    </row>
    <row r="18" spans="2:12" s="103" customFormat="1" ht="18.75" customHeight="1" x14ac:dyDescent="0.25">
      <c r="B18" s="105" t="s">
        <v>18</v>
      </c>
      <c r="C18" s="398" t="s">
        <v>367</v>
      </c>
      <c r="D18" s="399"/>
      <c r="E18" s="400"/>
      <c r="F18" s="104"/>
      <c r="G18" s="20">
        <f>G209</f>
        <v>0</v>
      </c>
      <c r="H18" s="18"/>
    </row>
    <row r="19" spans="2:12" s="103" customFormat="1" ht="18.75" customHeight="1" x14ac:dyDescent="0.25">
      <c r="B19" s="402"/>
      <c r="C19" s="403" t="s">
        <v>88</v>
      </c>
      <c r="D19" s="404"/>
      <c r="E19" s="405"/>
      <c r="F19" s="406"/>
      <c r="G19" s="19">
        <f>SUM(G15:G18)</f>
        <v>0</v>
      </c>
      <c r="H19" s="18"/>
    </row>
    <row r="20" spans="2:12" x14ac:dyDescent="0.2">
      <c r="B20" s="127"/>
      <c r="C20" s="183"/>
      <c r="D20" s="184"/>
      <c r="E20" s="185"/>
      <c r="F20" s="186"/>
      <c r="G20" s="187"/>
      <c r="H20" s="122"/>
    </row>
    <row r="22" spans="2:12" ht="24" x14ac:dyDescent="0.2">
      <c r="B22" s="128" t="s">
        <v>83</v>
      </c>
      <c r="C22" s="192" t="s">
        <v>89</v>
      </c>
      <c r="D22" s="193" t="s">
        <v>90</v>
      </c>
      <c r="E22" s="194" t="s">
        <v>91</v>
      </c>
      <c r="F22" s="195" t="s">
        <v>92</v>
      </c>
      <c r="G22" s="196" t="s">
        <v>93</v>
      </c>
      <c r="H22" s="122"/>
    </row>
    <row r="23" spans="2:12" x14ac:dyDescent="0.2">
      <c r="B23" s="129"/>
      <c r="C23" s="197"/>
      <c r="D23" s="198"/>
      <c r="E23" s="199"/>
      <c r="F23" s="200"/>
      <c r="G23" s="201"/>
      <c r="H23" s="122"/>
    </row>
    <row r="24" spans="2:12" s="16" customFormat="1" ht="20.25" x14ac:dyDescent="0.3">
      <c r="B24" s="303" t="s">
        <v>10</v>
      </c>
      <c r="C24" s="306" t="s">
        <v>85</v>
      </c>
      <c r="D24" s="305"/>
      <c r="E24" s="299"/>
      <c r="F24" s="300"/>
      <c r="G24" s="301"/>
      <c r="H24" s="302"/>
    </row>
    <row r="25" spans="2:12" ht="42" customHeight="1" x14ac:dyDescent="0.2">
      <c r="B25" s="129">
        <v>1</v>
      </c>
      <c r="C25" s="206" t="s">
        <v>703</v>
      </c>
      <c r="D25" s="114" t="s">
        <v>149</v>
      </c>
      <c r="E25" s="110">
        <v>6</v>
      </c>
      <c r="F25" s="102">
        <v>0</v>
      </c>
      <c r="G25" s="270">
        <f t="shared" ref="G25:G37" si="0">E25*F25</f>
        <v>0</v>
      </c>
      <c r="H25" s="122"/>
    </row>
    <row r="26" spans="2:12" x14ac:dyDescent="0.2">
      <c r="B26" s="129">
        <v>2</v>
      </c>
      <c r="C26" s="206" t="s">
        <v>96</v>
      </c>
      <c r="D26" s="207" t="s">
        <v>95</v>
      </c>
      <c r="E26" s="110">
        <v>12</v>
      </c>
      <c r="F26" s="102">
        <v>0</v>
      </c>
      <c r="G26" s="270">
        <f t="shared" si="0"/>
        <v>0</v>
      </c>
      <c r="H26" s="122"/>
    </row>
    <row r="27" spans="2:12" ht="48" x14ac:dyDescent="0.2">
      <c r="B27" s="129">
        <v>3</v>
      </c>
      <c r="C27" s="206" t="s">
        <v>97</v>
      </c>
      <c r="D27" s="207" t="s">
        <v>98</v>
      </c>
      <c r="E27" s="110">
        <v>1</v>
      </c>
      <c r="F27" s="102">
        <v>0</v>
      </c>
      <c r="G27" s="270">
        <f t="shared" si="0"/>
        <v>0</v>
      </c>
      <c r="H27" s="122"/>
    </row>
    <row r="28" spans="2:12" ht="108" x14ac:dyDescent="0.2">
      <c r="B28" s="129">
        <v>4</v>
      </c>
      <c r="C28" s="208" t="s">
        <v>99</v>
      </c>
      <c r="D28" s="209" t="s">
        <v>98</v>
      </c>
      <c r="E28" s="110">
        <v>1</v>
      </c>
      <c r="F28" s="102">
        <v>0</v>
      </c>
      <c r="G28" s="270">
        <f t="shared" si="0"/>
        <v>0</v>
      </c>
      <c r="H28" s="122"/>
    </row>
    <row r="29" spans="2:12" ht="30.75" customHeight="1" x14ac:dyDescent="0.2">
      <c r="B29" s="129">
        <v>5</v>
      </c>
      <c r="C29" s="208" t="s">
        <v>100</v>
      </c>
      <c r="D29" s="210" t="s">
        <v>98</v>
      </c>
      <c r="E29" s="110">
        <v>1</v>
      </c>
      <c r="F29" s="102">
        <v>0</v>
      </c>
      <c r="G29" s="270">
        <f t="shared" si="0"/>
        <v>0</v>
      </c>
      <c r="H29" s="122"/>
    </row>
    <row r="30" spans="2:12" ht="27" customHeight="1" x14ac:dyDescent="0.2">
      <c r="B30" s="129">
        <v>6</v>
      </c>
      <c r="C30" s="407" t="s">
        <v>101</v>
      </c>
      <c r="D30" s="210" t="s">
        <v>98</v>
      </c>
      <c r="E30" s="110">
        <v>1</v>
      </c>
      <c r="F30" s="102">
        <v>0</v>
      </c>
      <c r="G30" s="270">
        <f t="shared" si="0"/>
        <v>0</v>
      </c>
      <c r="H30" s="122"/>
    </row>
    <row r="31" spans="2:12" ht="39.75" customHeight="1" x14ac:dyDescent="0.2">
      <c r="B31" s="129">
        <v>7</v>
      </c>
      <c r="C31" s="407" t="s">
        <v>102</v>
      </c>
      <c r="D31" s="210" t="s">
        <v>98</v>
      </c>
      <c r="E31" s="110">
        <v>1</v>
      </c>
      <c r="F31" s="102">
        <v>0</v>
      </c>
      <c r="G31" s="270">
        <f t="shared" si="0"/>
        <v>0</v>
      </c>
      <c r="H31" s="122"/>
    </row>
    <row r="32" spans="2:12" ht="41.25" customHeight="1" x14ac:dyDescent="0.2">
      <c r="B32" s="129">
        <v>8</v>
      </c>
      <c r="C32" s="3165" t="s">
        <v>2593</v>
      </c>
      <c r="D32" s="210" t="s">
        <v>149</v>
      </c>
      <c r="E32" s="199">
        <v>1</v>
      </c>
      <c r="F32" s="102">
        <v>0</v>
      </c>
      <c r="G32" s="270">
        <f t="shared" si="0"/>
        <v>0</v>
      </c>
      <c r="H32" s="122"/>
      <c r="I32" s="121"/>
      <c r="J32" s="121"/>
      <c r="K32" s="121"/>
      <c r="L32" s="121"/>
    </row>
    <row r="33" spans="2:12" ht="25.5" customHeight="1" x14ac:dyDescent="0.2">
      <c r="B33" s="129">
        <v>9</v>
      </c>
      <c r="C33" s="3165" t="s">
        <v>2590</v>
      </c>
      <c r="D33" s="210" t="s">
        <v>149</v>
      </c>
      <c r="E33" s="110">
        <v>1</v>
      </c>
      <c r="F33" s="102">
        <v>0</v>
      </c>
      <c r="G33" s="270">
        <f t="shared" si="0"/>
        <v>0</v>
      </c>
      <c r="H33" s="122"/>
      <c r="I33" s="121"/>
      <c r="J33" s="121"/>
      <c r="K33" s="121"/>
      <c r="L33" s="121"/>
    </row>
    <row r="34" spans="2:12" ht="27.75" customHeight="1" x14ac:dyDescent="0.2">
      <c r="B34" s="129">
        <v>10</v>
      </c>
      <c r="C34" s="3165" t="s">
        <v>2591</v>
      </c>
      <c r="D34" s="210" t="s">
        <v>98</v>
      </c>
      <c r="E34" s="110">
        <v>1</v>
      </c>
      <c r="F34" s="102">
        <v>0</v>
      </c>
      <c r="G34" s="270">
        <f t="shared" si="0"/>
        <v>0</v>
      </c>
      <c r="H34" s="122"/>
      <c r="I34" s="121"/>
      <c r="J34" s="121"/>
      <c r="K34" s="121"/>
      <c r="L34" s="121"/>
    </row>
    <row r="35" spans="2:12" ht="14.25" customHeight="1" x14ac:dyDescent="0.2">
      <c r="B35" s="129">
        <v>11</v>
      </c>
      <c r="C35" s="407" t="s">
        <v>105</v>
      </c>
      <c r="D35" s="210" t="s">
        <v>98</v>
      </c>
      <c r="E35" s="110">
        <v>1</v>
      </c>
      <c r="F35" s="102">
        <v>0</v>
      </c>
      <c r="G35" s="270">
        <f t="shared" si="0"/>
        <v>0</v>
      </c>
      <c r="H35" s="122"/>
      <c r="I35" s="121"/>
      <c r="J35" s="121"/>
      <c r="K35" s="121"/>
      <c r="L35" s="121"/>
    </row>
    <row r="36" spans="2:12" ht="38.25" customHeight="1" x14ac:dyDescent="0.2">
      <c r="B36" s="129">
        <v>12</v>
      </c>
      <c r="C36" s="212" t="s">
        <v>106</v>
      </c>
      <c r="D36" s="210" t="s">
        <v>98</v>
      </c>
      <c r="E36" s="113">
        <v>1</v>
      </c>
      <c r="F36" s="102">
        <v>0</v>
      </c>
      <c r="G36" s="270">
        <f t="shared" si="0"/>
        <v>0</v>
      </c>
      <c r="H36" s="122"/>
      <c r="I36" s="121"/>
      <c r="J36" s="121"/>
      <c r="K36" s="121"/>
      <c r="L36" s="121"/>
    </row>
    <row r="37" spans="2:12" ht="39.75" customHeight="1" x14ac:dyDescent="0.2">
      <c r="B37" s="129">
        <v>13</v>
      </c>
      <c r="C37" s="307" t="s">
        <v>107</v>
      </c>
      <c r="D37" s="210" t="s">
        <v>98</v>
      </c>
      <c r="E37" s="113">
        <v>1</v>
      </c>
      <c r="F37" s="102">
        <v>0</v>
      </c>
      <c r="G37" s="270">
        <f t="shared" si="0"/>
        <v>0</v>
      </c>
      <c r="H37" s="122"/>
      <c r="I37" s="121"/>
      <c r="J37" s="121"/>
      <c r="K37" s="121"/>
      <c r="L37" s="121"/>
    </row>
    <row r="38" spans="2:12" s="9" customFormat="1" ht="23.25" customHeight="1" x14ac:dyDescent="0.25">
      <c r="B38" s="327" t="s">
        <v>10</v>
      </c>
      <c r="C38" s="214" t="s">
        <v>108</v>
      </c>
      <c r="D38" s="214"/>
      <c r="E38" s="215"/>
      <c r="F38" s="216"/>
      <c r="G38" s="290">
        <f>SUM(G25:G37)</f>
        <v>0</v>
      </c>
      <c r="H38" s="150"/>
      <c r="I38" s="147"/>
      <c r="J38" s="147"/>
      <c r="K38" s="147"/>
      <c r="L38" s="147"/>
    </row>
    <row r="39" spans="2:12" x14ac:dyDescent="0.2">
      <c r="B39" s="129"/>
      <c r="C39" s="197"/>
      <c r="D39" s="198"/>
      <c r="E39" s="199"/>
      <c r="F39" s="200"/>
      <c r="G39" s="201"/>
      <c r="H39" s="122"/>
      <c r="I39" s="121"/>
      <c r="J39" s="121"/>
      <c r="K39" s="121"/>
      <c r="L39" s="121"/>
    </row>
    <row r="40" spans="2:12" ht="24" x14ac:dyDescent="0.2">
      <c r="B40" s="128" t="s">
        <v>83</v>
      </c>
      <c r="C40" s="192" t="s">
        <v>89</v>
      </c>
      <c r="D40" s="193" t="s">
        <v>90</v>
      </c>
      <c r="E40" s="194" t="s">
        <v>91</v>
      </c>
      <c r="F40" s="195" t="s">
        <v>92</v>
      </c>
      <c r="G40" s="196" t="s">
        <v>93</v>
      </c>
      <c r="H40" s="122"/>
      <c r="I40" s="121"/>
      <c r="J40" s="121"/>
      <c r="K40" s="121"/>
      <c r="L40" s="121"/>
    </row>
    <row r="41" spans="2:12" x14ac:dyDescent="0.2">
      <c r="B41" s="129"/>
      <c r="C41" s="217"/>
      <c r="D41" s="207"/>
      <c r="E41" s="199"/>
      <c r="F41" s="200"/>
      <c r="G41" s="201"/>
      <c r="H41" s="122"/>
      <c r="I41" s="121"/>
      <c r="J41" s="121"/>
      <c r="K41" s="121"/>
      <c r="L41" s="121"/>
    </row>
    <row r="42" spans="2:12" s="16" customFormat="1" ht="20.25" x14ac:dyDescent="0.3">
      <c r="B42" s="303" t="s">
        <v>12</v>
      </c>
      <c r="C42" s="304" t="s">
        <v>109</v>
      </c>
      <c r="D42" s="298"/>
      <c r="E42" s="299"/>
      <c r="F42" s="300"/>
      <c r="G42" s="301"/>
      <c r="H42" s="302"/>
      <c r="I42" s="295"/>
      <c r="J42" s="295"/>
      <c r="K42" s="295"/>
      <c r="L42" s="295"/>
    </row>
    <row r="43" spans="2:12" s="43" customFormat="1" ht="71.25" customHeight="1" x14ac:dyDescent="0.2">
      <c r="B43" s="3184" t="s">
        <v>110</v>
      </c>
      <c r="C43" s="3185"/>
      <c r="D43" s="3185"/>
      <c r="E43" s="3185"/>
      <c r="F43" s="3185"/>
      <c r="G43" s="3186"/>
      <c r="H43" s="122"/>
      <c r="I43" s="130"/>
      <c r="J43" s="130"/>
      <c r="K43" s="130"/>
      <c r="L43" s="130"/>
    </row>
    <row r="44" spans="2:12" ht="27.75" customHeight="1" x14ac:dyDescent="0.2">
      <c r="B44" s="131">
        <v>1</v>
      </c>
      <c r="C44" s="206" t="s">
        <v>111</v>
      </c>
      <c r="D44" s="207" t="s">
        <v>112</v>
      </c>
      <c r="E44" s="110">
        <v>3</v>
      </c>
      <c r="F44" s="102">
        <v>0</v>
      </c>
      <c r="G44" s="270">
        <f t="shared" ref="G44:G51" si="1">E44*F44</f>
        <v>0</v>
      </c>
      <c r="H44" s="122"/>
      <c r="I44" s="132"/>
      <c r="J44" s="121"/>
      <c r="K44" s="121"/>
      <c r="L44" s="121"/>
    </row>
    <row r="45" spans="2:12" ht="39" customHeight="1" x14ac:dyDescent="0.2">
      <c r="B45" s="131">
        <v>2</v>
      </c>
      <c r="C45" s="206" t="s">
        <v>113</v>
      </c>
      <c r="D45" s="207" t="s">
        <v>95</v>
      </c>
      <c r="E45" s="110">
        <v>6</v>
      </c>
      <c r="F45" s="102">
        <v>0</v>
      </c>
      <c r="G45" s="270">
        <f t="shared" si="1"/>
        <v>0</v>
      </c>
      <c r="H45" s="122"/>
      <c r="I45" s="132"/>
      <c r="J45" s="121"/>
      <c r="K45" s="121"/>
      <c r="L45" s="121"/>
    </row>
    <row r="46" spans="2:12" ht="24" x14ac:dyDescent="0.2">
      <c r="B46" s="131">
        <v>3</v>
      </c>
      <c r="C46" s="206" t="s">
        <v>114</v>
      </c>
      <c r="D46" s="209" t="s">
        <v>112</v>
      </c>
      <c r="E46" s="110">
        <v>3.6</v>
      </c>
      <c r="F46" s="102">
        <v>0</v>
      </c>
      <c r="G46" s="270">
        <f t="shared" si="1"/>
        <v>0</v>
      </c>
      <c r="H46" s="122"/>
      <c r="I46" s="133"/>
      <c r="J46" s="121"/>
      <c r="K46" s="134"/>
      <c r="L46" s="134"/>
    </row>
    <row r="47" spans="2:12" ht="24" x14ac:dyDescent="0.2">
      <c r="B47" s="131">
        <v>4</v>
      </c>
      <c r="C47" s="206" t="s">
        <v>115</v>
      </c>
      <c r="D47" s="209" t="s">
        <v>112</v>
      </c>
      <c r="E47" s="110">
        <v>29</v>
      </c>
      <c r="F47" s="102">
        <v>0</v>
      </c>
      <c r="G47" s="270">
        <f t="shared" si="1"/>
        <v>0</v>
      </c>
      <c r="H47" s="122"/>
      <c r="I47" s="133"/>
    </row>
    <row r="48" spans="2:12" ht="24" x14ac:dyDescent="0.2">
      <c r="B48" s="131">
        <v>5</v>
      </c>
      <c r="C48" s="206" t="s">
        <v>118</v>
      </c>
      <c r="D48" s="209" t="s">
        <v>117</v>
      </c>
      <c r="E48" s="110">
        <v>18</v>
      </c>
      <c r="F48" s="102">
        <v>0</v>
      </c>
      <c r="G48" s="270">
        <f t="shared" si="1"/>
        <v>0</v>
      </c>
      <c r="H48" s="122"/>
      <c r="I48" s="132"/>
    </row>
    <row r="49" spans="1:9" ht="27" customHeight="1" x14ac:dyDescent="0.2">
      <c r="B49" s="131">
        <v>6</v>
      </c>
      <c r="C49" s="206" t="s">
        <v>304</v>
      </c>
      <c r="D49" s="209" t="s">
        <v>112</v>
      </c>
      <c r="E49" s="110">
        <v>2</v>
      </c>
      <c r="F49" s="102">
        <v>0</v>
      </c>
      <c r="G49" s="270">
        <f t="shared" si="1"/>
        <v>0</v>
      </c>
      <c r="H49" s="122"/>
      <c r="I49" s="133"/>
    </row>
    <row r="50" spans="1:9" ht="24" x14ac:dyDescent="0.2">
      <c r="B50" s="131">
        <v>7</v>
      </c>
      <c r="C50" s="206" t="s">
        <v>119</v>
      </c>
      <c r="D50" s="209" t="s">
        <v>112</v>
      </c>
      <c r="E50" s="110">
        <v>29</v>
      </c>
      <c r="F50" s="102">
        <v>0</v>
      </c>
      <c r="G50" s="270">
        <f t="shared" si="1"/>
        <v>0</v>
      </c>
      <c r="H50" s="122"/>
      <c r="I50" s="134"/>
    </row>
    <row r="51" spans="1:9" ht="39" customHeight="1" x14ac:dyDescent="0.2">
      <c r="B51" s="131">
        <v>8</v>
      </c>
      <c r="C51" s="208" t="s">
        <v>120</v>
      </c>
      <c r="D51" s="209" t="s">
        <v>112</v>
      </c>
      <c r="E51" s="110">
        <v>12</v>
      </c>
      <c r="F51" s="102">
        <v>0</v>
      </c>
      <c r="G51" s="270">
        <f t="shared" si="1"/>
        <v>0</v>
      </c>
      <c r="H51" s="122"/>
      <c r="I51" s="121"/>
    </row>
    <row r="52" spans="1:9" ht="156" x14ac:dyDescent="0.2">
      <c r="A52" s="121"/>
      <c r="B52" s="131">
        <v>9</v>
      </c>
      <c r="C52" s="410" t="s">
        <v>720</v>
      </c>
      <c r="D52" s="222" t="s">
        <v>149</v>
      </c>
      <c r="E52" s="47">
        <v>1</v>
      </c>
      <c r="F52" s="102">
        <v>0</v>
      </c>
      <c r="G52" s="270">
        <f t="shared" ref="G52:G55" si="2">E52*F52</f>
        <v>0</v>
      </c>
      <c r="H52" s="122"/>
    </row>
    <row r="53" spans="1:9" ht="36.75" customHeight="1" x14ac:dyDescent="0.2">
      <c r="A53" s="121"/>
      <c r="B53" s="131">
        <v>10</v>
      </c>
      <c r="C53" s="223" t="s">
        <v>152</v>
      </c>
      <c r="D53" s="222" t="s">
        <v>149</v>
      </c>
      <c r="E53" s="109">
        <v>4</v>
      </c>
      <c r="F53" s="102">
        <v>0</v>
      </c>
      <c r="G53" s="270">
        <f t="shared" si="2"/>
        <v>0</v>
      </c>
      <c r="H53" s="122"/>
    </row>
    <row r="54" spans="1:9" ht="30" customHeight="1" x14ac:dyDescent="0.2">
      <c r="A54" s="121"/>
      <c r="B54" s="131">
        <v>11</v>
      </c>
      <c r="C54" s="223" t="s">
        <v>153</v>
      </c>
      <c r="D54" s="222" t="s">
        <v>112</v>
      </c>
      <c r="E54" s="109">
        <v>5.2</v>
      </c>
      <c r="F54" s="102">
        <v>0</v>
      </c>
      <c r="G54" s="270">
        <f t="shared" si="2"/>
        <v>0</v>
      </c>
      <c r="H54" s="122"/>
    </row>
    <row r="55" spans="1:9" ht="28.5" customHeight="1" x14ac:dyDescent="0.2">
      <c r="A55" s="121"/>
      <c r="B55" s="131">
        <v>12</v>
      </c>
      <c r="C55" s="223" t="s">
        <v>155</v>
      </c>
      <c r="D55" s="222" t="s">
        <v>156</v>
      </c>
      <c r="E55" s="109">
        <v>16</v>
      </c>
      <c r="F55" s="102">
        <v>0</v>
      </c>
      <c r="G55" s="270">
        <f t="shared" si="2"/>
        <v>0</v>
      </c>
      <c r="H55" s="122"/>
    </row>
    <row r="56" spans="1:9" s="9" customFormat="1" ht="21.75" customHeight="1" x14ac:dyDescent="0.25">
      <c r="A56" s="147"/>
      <c r="B56" s="327" t="s">
        <v>12</v>
      </c>
      <c r="C56" s="214" t="s">
        <v>157</v>
      </c>
      <c r="D56" s="224"/>
      <c r="E56" s="215"/>
      <c r="F56" s="216"/>
      <c r="G56" s="290">
        <f>SUM(G44:G55)</f>
        <v>0</v>
      </c>
      <c r="H56" s="150"/>
    </row>
    <row r="57" spans="1:9" x14ac:dyDescent="0.2">
      <c r="A57" s="121"/>
      <c r="B57" s="129"/>
      <c r="C57" s="197"/>
      <c r="D57" s="198"/>
      <c r="E57" s="199"/>
      <c r="F57" s="200"/>
      <c r="G57" s="201"/>
      <c r="H57" s="122"/>
    </row>
    <row r="58" spans="1:9" ht="24" x14ac:dyDescent="0.2">
      <c r="A58" s="121"/>
      <c r="B58" s="128" t="s">
        <v>83</v>
      </c>
      <c r="C58" s="192" t="s">
        <v>89</v>
      </c>
      <c r="D58" s="192" t="s">
        <v>90</v>
      </c>
      <c r="E58" s="194" t="s">
        <v>91</v>
      </c>
      <c r="F58" s="195" t="s">
        <v>92</v>
      </c>
      <c r="G58" s="196" t="s">
        <v>93</v>
      </c>
      <c r="H58" s="122"/>
    </row>
    <row r="59" spans="1:9" x14ac:dyDescent="0.2">
      <c r="A59" s="121"/>
      <c r="B59" s="129"/>
      <c r="C59" s="197"/>
      <c r="D59" s="207"/>
      <c r="E59" s="199"/>
      <c r="F59" s="200"/>
      <c r="G59" s="201"/>
      <c r="H59" s="122"/>
    </row>
    <row r="60" spans="1:9" s="16" customFormat="1" ht="20.25" x14ac:dyDescent="0.3">
      <c r="A60" s="295"/>
      <c r="B60" s="296" t="s">
        <v>17</v>
      </c>
      <c r="C60" s="297" t="s">
        <v>158</v>
      </c>
      <c r="D60" s="298"/>
      <c r="E60" s="299"/>
      <c r="F60" s="300"/>
      <c r="G60" s="301"/>
      <c r="H60" s="302"/>
    </row>
    <row r="61" spans="1:9" s="24" customFormat="1" ht="18" customHeight="1" x14ac:dyDescent="0.2">
      <c r="A61" s="140"/>
      <c r="B61" s="143" t="s">
        <v>1</v>
      </c>
      <c r="C61" s="168"/>
      <c r="D61" s="170"/>
      <c r="E61" s="170"/>
      <c r="F61" s="170"/>
      <c r="G61" s="169"/>
      <c r="H61" s="139"/>
    </row>
    <row r="62" spans="1:9" s="24" customFormat="1" ht="18" customHeight="1" x14ac:dyDescent="0.25">
      <c r="A62" s="141"/>
      <c r="B62" s="144" t="s">
        <v>2</v>
      </c>
      <c r="C62" s="171"/>
      <c r="D62" s="172"/>
      <c r="E62" s="173"/>
      <c r="F62" s="173"/>
      <c r="G62" s="172"/>
      <c r="H62" s="139"/>
    </row>
    <row r="63" spans="1:9" s="24" customFormat="1" ht="18" customHeight="1" x14ac:dyDescent="0.2">
      <c r="A63" s="140"/>
      <c r="B63" s="143" t="s">
        <v>3</v>
      </c>
      <c r="C63" s="168"/>
      <c r="D63" s="170"/>
      <c r="E63" s="170"/>
      <c r="F63" s="170"/>
      <c r="G63" s="169"/>
      <c r="H63" s="139"/>
    </row>
    <row r="64" spans="1:9" s="24" customFormat="1" ht="18" customHeight="1" x14ac:dyDescent="0.25">
      <c r="A64" s="141"/>
      <c r="B64" s="144" t="s">
        <v>4</v>
      </c>
      <c r="C64" s="171"/>
      <c r="D64" s="173"/>
      <c r="E64" s="173"/>
      <c r="F64" s="173"/>
      <c r="G64" s="172"/>
      <c r="H64" s="139"/>
    </row>
    <row r="65" spans="1:8" s="43" customFormat="1" ht="18.75" customHeight="1" x14ac:dyDescent="0.2">
      <c r="A65" s="130"/>
      <c r="B65" s="3184" t="s">
        <v>159</v>
      </c>
      <c r="C65" s="3185"/>
      <c r="D65" s="3185"/>
      <c r="E65" s="3185"/>
      <c r="F65" s="3185"/>
      <c r="G65" s="3186"/>
      <c r="H65" s="122"/>
    </row>
    <row r="66" spans="1:8" s="43" customFormat="1" ht="18.75" customHeight="1" x14ac:dyDescent="0.2">
      <c r="B66" s="3184" t="s">
        <v>160</v>
      </c>
      <c r="C66" s="3185"/>
      <c r="D66" s="3185"/>
      <c r="E66" s="3185"/>
      <c r="F66" s="3185"/>
      <c r="G66" s="3186"/>
      <c r="H66" s="122"/>
    </row>
    <row r="67" spans="1:8" s="43" customFormat="1" ht="18.75" customHeight="1" x14ac:dyDescent="0.2">
      <c r="B67" s="3184" t="s">
        <v>161</v>
      </c>
      <c r="C67" s="3185"/>
      <c r="D67" s="3185"/>
      <c r="E67" s="3185"/>
      <c r="F67" s="3185"/>
      <c r="G67" s="3186"/>
      <c r="H67" s="122"/>
    </row>
    <row r="68" spans="1:8" ht="30" customHeight="1" x14ac:dyDescent="0.2">
      <c r="B68" s="153">
        <v>1</v>
      </c>
      <c r="C68" s="412" t="s">
        <v>162</v>
      </c>
      <c r="D68" s="226"/>
      <c r="E68" s="199"/>
      <c r="F68" s="200"/>
      <c r="G68" s="201"/>
      <c r="H68" s="122"/>
    </row>
    <row r="69" spans="1:8" s="9" customFormat="1" ht="18.75" customHeight="1" x14ac:dyDescent="0.25">
      <c r="B69" s="148"/>
      <c r="C69" s="413" t="s">
        <v>721</v>
      </c>
      <c r="D69" s="226" t="s">
        <v>95</v>
      </c>
      <c r="E69" s="199">
        <v>72</v>
      </c>
      <c r="F69" s="269">
        <v>0</v>
      </c>
      <c r="G69" s="270">
        <f t="shared" ref="G69:G75" si="3">E69*F69</f>
        <v>0</v>
      </c>
      <c r="H69" s="150"/>
    </row>
    <row r="70" spans="1:8" s="9" customFormat="1" ht="18.75" customHeight="1" x14ac:dyDescent="0.25">
      <c r="B70" s="148"/>
      <c r="C70" s="413" t="s">
        <v>722</v>
      </c>
      <c r="D70" s="226" t="s">
        <v>95</v>
      </c>
      <c r="E70" s="199">
        <v>10</v>
      </c>
      <c r="F70" s="269">
        <v>0</v>
      </c>
      <c r="G70" s="270">
        <f t="shared" si="3"/>
        <v>0</v>
      </c>
      <c r="H70" s="150"/>
    </row>
    <row r="71" spans="1:8" s="9" customFormat="1" ht="18.75" customHeight="1" x14ac:dyDescent="0.25">
      <c r="B71" s="148"/>
      <c r="C71" s="418" t="s">
        <v>723</v>
      </c>
      <c r="D71" s="226" t="s">
        <v>95</v>
      </c>
      <c r="E71" s="199">
        <v>10</v>
      </c>
      <c r="F71" s="269">
        <v>0</v>
      </c>
      <c r="G71" s="270">
        <f t="shared" si="3"/>
        <v>0</v>
      </c>
      <c r="H71" s="150"/>
    </row>
    <row r="72" spans="1:8" ht="40.5" customHeight="1" x14ac:dyDescent="0.2">
      <c r="B72" s="154">
        <v>2</v>
      </c>
      <c r="C72" s="227" t="s">
        <v>172</v>
      </c>
      <c r="D72" s="209" t="s">
        <v>95</v>
      </c>
      <c r="E72" s="228">
        <v>92</v>
      </c>
      <c r="F72" s="269">
        <v>0</v>
      </c>
      <c r="G72" s="270">
        <f t="shared" si="3"/>
        <v>0</v>
      </c>
      <c r="H72" s="122"/>
    </row>
    <row r="73" spans="1:8" ht="41.25" customHeight="1" x14ac:dyDescent="0.2">
      <c r="B73" s="309" t="s">
        <v>173</v>
      </c>
      <c r="C73" s="227" t="s">
        <v>174</v>
      </c>
      <c r="D73" s="209" t="s">
        <v>98</v>
      </c>
      <c r="E73" s="228">
        <v>1</v>
      </c>
      <c r="F73" s="269">
        <v>0</v>
      </c>
      <c r="G73" s="270">
        <f t="shared" si="3"/>
        <v>0</v>
      </c>
      <c r="H73" s="122"/>
    </row>
    <row r="74" spans="1:8" ht="27" customHeight="1" x14ac:dyDescent="0.2">
      <c r="B74" s="309" t="s">
        <v>175</v>
      </c>
      <c r="C74" s="227" t="s">
        <v>176</v>
      </c>
      <c r="D74" s="209" t="s">
        <v>98</v>
      </c>
      <c r="E74" s="228">
        <v>1</v>
      </c>
      <c r="F74" s="269">
        <v>0</v>
      </c>
      <c r="G74" s="270">
        <f t="shared" si="3"/>
        <v>0</v>
      </c>
      <c r="H74" s="122"/>
    </row>
    <row r="75" spans="1:8" ht="39" customHeight="1" x14ac:dyDescent="0.2">
      <c r="B75" s="309" t="s">
        <v>177</v>
      </c>
      <c r="C75" s="227" t="s">
        <v>178</v>
      </c>
      <c r="D75" s="209" t="s">
        <v>98</v>
      </c>
      <c r="E75" s="228">
        <v>1</v>
      </c>
      <c r="F75" s="269">
        <v>0</v>
      </c>
      <c r="G75" s="270">
        <f t="shared" si="3"/>
        <v>0</v>
      </c>
      <c r="H75" s="122"/>
    </row>
    <row r="76" spans="1:8" ht="27.75" customHeight="1" x14ac:dyDescent="0.2">
      <c r="B76" s="153">
        <v>3</v>
      </c>
      <c r="C76" s="229" t="s">
        <v>179</v>
      </c>
      <c r="D76" s="198"/>
      <c r="E76" s="199"/>
      <c r="F76" s="199"/>
      <c r="G76" s="201"/>
      <c r="H76" s="122"/>
    </row>
    <row r="77" spans="1:8" s="34" customFormat="1" x14ac:dyDescent="0.2">
      <c r="B77" s="292" t="s">
        <v>251</v>
      </c>
      <c r="C77" s="253" t="s">
        <v>252</v>
      </c>
      <c r="D77" s="254"/>
      <c r="E77" s="255"/>
      <c r="F77" s="256"/>
      <c r="G77" s="257"/>
      <c r="H77" s="122"/>
    </row>
    <row r="78" spans="1:8" s="34" customFormat="1" x14ac:dyDescent="0.2">
      <c r="B78" s="135"/>
      <c r="C78" s="253" t="s">
        <v>724</v>
      </c>
      <c r="D78" s="254"/>
      <c r="E78" s="255"/>
      <c r="F78" s="256">
        <v>0</v>
      </c>
      <c r="G78" s="257"/>
      <c r="H78" s="122"/>
    </row>
    <row r="79" spans="1:8" s="34" customFormat="1" x14ac:dyDescent="0.2">
      <c r="B79" s="135"/>
      <c r="C79" s="258" t="s">
        <v>725</v>
      </c>
      <c r="D79" s="254" t="s">
        <v>149</v>
      </c>
      <c r="E79" s="255">
        <v>15</v>
      </c>
      <c r="F79" s="277">
        <v>0</v>
      </c>
      <c r="G79" s="278">
        <f t="shared" ref="G79:G105" si="4">E79*F79</f>
        <v>0</v>
      </c>
      <c r="H79" s="122"/>
    </row>
    <row r="80" spans="1:8" s="34" customFormat="1" ht="14.25" customHeight="1" x14ac:dyDescent="0.2">
      <c r="B80" s="135"/>
      <c r="C80" s="258" t="s">
        <v>726</v>
      </c>
      <c r="D80" s="254" t="s">
        <v>149</v>
      </c>
      <c r="E80" s="255">
        <v>2</v>
      </c>
      <c r="F80" s="277">
        <v>0</v>
      </c>
      <c r="G80" s="278">
        <f t="shared" si="4"/>
        <v>0</v>
      </c>
      <c r="H80" s="122"/>
    </row>
    <row r="81" spans="2:8" s="34" customFormat="1" ht="12.75" customHeight="1" x14ac:dyDescent="0.2">
      <c r="B81" s="135"/>
      <c r="C81" s="258" t="s">
        <v>344</v>
      </c>
      <c r="D81" s="254" t="s">
        <v>149</v>
      </c>
      <c r="E81" s="255">
        <v>1</v>
      </c>
      <c r="F81" s="277">
        <v>0</v>
      </c>
      <c r="G81" s="278">
        <f t="shared" si="4"/>
        <v>0</v>
      </c>
      <c r="H81" s="122"/>
    </row>
    <row r="82" spans="2:8" s="34" customFormat="1" ht="15" customHeight="1" x14ac:dyDescent="0.2">
      <c r="B82" s="135"/>
      <c r="C82" s="258" t="s">
        <v>273</v>
      </c>
      <c r="D82" s="254" t="s">
        <v>149</v>
      </c>
      <c r="E82" s="255">
        <v>1</v>
      </c>
      <c r="F82" s="277">
        <v>0</v>
      </c>
      <c r="G82" s="278">
        <f t="shared" si="4"/>
        <v>0</v>
      </c>
      <c r="H82" s="122"/>
    </row>
    <row r="83" spans="2:8" s="34" customFormat="1" ht="15" customHeight="1" x14ac:dyDescent="0.2">
      <c r="B83" s="135"/>
      <c r="C83" s="259" t="s">
        <v>727</v>
      </c>
      <c r="D83" s="254" t="s">
        <v>149</v>
      </c>
      <c r="E83" s="255">
        <v>1</v>
      </c>
      <c r="F83" s="277">
        <v>0</v>
      </c>
      <c r="G83" s="278">
        <f t="shared" si="4"/>
        <v>0</v>
      </c>
      <c r="H83" s="122"/>
    </row>
    <row r="84" spans="2:8" s="34" customFormat="1" x14ac:dyDescent="0.2">
      <c r="B84" s="135"/>
      <c r="C84" s="259" t="s">
        <v>728</v>
      </c>
      <c r="D84" s="254" t="s">
        <v>149</v>
      </c>
      <c r="E84" s="255">
        <v>1</v>
      </c>
      <c r="F84" s="277">
        <v>0</v>
      </c>
      <c r="G84" s="278">
        <f t="shared" si="4"/>
        <v>0</v>
      </c>
      <c r="H84" s="122"/>
    </row>
    <row r="85" spans="2:8" s="34" customFormat="1" ht="15" customHeight="1" x14ac:dyDescent="0.2">
      <c r="B85" s="135"/>
      <c r="C85" s="259" t="s">
        <v>729</v>
      </c>
      <c r="D85" s="254" t="s">
        <v>149</v>
      </c>
      <c r="E85" s="255">
        <v>1</v>
      </c>
      <c r="F85" s="277">
        <v>0</v>
      </c>
      <c r="G85" s="278">
        <f t="shared" si="4"/>
        <v>0</v>
      </c>
      <c r="H85" s="122"/>
    </row>
    <row r="86" spans="2:8" s="34" customFormat="1" ht="12.75" customHeight="1" x14ac:dyDescent="0.2">
      <c r="B86" s="135"/>
      <c r="C86" s="259" t="s">
        <v>730</v>
      </c>
      <c r="D86" s="254" t="s">
        <v>149</v>
      </c>
      <c r="E86" s="255">
        <v>1</v>
      </c>
      <c r="F86" s="277">
        <v>0</v>
      </c>
      <c r="G86" s="278">
        <f t="shared" si="4"/>
        <v>0</v>
      </c>
      <c r="H86" s="122"/>
    </row>
    <row r="87" spans="2:8" s="34" customFormat="1" ht="12.75" customHeight="1" x14ac:dyDescent="0.2">
      <c r="B87" s="135"/>
      <c r="C87" s="259" t="s">
        <v>348</v>
      </c>
      <c r="D87" s="254" t="s">
        <v>149</v>
      </c>
      <c r="E87" s="255">
        <v>1</v>
      </c>
      <c r="F87" s="277">
        <v>0</v>
      </c>
      <c r="G87" s="278">
        <f t="shared" si="4"/>
        <v>0</v>
      </c>
      <c r="H87" s="122"/>
    </row>
    <row r="88" spans="2:8" s="34" customFormat="1" x14ac:dyDescent="0.2">
      <c r="B88" s="135"/>
      <c r="C88" s="259" t="s">
        <v>262</v>
      </c>
      <c r="D88" s="254" t="s">
        <v>149</v>
      </c>
      <c r="E88" s="255">
        <v>1</v>
      </c>
      <c r="F88" s="277">
        <v>0</v>
      </c>
      <c r="G88" s="278">
        <f t="shared" si="4"/>
        <v>0</v>
      </c>
      <c r="H88" s="122"/>
    </row>
    <row r="89" spans="2:8" s="34" customFormat="1" x14ac:dyDescent="0.2">
      <c r="B89" s="135"/>
      <c r="C89" s="414" t="s">
        <v>731</v>
      </c>
      <c r="D89" s="254" t="s">
        <v>149</v>
      </c>
      <c r="E89" s="255">
        <v>1</v>
      </c>
      <c r="F89" s="277">
        <v>0</v>
      </c>
      <c r="G89" s="278">
        <f t="shared" si="4"/>
        <v>0</v>
      </c>
      <c r="H89" s="122"/>
    </row>
    <row r="90" spans="2:8" s="34" customFormat="1" ht="36" x14ac:dyDescent="0.2">
      <c r="B90" s="135"/>
      <c r="C90" s="258" t="s">
        <v>732</v>
      </c>
      <c r="D90" s="254" t="s">
        <v>149</v>
      </c>
      <c r="E90" s="255">
        <v>1</v>
      </c>
      <c r="F90" s="277">
        <v>0</v>
      </c>
      <c r="G90" s="278">
        <f t="shared" si="4"/>
        <v>0</v>
      </c>
      <c r="H90" s="122"/>
    </row>
    <row r="91" spans="2:8" s="136" customFormat="1" ht="74.25" customHeight="1" x14ac:dyDescent="0.2">
      <c r="B91" s="135"/>
      <c r="C91" s="259" t="s">
        <v>733</v>
      </c>
      <c r="D91" s="254" t="s">
        <v>149</v>
      </c>
      <c r="E91" s="255">
        <v>1</v>
      </c>
      <c r="F91" s="277">
        <v>0</v>
      </c>
      <c r="G91" s="278">
        <f t="shared" si="4"/>
        <v>0</v>
      </c>
      <c r="H91" s="122"/>
    </row>
    <row r="92" spans="2:8" s="136" customFormat="1" x14ac:dyDescent="0.2">
      <c r="B92" s="135"/>
      <c r="C92" s="258" t="s">
        <v>734</v>
      </c>
      <c r="D92" s="254" t="s">
        <v>149</v>
      </c>
      <c r="E92" s="255">
        <v>1</v>
      </c>
      <c r="F92" s="277">
        <v>0</v>
      </c>
      <c r="G92" s="278">
        <f t="shared" ref="G92" si="5">E92*F92</f>
        <v>0</v>
      </c>
      <c r="H92" s="122"/>
    </row>
    <row r="93" spans="2:8" s="34" customFormat="1" x14ac:dyDescent="0.2">
      <c r="B93" s="135"/>
      <c r="C93" s="258" t="s">
        <v>735</v>
      </c>
      <c r="D93" s="254" t="s">
        <v>149</v>
      </c>
      <c r="E93" s="255">
        <v>1</v>
      </c>
      <c r="F93" s="277">
        <v>0</v>
      </c>
      <c r="G93" s="278">
        <f t="shared" si="4"/>
        <v>0</v>
      </c>
      <c r="H93" s="122"/>
    </row>
    <row r="94" spans="2:8" s="34" customFormat="1" x14ac:dyDescent="0.2">
      <c r="B94" s="135"/>
      <c r="C94" s="258" t="s">
        <v>736</v>
      </c>
      <c r="D94" s="254" t="s">
        <v>149</v>
      </c>
      <c r="E94" s="255">
        <v>1</v>
      </c>
      <c r="F94" s="277">
        <v>0</v>
      </c>
      <c r="G94" s="278">
        <f t="shared" si="4"/>
        <v>0</v>
      </c>
      <c r="H94" s="122"/>
    </row>
    <row r="95" spans="2:8" s="34" customFormat="1" x14ac:dyDescent="0.2">
      <c r="B95" s="135"/>
      <c r="C95" s="258" t="s">
        <v>737</v>
      </c>
      <c r="D95" s="254" t="s">
        <v>149</v>
      </c>
      <c r="E95" s="255">
        <v>1</v>
      </c>
      <c r="F95" s="277">
        <v>0</v>
      </c>
      <c r="G95" s="278">
        <f t="shared" si="4"/>
        <v>0</v>
      </c>
      <c r="H95" s="122"/>
    </row>
    <row r="96" spans="2:8" s="34" customFormat="1" x14ac:dyDescent="0.2">
      <c r="B96" s="135"/>
      <c r="C96" s="414" t="s">
        <v>738</v>
      </c>
      <c r="D96" s="254" t="s">
        <v>149</v>
      </c>
      <c r="E96" s="255">
        <v>2</v>
      </c>
      <c r="F96" s="277">
        <v>0</v>
      </c>
      <c r="G96" s="278">
        <f t="shared" si="4"/>
        <v>0</v>
      </c>
      <c r="H96" s="122"/>
    </row>
    <row r="97" spans="2:8" s="34" customFormat="1" x14ac:dyDescent="0.2">
      <c r="B97" s="135"/>
      <c r="C97" s="414" t="s">
        <v>739</v>
      </c>
      <c r="D97" s="254" t="s">
        <v>149</v>
      </c>
      <c r="E97" s="255">
        <v>2</v>
      </c>
      <c r="F97" s="277">
        <v>0</v>
      </c>
      <c r="G97" s="278">
        <f t="shared" si="4"/>
        <v>0</v>
      </c>
      <c r="H97" s="122"/>
    </row>
    <row r="98" spans="2:8" s="34" customFormat="1" x14ac:dyDescent="0.2">
      <c r="B98" s="135"/>
      <c r="C98" s="414" t="s">
        <v>740</v>
      </c>
      <c r="D98" s="254" t="s">
        <v>149</v>
      </c>
      <c r="E98" s="255">
        <v>2</v>
      </c>
      <c r="F98" s="277">
        <v>0</v>
      </c>
      <c r="G98" s="278">
        <f t="shared" si="4"/>
        <v>0</v>
      </c>
      <c r="H98" s="122"/>
    </row>
    <row r="99" spans="2:8" s="34" customFormat="1" x14ac:dyDescent="0.2">
      <c r="B99" s="135"/>
      <c r="C99" s="414" t="s">
        <v>741</v>
      </c>
      <c r="D99" s="254" t="s">
        <v>149</v>
      </c>
      <c r="E99" s="255">
        <v>5</v>
      </c>
      <c r="F99" s="277">
        <v>0</v>
      </c>
      <c r="G99" s="278">
        <f t="shared" si="4"/>
        <v>0</v>
      </c>
      <c r="H99" s="122"/>
    </row>
    <row r="100" spans="2:8" s="34" customFormat="1" x14ac:dyDescent="0.2">
      <c r="B100" s="135"/>
      <c r="C100" s="414" t="s">
        <v>742</v>
      </c>
      <c r="D100" s="254" t="s">
        <v>149</v>
      </c>
      <c r="E100" s="255">
        <v>11</v>
      </c>
      <c r="F100" s="277">
        <v>0</v>
      </c>
      <c r="G100" s="278">
        <f t="shared" si="4"/>
        <v>0</v>
      </c>
      <c r="H100" s="122"/>
    </row>
    <row r="101" spans="2:8" s="34" customFormat="1" x14ac:dyDescent="0.2">
      <c r="B101" s="135"/>
      <c r="C101" s="414" t="s">
        <v>743</v>
      </c>
      <c r="D101" s="254" t="s">
        <v>149</v>
      </c>
      <c r="E101" s="255">
        <v>6</v>
      </c>
      <c r="F101" s="277">
        <v>0</v>
      </c>
      <c r="G101" s="278">
        <f t="shared" si="4"/>
        <v>0</v>
      </c>
      <c r="H101" s="122"/>
    </row>
    <row r="102" spans="2:8" s="34" customFormat="1" x14ac:dyDescent="0.2">
      <c r="B102" s="135"/>
      <c r="C102" s="414" t="s">
        <v>744</v>
      </c>
      <c r="D102" s="254" t="s">
        <v>149</v>
      </c>
      <c r="E102" s="255">
        <v>2</v>
      </c>
      <c r="F102" s="277">
        <v>0</v>
      </c>
      <c r="G102" s="278">
        <f t="shared" si="4"/>
        <v>0</v>
      </c>
      <c r="H102" s="122"/>
    </row>
    <row r="103" spans="2:8" s="34" customFormat="1" x14ac:dyDescent="0.2">
      <c r="B103" s="135"/>
      <c r="C103" s="414" t="s">
        <v>745</v>
      </c>
      <c r="D103" s="254" t="s">
        <v>149</v>
      </c>
      <c r="E103" s="255">
        <v>2</v>
      </c>
      <c r="F103" s="277">
        <v>0</v>
      </c>
      <c r="G103" s="278">
        <f t="shared" si="4"/>
        <v>0</v>
      </c>
      <c r="H103" s="122"/>
    </row>
    <row r="104" spans="2:8" s="34" customFormat="1" x14ac:dyDescent="0.2">
      <c r="B104" s="135"/>
      <c r="C104" s="414" t="s">
        <v>746</v>
      </c>
      <c r="D104" s="254" t="s">
        <v>149</v>
      </c>
      <c r="E104" s="255">
        <v>1</v>
      </c>
      <c r="F104" s="277">
        <v>0</v>
      </c>
      <c r="G104" s="278">
        <f t="shared" si="4"/>
        <v>0</v>
      </c>
      <c r="H104" s="122"/>
    </row>
    <row r="105" spans="2:8" s="34" customFormat="1" ht="14.25" customHeight="1" x14ac:dyDescent="0.2">
      <c r="B105" s="135"/>
      <c r="C105" s="414" t="s">
        <v>747</v>
      </c>
      <c r="D105" s="254" t="s">
        <v>149</v>
      </c>
      <c r="E105" s="255">
        <v>1</v>
      </c>
      <c r="F105" s="277">
        <v>0</v>
      </c>
      <c r="G105" s="278">
        <f t="shared" si="4"/>
        <v>0</v>
      </c>
      <c r="H105" s="122"/>
    </row>
    <row r="106" spans="2:8" s="9" customFormat="1" ht="25.5" customHeight="1" x14ac:dyDescent="0.25">
      <c r="B106" s="293" t="s">
        <v>17</v>
      </c>
      <c r="C106" s="294" t="s">
        <v>302</v>
      </c>
      <c r="D106" s="218"/>
      <c r="E106" s="203"/>
      <c r="F106" s="204"/>
      <c r="G106" s="290">
        <f>SUM(G68:G105)</f>
        <v>0</v>
      </c>
      <c r="H106" s="150"/>
    </row>
    <row r="107" spans="2:8" x14ac:dyDescent="0.2">
      <c r="B107" s="51"/>
      <c r="C107" s="50"/>
      <c r="D107" s="50"/>
      <c r="E107" s="359"/>
      <c r="F107" s="360"/>
      <c r="G107" s="361"/>
      <c r="H107" s="122"/>
    </row>
    <row r="108" spans="2:8" ht="20.25" x14ac:dyDescent="0.2">
      <c r="B108" s="296" t="s">
        <v>18</v>
      </c>
      <c r="C108" s="297" t="s">
        <v>367</v>
      </c>
      <c r="D108" s="298"/>
      <c r="E108" s="299"/>
      <c r="F108" s="300"/>
      <c r="G108" s="301"/>
      <c r="H108" s="122"/>
    </row>
    <row r="109" spans="2:8" x14ac:dyDescent="0.2">
      <c r="B109" s="3205" t="s">
        <v>539</v>
      </c>
      <c r="C109" s="3206"/>
      <c r="D109" s="3206"/>
      <c r="E109" s="3206"/>
      <c r="F109" s="3206"/>
      <c r="G109" s="3207"/>
      <c r="H109" s="122"/>
    </row>
    <row r="110" spans="2:8" ht="25.5" customHeight="1" x14ac:dyDescent="0.2">
      <c r="B110" s="3205" t="s">
        <v>540</v>
      </c>
      <c r="C110" s="3206"/>
      <c r="D110" s="3206"/>
      <c r="E110" s="3206"/>
      <c r="F110" s="3206"/>
      <c r="G110" s="3207"/>
      <c r="H110" s="122"/>
    </row>
    <row r="111" spans="2:8" x14ac:dyDescent="0.2">
      <c r="B111" s="3205" t="s">
        <v>541</v>
      </c>
      <c r="C111" s="3206"/>
      <c r="D111" s="3206"/>
      <c r="E111" s="3206"/>
      <c r="F111" s="3206"/>
      <c r="G111" s="3207"/>
      <c r="H111" s="122"/>
    </row>
    <row r="112" spans="2:8" ht="25.5" customHeight="1" x14ac:dyDescent="0.2">
      <c r="B112" s="3205" t="s">
        <v>542</v>
      </c>
      <c r="C112" s="3206"/>
      <c r="D112" s="3206"/>
      <c r="E112" s="3206"/>
      <c r="F112" s="3206"/>
      <c r="G112" s="3207"/>
      <c r="H112" s="122"/>
    </row>
    <row r="113" spans="2:8" ht="25.5" customHeight="1" x14ac:dyDescent="0.2">
      <c r="B113" s="3205" t="s">
        <v>543</v>
      </c>
      <c r="C113" s="3206"/>
      <c r="D113" s="3206"/>
      <c r="E113" s="3206"/>
      <c r="F113" s="3206"/>
      <c r="G113" s="3207"/>
      <c r="H113" s="122"/>
    </row>
    <row r="114" spans="2:8" ht="25.5" customHeight="1" x14ac:dyDescent="0.2">
      <c r="B114" s="3205" t="s">
        <v>544</v>
      </c>
      <c r="C114" s="3206"/>
      <c r="D114" s="3206"/>
      <c r="E114" s="3206"/>
      <c r="F114" s="3206"/>
      <c r="G114" s="3207"/>
    </row>
    <row r="115" spans="2:8" x14ac:dyDescent="0.2">
      <c r="B115" s="3205" t="s">
        <v>545</v>
      </c>
      <c r="C115" s="3206"/>
      <c r="D115" s="3206"/>
      <c r="E115" s="3206"/>
      <c r="F115" s="3206"/>
      <c r="G115" s="3207"/>
    </row>
    <row r="116" spans="2:8" x14ac:dyDescent="0.2">
      <c r="B116" s="153">
        <v>1</v>
      </c>
      <c r="C116" s="357" t="s">
        <v>550</v>
      </c>
      <c r="D116" s="207"/>
      <c r="E116" s="199"/>
      <c r="F116" s="269"/>
      <c r="G116" s="270"/>
    </row>
    <row r="117" spans="2:8" ht="96" x14ac:dyDescent="0.2">
      <c r="B117" s="153"/>
      <c r="C117" s="197" t="s">
        <v>748</v>
      </c>
      <c r="D117" s="207" t="s">
        <v>98</v>
      </c>
      <c r="E117" s="199">
        <v>1</v>
      </c>
      <c r="F117" s="269">
        <v>0</v>
      </c>
      <c r="G117" s="270">
        <f t="shared" ref="G117:G142" si="6">E117*F117</f>
        <v>0</v>
      </c>
    </row>
    <row r="118" spans="2:8" ht="48" x14ac:dyDescent="0.2">
      <c r="B118" s="153"/>
      <c r="C118" s="197" t="s">
        <v>554</v>
      </c>
      <c r="D118" s="207" t="s">
        <v>123</v>
      </c>
      <c r="E118" s="199">
        <v>1</v>
      </c>
      <c r="F118" s="269">
        <v>0</v>
      </c>
      <c r="G118" s="270">
        <f t="shared" si="6"/>
        <v>0</v>
      </c>
    </row>
    <row r="119" spans="2:8" ht="36" x14ac:dyDescent="0.2">
      <c r="B119" s="153"/>
      <c r="C119" s="197" t="s">
        <v>561</v>
      </c>
      <c r="D119" s="207" t="s">
        <v>123</v>
      </c>
      <c r="E119" s="199">
        <v>1</v>
      </c>
      <c r="F119" s="269">
        <v>0</v>
      </c>
      <c r="G119" s="270">
        <f t="shared" si="6"/>
        <v>0</v>
      </c>
    </row>
    <row r="120" spans="2:8" ht="24" x14ac:dyDescent="0.2">
      <c r="B120" s="153"/>
      <c r="C120" s="197" t="s">
        <v>749</v>
      </c>
      <c r="D120" s="207" t="s">
        <v>123</v>
      </c>
      <c r="E120" s="199">
        <v>1</v>
      </c>
      <c r="F120" s="269">
        <v>0</v>
      </c>
      <c r="G120" s="270">
        <f t="shared" si="6"/>
        <v>0</v>
      </c>
    </row>
    <row r="121" spans="2:8" ht="24" x14ac:dyDescent="0.2">
      <c r="B121" s="153"/>
      <c r="C121" s="197" t="s">
        <v>565</v>
      </c>
      <c r="D121" s="207" t="s">
        <v>123</v>
      </c>
      <c r="E121" s="199">
        <v>1</v>
      </c>
      <c r="F121" s="269">
        <v>0</v>
      </c>
      <c r="G121" s="270">
        <f t="shared" si="6"/>
        <v>0</v>
      </c>
    </row>
    <row r="122" spans="2:8" ht="96" x14ac:dyDescent="0.2">
      <c r="B122" s="129"/>
      <c r="C122" s="197" t="s">
        <v>750</v>
      </c>
      <c r="D122" s="207" t="s">
        <v>98</v>
      </c>
      <c r="E122" s="199">
        <v>1</v>
      </c>
      <c r="F122" s="269">
        <v>0</v>
      </c>
      <c r="G122" s="270">
        <f t="shared" si="6"/>
        <v>0</v>
      </c>
    </row>
    <row r="123" spans="2:8" ht="60" x14ac:dyDescent="0.2">
      <c r="B123" s="129"/>
      <c r="C123" s="197" t="s">
        <v>751</v>
      </c>
      <c r="D123" s="207" t="s">
        <v>123</v>
      </c>
      <c r="E123" s="199">
        <v>1</v>
      </c>
      <c r="F123" s="269">
        <v>0</v>
      </c>
      <c r="G123" s="270">
        <f t="shared" si="6"/>
        <v>0</v>
      </c>
    </row>
    <row r="124" spans="2:8" ht="60" x14ac:dyDescent="0.2">
      <c r="B124" s="129"/>
      <c r="C124" s="197" t="s">
        <v>752</v>
      </c>
      <c r="D124" s="207" t="s">
        <v>123</v>
      </c>
      <c r="E124" s="199">
        <v>1</v>
      </c>
      <c r="F124" s="269">
        <v>0</v>
      </c>
      <c r="G124" s="270">
        <f t="shared" si="6"/>
        <v>0</v>
      </c>
    </row>
    <row r="125" spans="2:8" ht="60" x14ac:dyDescent="0.2">
      <c r="B125" s="129"/>
      <c r="C125" s="197" t="s">
        <v>753</v>
      </c>
      <c r="D125" s="207" t="s">
        <v>123</v>
      </c>
      <c r="E125" s="199">
        <v>2</v>
      </c>
      <c r="F125" s="269">
        <v>0</v>
      </c>
      <c r="G125" s="270">
        <f t="shared" si="6"/>
        <v>0</v>
      </c>
    </row>
    <row r="126" spans="2:8" ht="60" x14ac:dyDescent="0.2">
      <c r="B126" s="129"/>
      <c r="C126" s="197" t="s">
        <v>754</v>
      </c>
      <c r="D126" s="207" t="s">
        <v>123</v>
      </c>
      <c r="E126" s="199">
        <v>1</v>
      </c>
      <c r="F126" s="269">
        <v>0</v>
      </c>
      <c r="G126" s="270">
        <f t="shared" si="6"/>
        <v>0</v>
      </c>
    </row>
    <row r="127" spans="2:8" ht="48" x14ac:dyDescent="0.2">
      <c r="B127" s="129"/>
      <c r="C127" s="197" t="s">
        <v>755</v>
      </c>
      <c r="D127" s="207" t="s">
        <v>123</v>
      </c>
      <c r="E127" s="199">
        <v>1</v>
      </c>
      <c r="F127" s="269">
        <v>0</v>
      </c>
      <c r="G127" s="270">
        <f t="shared" si="6"/>
        <v>0</v>
      </c>
    </row>
    <row r="128" spans="2:8" ht="60" x14ac:dyDescent="0.2">
      <c r="B128" s="129"/>
      <c r="C128" s="311" t="s">
        <v>756</v>
      </c>
      <c r="D128" s="207" t="s">
        <v>98</v>
      </c>
      <c r="E128" s="199">
        <v>1</v>
      </c>
      <c r="F128" s="269">
        <v>0</v>
      </c>
      <c r="G128" s="270">
        <f t="shared" si="6"/>
        <v>0</v>
      </c>
    </row>
    <row r="129" spans="2:8" ht="48" x14ac:dyDescent="0.2">
      <c r="B129" s="129"/>
      <c r="C129" s="197" t="s">
        <v>757</v>
      </c>
      <c r="D129" s="207" t="s">
        <v>123</v>
      </c>
      <c r="E129" s="199">
        <v>1</v>
      </c>
      <c r="F129" s="269">
        <v>0</v>
      </c>
      <c r="G129" s="270">
        <f t="shared" si="6"/>
        <v>0</v>
      </c>
    </row>
    <row r="130" spans="2:8" ht="108" x14ac:dyDescent="0.2">
      <c r="B130" s="129"/>
      <c r="C130" s="197" t="s">
        <v>619</v>
      </c>
      <c r="D130" s="207" t="s">
        <v>123</v>
      </c>
      <c r="E130" s="199">
        <v>1</v>
      </c>
      <c r="F130" s="269">
        <v>0</v>
      </c>
      <c r="G130" s="270">
        <f t="shared" si="6"/>
        <v>0</v>
      </c>
    </row>
    <row r="131" spans="2:8" ht="36" x14ac:dyDescent="0.2">
      <c r="B131" s="129"/>
      <c r="C131" s="197" t="s">
        <v>758</v>
      </c>
      <c r="D131" s="207" t="s">
        <v>123</v>
      </c>
      <c r="E131" s="199">
        <v>60</v>
      </c>
      <c r="F131" s="269">
        <v>0</v>
      </c>
      <c r="G131" s="270">
        <f t="shared" si="6"/>
        <v>0</v>
      </c>
    </row>
    <row r="132" spans="2:8" ht="36" x14ac:dyDescent="0.2">
      <c r="B132" s="129"/>
      <c r="C132" s="197" t="s">
        <v>759</v>
      </c>
      <c r="D132" s="207" t="s">
        <v>123</v>
      </c>
      <c r="E132" s="199">
        <v>10</v>
      </c>
      <c r="F132" s="269">
        <v>0</v>
      </c>
      <c r="G132" s="270">
        <f t="shared" si="6"/>
        <v>0</v>
      </c>
    </row>
    <row r="133" spans="2:8" ht="36" x14ac:dyDescent="0.2">
      <c r="B133" s="129"/>
      <c r="C133" s="197" t="s">
        <v>760</v>
      </c>
      <c r="D133" s="207" t="s">
        <v>123</v>
      </c>
      <c r="E133" s="199">
        <v>2</v>
      </c>
      <c r="F133" s="269">
        <v>0</v>
      </c>
      <c r="G133" s="270">
        <f t="shared" si="6"/>
        <v>0</v>
      </c>
    </row>
    <row r="134" spans="2:8" ht="36" x14ac:dyDescent="0.2">
      <c r="B134" s="129"/>
      <c r="C134" s="197" t="s">
        <v>761</v>
      </c>
      <c r="D134" s="207" t="s">
        <v>123</v>
      </c>
      <c r="E134" s="199">
        <v>12</v>
      </c>
      <c r="F134" s="269">
        <v>0</v>
      </c>
      <c r="G134" s="270">
        <f t="shared" si="6"/>
        <v>0</v>
      </c>
    </row>
    <row r="135" spans="2:8" ht="36" x14ac:dyDescent="0.2">
      <c r="B135" s="129"/>
      <c r="C135" s="197" t="s">
        <v>762</v>
      </c>
      <c r="D135" s="207" t="s">
        <v>123</v>
      </c>
      <c r="E135" s="199">
        <v>1</v>
      </c>
      <c r="F135" s="269">
        <v>0</v>
      </c>
      <c r="G135" s="270">
        <f t="shared" si="6"/>
        <v>0</v>
      </c>
    </row>
    <row r="136" spans="2:8" ht="48" x14ac:dyDescent="0.2">
      <c r="B136" s="129"/>
      <c r="C136" s="197" t="s">
        <v>763</v>
      </c>
      <c r="D136" s="207" t="s">
        <v>123</v>
      </c>
      <c r="E136" s="199">
        <v>1</v>
      </c>
      <c r="F136" s="269">
        <v>0</v>
      </c>
      <c r="G136" s="270">
        <f t="shared" si="6"/>
        <v>0</v>
      </c>
    </row>
    <row r="137" spans="2:8" ht="48" x14ac:dyDescent="0.2">
      <c r="B137" s="129"/>
      <c r="C137" s="197" t="s">
        <v>764</v>
      </c>
      <c r="D137" s="207" t="s">
        <v>123</v>
      </c>
      <c r="E137" s="199">
        <v>3</v>
      </c>
      <c r="F137" s="269">
        <v>0</v>
      </c>
      <c r="G137" s="270">
        <f t="shared" si="6"/>
        <v>0</v>
      </c>
    </row>
    <row r="138" spans="2:8" ht="48" x14ac:dyDescent="0.2">
      <c r="B138" s="129"/>
      <c r="C138" s="197" t="s">
        <v>765</v>
      </c>
      <c r="D138" s="207" t="s">
        <v>123</v>
      </c>
      <c r="E138" s="199">
        <v>3</v>
      </c>
      <c r="F138" s="269">
        <v>0</v>
      </c>
      <c r="G138" s="270">
        <f t="shared" si="6"/>
        <v>0</v>
      </c>
    </row>
    <row r="139" spans="2:8" ht="48" x14ac:dyDescent="0.2">
      <c r="B139" s="129"/>
      <c r="C139" s="197" t="s">
        <v>766</v>
      </c>
      <c r="D139" s="207" t="s">
        <v>123</v>
      </c>
      <c r="E139" s="199">
        <v>3</v>
      </c>
      <c r="F139" s="269">
        <v>0</v>
      </c>
      <c r="G139" s="270">
        <f t="shared" si="6"/>
        <v>0</v>
      </c>
    </row>
    <row r="140" spans="2:8" ht="48" x14ac:dyDescent="0.2">
      <c r="B140" s="129"/>
      <c r="C140" s="197" t="s">
        <v>767</v>
      </c>
      <c r="D140" s="207" t="s">
        <v>98</v>
      </c>
      <c r="E140" s="199">
        <v>1</v>
      </c>
      <c r="F140" s="269">
        <v>0</v>
      </c>
      <c r="G140" s="270">
        <f t="shared" si="6"/>
        <v>0</v>
      </c>
    </row>
    <row r="141" spans="2:8" ht="60" x14ac:dyDescent="0.2">
      <c r="B141" s="129"/>
      <c r="C141" s="197" t="s">
        <v>768</v>
      </c>
      <c r="D141" s="207" t="s">
        <v>123</v>
      </c>
      <c r="E141" s="199">
        <v>1</v>
      </c>
      <c r="F141" s="269">
        <v>0</v>
      </c>
      <c r="G141" s="270">
        <f t="shared" si="6"/>
        <v>0</v>
      </c>
    </row>
    <row r="142" spans="2:8" ht="84" x14ac:dyDescent="0.2">
      <c r="B142" s="129"/>
      <c r="C142" s="197" t="s">
        <v>620</v>
      </c>
      <c r="D142" s="207" t="s">
        <v>123</v>
      </c>
      <c r="E142" s="199">
        <v>1</v>
      </c>
      <c r="F142" s="269">
        <v>0</v>
      </c>
      <c r="G142" s="270">
        <f t="shared" si="6"/>
        <v>0</v>
      </c>
    </row>
    <row r="143" spans="2:8" x14ac:dyDescent="0.2">
      <c r="B143" s="153">
        <v>2</v>
      </c>
      <c r="C143" s="357" t="s">
        <v>769</v>
      </c>
      <c r="D143" s="207"/>
      <c r="E143" s="199"/>
      <c r="F143" s="269"/>
      <c r="G143" s="270"/>
    </row>
    <row r="144" spans="2:8" s="121" customFormat="1" ht="387.75" customHeight="1" x14ac:dyDescent="0.2">
      <c r="B144" s="2743"/>
      <c r="C144" s="2744"/>
      <c r="D144" s="2745"/>
      <c r="E144" s="2746"/>
      <c r="F144" s="2747"/>
      <c r="G144" s="2736"/>
      <c r="H144" s="122"/>
    </row>
    <row r="145" spans="2:8" s="121" customFormat="1" ht="24.75" customHeight="1" x14ac:dyDescent="0.2">
      <c r="B145" s="2743"/>
      <c r="C145" s="2744" t="s">
        <v>2465</v>
      </c>
      <c r="D145" s="2748" t="s">
        <v>98</v>
      </c>
      <c r="E145" s="2746">
        <v>1</v>
      </c>
      <c r="F145" s="2747">
        <v>0</v>
      </c>
      <c r="G145" s="2736">
        <f t="shared" ref="G145" si="7">E145*F145</f>
        <v>0</v>
      </c>
      <c r="H145" s="122"/>
    </row>
    <row r="146" spans="2:8" ht="48" x14ac:dyDescent="0.2">
      <c r="B146" s="129"/>
      <c r="C146" s="197" t="s">
        <v>771</v>
      </c>
      <c r="D146" s="207" t="s">
        <v>123</v>
      </c>
      <c r="E146" s="199">
        <v>1</v>
      </c>
      <c r="F146" s="269">
        <v>0</v>
      </c>
      <c r="G146" s="270">
        <f t="shared" ref="G146:G151" si="8">E146*F146</f>
        <v>0</v>
      </c>
    </row>
    <row r="147" spans="2:8" ht="48" x14ac:dyDescent="0.2">
      <c r="B147" s="129"/>
      <c r="C147" s="197" t="s">
        <v>625</v>
      </c>
      <c r="D147" s="207" t="s">
        <v>123</v>
      </c>
      <c r="E147" s="199">
        <v>1</v>
      </c>
      <c r="F147" s="269">
        <v>0</v>
      </c>
      <c r="G147" s="270">
        <f t="shared" si="8"/>
        <v>0</v>
      </c>
    </row>
    <row r="148" spans="2:8" ht="60" x14ac:dyDescent="0.2">
      <c r="B148" s="129"/>
      <c r="C148" s="197" t="s">
        <v>772</v>
      </c>
      <c r="D148" s="207" t="s">
        <v>123</v>
      </c>
      <c r="E148" s="199">
        <v>1</v>
      </c>
      <c r="F148" s="269">
        <v>0</v>
      </c>
      <c r="G148" s="270">
        <f t="shared" si="8"/>
        <v>0</v>
      </c>
    </row>
    <row r="149" spans="2:8" ht="180" x14ac:dyDescent="0.2">
      <c r="B149" s="153"/>
      <c r="C149" s="311" t="s">
        <v>773</v>
      </c>
      <c r="D149" s="207" t="s">
        <v>123</v>
      </c>
      <c r="E149" s="199">
        <v>1</v>
      </c>
      <c r="F149" s="269">
        <v>0</v>
      </c>
      <c r="G149" s="270">
        <f t="shared" si="8"/>
        <v>0</v>
      </c>
    </row>
    <row r="150" spans="2:8" ht="60" x14ac:dyDescent="0.2">
      <c r="B150" s="153"/>
      <c r="C150" s="311" t="s">
        <v>774</v>
      </c>
      <c r="D150" s="207" t="s">
        <v>98</v>
      </c>
      <c r="E150" s="199">
        <v>1</v>
      </c>
      <c r="F150" s="269">
        <v>0</v>
      </c>
      <c r="G150" s="270">
        <f t="shared" si="8"/>
        <v>0</v>
      </c>
    </row>
    <row r="151" spans="2:8" ht="36" x14ac:dyDescent="0.2">
      <c r="B151" s="129"/>
      <c r="C151" s="197" t="s">
        <v>603</v>
      </c>
      <c r="D151" s="207" t="s">
        <v>123</v>
      </c>
      <c r="E151" s="199">
        <v>1</v>
      </c>
      <c r="F151" s="269">
        <v>0</v>
      </c>
      <c r="G151" s="270">
        <f t="shared" si="8"/>
        <v>0</v>
      </c>
    </row>
    <row r="152" spans="2:8" x14ac:dyDescent="0.2">
      <c r="B152" s="153">
        <v>3</v>
      </c>
      <c r="C152" s="357" t="s">
        <v>775</v>
      </c>
      <c r="D152" s="207"/>
      <c r="E152" s="199"/>
      <c r="F152" s="269"/>
      <c r="G152" s="270"/>
    </row>
    <row r="153" spans="2:8" ht="276" x14ac:dyDescent="0.2">
      <c r="B153" s="153"/>
      <c r="C153" s="311" t="s">
        <v>816</v>
      </c>
      <c r="D153" s="207" t="s">
        <v>98</v>
      </c>
      <c r="E153" s="199">
        <v>1</v>
      </c>
      <c r="F153" s="269">
        <v>0</v>
      </c>
      <c r="G153" s="270">
        <f>E153*F153</f>
        <v>0</v>
      </c>
    </row>
    <row r="154" spans="2:8" ht="72" x14ac:dyDescent="0.2">
      <c r="B154" s="129"/>
      <c r="C154" s="197" t="s">
        <v>777</v>
      </c>
      <c r="D154" s="207" t="s">
        <v>98</v>
      </c>
      <c r="E154" s="199">
        <v>1</v>
      </c>
      <c r="F154" s="269">
        <v>0</v>
      </c>
      <c r="G154" s="270">
        <f>E154*F154</f>
        <v>0</v>
      </c>
    </row>
    <row r="155" spans="2:8" ht="84" x14ac:dyDescent="0.2">
      <c r="B155" s="129"/>
      <c r="C155" s="197" t="s">
        <v>778</v>
      </c>
      <c r="D155" s="207" t="s">
        <v>98</v>
      </c>
      <c r="E155" s="199">
        <v>1</v>
      </c>
      <c r="F155" s="269">
        <v>0</v>
      </c>
      <c r="G155" s="270">
        <f>E155*F155</f>
        <v>0</v>
      </c>
    </row>
    <row r="156" spans="2:8" x14ac:dyDescent="0.2">
      <c r="B156" s="153">
        <v>4</v>
      </c>
      <c r="C156" s="357" t="s">
        <v>779</v>
      </c>
      <c r="D156" s="207"/>
      <c r="E156" s="199"/>
      <c r="F156" s="269"/>
      <c r="G156" s="270"/>
    </row>
    <row r="157" spans="2:8" ht="60" x14ac:dyDescent="0.2">
      <c r="B157" s="129"/>
      <c r="C157" s="197" t="s">
        <v>780</v>
      </c>
      <c r="D157" s="207" t="s">
        <v>98</v>
      </c>
      <c r="E157" s="199">
        <v>3</v>
      </c>
      <c r="F157" s="269">
        <v>0</v>
      </c>
      <c r="G157" s="270">
        <f>E157*F157</f>
        <v>0</v>
      </c>
    </row>
    <row r="158" spans="2:8" ht="60" x14ac:dyDescent="0.2">
      <c r="B158" s="153"/>
      <c r="C158" s="311" t="s">
        <v>781</v>
      </c>
      <c r="D158" s="207" t="s">
        <v>98</v>
      </c>
      <c r="E158" s="199">
        <v>1</v>
      </c>
      <c r="F158" s="269">
        <v>0</v>
      </c>
      <c r="G158" s="270">
        <f>E158*F158</f>
        <v>0</v>
      </c>
    </row>
    <row r="159" spans="2:8" ht="36" x14ac:dyDescent="0.2">
      <c r="B159" s="153"/>
      <c r="C159" s="311" t="s">
        <v>782</v>
      </c>
      <c r="D159" s="207" t="s">
        <v>123</v>
      </c>
      <c r="E159" s="199">
        <v>1</v>
      </c>
      <c r="F159" s="269">
        <v>0</v>
      </c>
      <c r="G159" s="270">
        <f>E159*F159</f>
        <v>0</v>
      </c>
    </row>
    <row r="160" spans="2:8" ht="132" x14ac:dyDescent="0.2">
      <c r="B160" s="153"/>
      <c r="C160" s="311" t="s">
        <v>508</v>
      </c>
      <c r="D160" s="207" t="s">
        <v>123</v>
      </c>
      <c r="E160" s="199">
        <v>1</v>
      </c>
      <c r="F160" s="269">
        <v>0</v>
      </c>
      <c r="G160" s="270">
        <f>E160*F160</f>
        <v>0</v>
      </c>
    </row>
    <row r="161" spans="2:7" ht="96" x14ac:dyDescent="0.2">
      <c r="B161" s="129"/>
      <c r="C161" s="197" t="s">
        <v>783</v>
      </c>
      <c r="D161" s="207" t="s">
        <v>123</v>
      </c>
      <c r="E161" s="199">
        <v>1</v>
      </c>
      <c r="F161" s="269">
        <v>0</v>
      </c>
      <c r="G161" s="270">
        <f>E161*F161</f>
        <v>0</v>
      </c>
    </row>
    <row r="162" spans="2:7" x14ac:dyDescent="0.2">
      <c r="B162" s="153">
        <v>5</v>
      </c>
      <c r="C162" s="357" t="s">
        <v>784</v>
      </c>
      <c r="D162" s="207"/>
      <c r="E162" s="199"/>
      <c r="F162" s="269"/>
      <c r="G162" s="270"/>
    </row>
    <row r="163" spans="2:7" x14ac:dyDescent="0.2">
      <c r="B163" s="153"/>
      <c r="C163" s="311" t="s">
        <v>643</v>
      </c>
      <c r="D163" s="207" t="s">
        <v>644</v>
      </c>
      <c r="E163" s="199">
        <v>30</v>
      </c>
      <c r="F163" s="269">
        <v>0</v>
      </c>
      <c r="G163" s="270">
        <f t="shared" ref="G163:G171" si="9">E163*F163</f>
        <v>0</v>
      </c>
    </row>
    <row r="164" spans="2:7" x14ac:dyDescent="0.2">
      <c r="B164" s="153"/>
      <c r="C164" s="311" t="s">
        <v>645</v>
      </c>
      <c r="D164" s="207" t="s">
        <v>644</v>
      </c>
      <c r="E164" s="199">
        <v>50</v>
      </c>
      <c r="F164" s="269">
        <v>0</v>
      </c>
      <c r="G164" s="270">
        <f t="shared" si="9"/>
        <v>0</v>
      </c>
    </row>
    <row r="165" spans="2:7" x14ac:dyDescent="0.2">
      <c r="B165" s="153"/>
      <c r="C165" s="311" t="s">
        <v>646</v>
      </c>
      <c r="D165" s="207" t="s">
        <v>644</v>
      </c>
      <c r="E165" s="199">
        <v>200</v>
      </c>
      <c r="F165" s="269">
        <v>0</v>
      </c>
      <c r="G165" s="270">
        <f t="shared" si="9"/>
        <v>0</v>
      </c>
    </row>
    <row r="166" spans="2:7" x14ac:dyDescent="0.2">
      <c r="B166" s="153"/>
      <c r="C166" s="311" t="s">
        <v>647</v>
      </c>
      <c r="D166" s="207" t="s">
        <v>644</v>
      </c>
      <c r="E166" s="199">
        <v>100</v>
      </c>
      <c r="F166" s="269">
        <v>0</v>
      </c>
      <c r="G166" s="270">
        <f t="shared" si="9"/>
        <v>0</v>
      </c>
    </row>
    <row r="167" spans="2:7" x14ac:dyDescent="0.2">
      <c r="B167" s="153"/>
      <c r="C167" s="311" t="s">
        <v>648</v>
      </c>
      <c r="D167" s="207" t="s">
        <v>644</v>
      </c>
      <c r="E167" s="199">
        <v>50</v>
      </c>
      <c r="F167" s="269">
        <v>0</v>
      </c>
      <c r="G167" s="270">
        <f t="shared" si="9"/>
        <v>0</v>
      </c>
    </row>
    <row r="168" spans="2:7" x14ac:dyDescent="0.2">
      <c r="B168" s="153"/>
      <c r="C168" s="311" t="s">
        <v>650</v>
      </c>
      <c r="D168" s="207" t="s">
        <v>123</v>
      </c>
      <c r="E168" s="199">
        <v>2</v>
      </c>
      <c r="F168" s="269">
        <v>0</v>
      </c>
      <c r="G168" s="270">
        <f t="shared" si="9"/>
        <v>0</v>
      </c>
    </row>
    <row r="169" spans="2:7" x14ac:dyDescent="0.2">
      <c r="B169" s="153"/>
      <c r="C169" s="311" t="s">
        <v>651</v>
      </c>
      <c r="D169" s="207" t="s">
        <v>644</v>
      </c>
      <c r="E169" s="199">
        <v>70</v>
      </c>
      <c r="F169" s="269">
        <v>0</v>
      </c>
      <c r="G169" s="270">
        <f t="shared" si="9"/>
        <v>0</v>
      </c>
    </row>
    <row r="170" spans="2:7" x14ac:dyDescent="0.2">
      <c r="B170" s="153"/>
      <c r="C170" s="311" t="s">
        <v>652</v>
      </c>
      <c r="D170" s="207" t="s">
        <v>644</v>
      </c>
      <c r="E170" s="199">
        <v>50</v>
      </c>
      <c r="F170" s="269">
        <v>0</v>
      </c>
      <c r="G170" s="270">
        <f t="shared" si="9"/>
        <v>0</v>
      </c>
    </row>
    <row r="171" spans="2:7" x14ac:dyDescent="0.2">
      <c r="B171" s="153"/>
      <c r="C171" s="311" t="s">
        <v>632</v>
      </c>
      <c r="D171" s="207" t="s">
        <v>98</v>
      </c>
      <c r="E171" s="199">
        <v>1</v>
      </c>
      <c r="F171" s="269">
        <v>0</v>
      </c>
      <c r="G171" s="270">
        <f t="shared" si="9"/>
        <v>0</v>
      </c>
    </row>
    <row r="172" spans="2:7" x14ac:dyDescent="0.2">
      <c r="B172" s="153">
        <v>6</v>
      </c>
      <c r="C172" s="357" t="s">
        <v>785</v>
      </c>
      <c r="D172" s="207"/>
      <c r="E172" s="199"/>
      <c r="F172" s="269"/>
      <c r="G172" s="270"/>
    </row>
    <row r="173" spans="2:7" ht="24" x14ac:dyDescent="0.2">
      <c r="B173" s="153"/>
      <c r="C173" s="311" t="s">
        <v>666</v>
      </c>
      <c r="D173" s="207" t="s">
        <v>644</v>
      </c>
      <c r="E173" s="199">
        <v>40</v>
      </c>
      <c r="F173" s="269">
        <v>0</v>
      </c>
      <c r="G173" s="270">
        <f t="shared" ref="G173:G183" si="10">E173*F173</f>
        <v>0</v>
      </c>
    </row>
    <row r="174" spans="2:7" x14ac:dyDescent="0.2">
      <c r="B174" s="153"/>
      <c r="C174" s="311" t="s">
        <v>667</v>
      </c>
      <c r="D174" s="207" t="s">
        <v>644</v>
      </c>
      <c r="E174" s="199">
        <v>100</v>
      </c>
      <c r="F174" s="269">
        <v>0</v>
      </c>
      <c r="G174" s="270">
        <f t="shared" si="10"/>
        <v>0</v>
      </c>
    </row>
    <row r="175" spans="2:7" x14ac:dyDescent="0.2">
      <c r="B175" s="153"/>
      <c r="C175" s="311" t="s">
        <v>668</v>
      </c>
      <c r="D175" s="207" t="s">
        <v>644</v>
      </c>
      <c r="E175" s="199">
        <v>40</v>
      </c>
      <c r="F175" s="269">
        <v>0</v>
      </c>
      <c r="G175" s="270">
        <f t="shared" si="10"/>
        <v>0</v>
      </c>
    </row>
    <row r="176" spans="2:7" x14ac:dyDescent="0.2">
      <c r="B176" s="153"/>
      <c r="C176" s="311" t="s">
        <v>669</v>
      </c>
      <c r="D176" s="207" t="s">
        <v>123</v>
      </c>
      <c r="E176" s="199">
        <v>1</v>
      </c>
      <c r="F176" s="269">
        <v>0</v>
      </c>
      <c r="G176" s="270">
        <f t="shared" si="10"/>
        <v>0</v>
      </c>
    </row>
    <row r="177" spans="2:7" x14ac:dyDescent="0.2">
      <c r="B177" s="153"/>
      <c r="C177" s="311" t="s">
        <v>786</v>
      </c>
      <c r="D177" s="207" t="s">
        <v>123</v>
      </c>
      <c r="E177" s="199">
        <v>1</v>
      </c>
      <c r="F177" s="269">
        <v>0</v>
      </c>
      <c r="G177" s="270">
        <f t="shared" si="10"/>
        <v>0</v>
      </c>
    </row>
    <row r="178" spans="2:7" x14ac:dyDescent="0.2">
      <c r="B178" s="153"/>
      <c r="C178" s="311" t="s">
        <v>672</v>
      </c>
      <c r="D178" s="207" t="s">
        <v>123</v>
      </c>
      <c r="E178" s="199">
        <v>1</v>
      </c>
      <c r="F178" s="269">
        <v>0</v>
      </c>
      <c r="G178" s="270">
        <f t="shared" si="10"/>
        <v>0</v>
      </c>
    </row>
    <row r="179" spans="2:7" ht="24" x14ac:dyDescent="0.2">
      <c r="B179" s="153"/>
      <c r="C179" s="311" t="s">
        <v>673</v>
      </c>
      <c r="D179" s="207" t="s">
        <v>123</v>
      </c>
      <c r="E179" s="199">
        <v>4</v>
      </c>
      <c r="F179" s="269">
        <v>0</v>
      </c>
      <c r="G179" s="270">
        <f t="shared" si="10"/>
        <v>0</v>
      </c>
    </row>
    <row r="180" spans="2:7" x14ac:dyDescent="0.2">
      <c r="B180" s="153"/>
      <c r="C180" s="311" t="s">
        <v>787</v>
      </c>
      <c r="D180" s="207" t="s">
        <v>123</v>
      </c>
      <c r="E180" s="199">
        <v>1</v>
      </c>
      <c r="F180" s="269">
        <v>0</v>
      </c>
      <c r="G180" s="270">
        <f t="shared" si="10"/>
        <v>0</v>
      </c>
    </row>
    <row r="181" spans="2:7" x14ac:dyDescent="0.2">
      <c r="B181" s="153"/>
      <c r="C181" s="311" t="s">
        <v>675</v>
      </c>
      <c r="D181" s="207" t="s">
        <v>123</v>
      </c>
      <c r="E181" s="199">
        <v>3</v>
      </c>
      <c r="F181" s="269">
        <v>0</v>
      </c>
      <c r="G181" s="270">
        <f t="shared" si="10"/>
        <v>0</v>
      </c>
    </row>
    <row r="182" spans="2:7" x14ac:dyDescent="0.2">
      <c r="B182" s="153"/>
      <c r="C182" s="311" t="s">
        <v>676</v>
      </c>
      <c r="D182" s="207" t="s">
        <v>123</v>
      </c>
      <c r="E182" s="199">
        <v>2</v>
      </c>
      <c r="F182" s="269">
        <v>0</v>
      </c>
      <c r="G182" s="270">
        <f t="shared" si="10"/>
        <v>0</v>
      </c>
    </row>
    <row r="183" spans="2:7" ht="24" x14ac:dyDescent="0.2">
      <c r="B183" s="153"/>
      <c r="C183" s="311" t="s">
        <v>677</v>
      </c>
      <c r="D183" s="207" t="s">
        <v>123</v>
      </c>
      <c r="E183" s="199">
        <v>1</v>
      </c>
      <c r="F183" s="269">
        <v>0</v>
      </c>
      <c r="G183" s="270">
        <f t="shared" si="10"/>
        <v>0</v>
      </c>
    </row>
    <row r="184" spans="2:7" x14ac:dyDescent="0.2">
      <c r="B184" s="153">
        <v>7</v>
      </c>
      <c r="C184" s="357" t="s">
        <v>788</v>
      </c>
      <c r="D184" s="207"/>
      <c r="E184" s="199"/>
      <c r="F184" s="269"/>
      <c r="G184" s="270"/>
    </row>
    <row r="185" spans="2:7" x14ac:dyDescent="0.2">
      <c r="B185" s="129"/>
      <c r="C185" s="197" t="s">
        <v>655</v>
      </c>
      <c r="D185" s="207" t="s">
        <v>644</v>
      </c>
      <c r="E185" s="199">
        <v>60</v>
      </c>
      <c r="F185" s="269">
        <v>0</v>
      </c>
      <c r="G185" s="270">
        <f t="shared" ref="G185:G191" si="11">E185*F185</f>
        <v>0</v>
      </c>
    </row>
    <row r="186" spans="2:7" ht="36" x14ac:dyDescent="0.2">
      <c r="B186" s="129"/>
      <c r="C186" s="197" t="s">
        <v>656</v>
      </c>
      <c r="D186" s="207" t="s">
        <v>98</v>
      </c>
      <c r="E186" s="199">
        <v>2</v>
      </c>
      <c r="F186" s="269">
        <v>0</v>
      </c>
      <c r="G186" s="270">
        <f t="shared" si="11"/>
        <v>0</v>
      </c>
    </row>
    <row r="187" spans="2:7" ht="24" x14ac:dyDescent="0.2">
      <c r="B187" s="129"/>
      <c r="C187" s="197" t="s">
        <v>657</v>
      </c>
      <c r="D187" s="207" t="s">
        <v>98</v>
      </c>
      <c r="E187" s="199">
        <v>1</v>
      </c>
      <c r="F187" s="269">
        <v>0</v>
      </c>
      <c r="G187" s="270">
        <f t="shared" si="11"/>
        <v>0</v>
      </c>
    </row>
    <row r="188" spans="2:7" x14ac:dyDescent="0.2">
      <c r="B188" s="129"/>
      <c r="C188" s="197" t="s">
        <v>658</v>
      </c>
      <c r="D188" s="207" t="s">
        <v>644</v>
      </c>
      <c r="E188" s="199">
        <v>160</v>
      </c>
      <c r="F188" s="269">
        <v>0</v>
      </c>
      <c r="G188" s="270">
        <f t="shared" si="11"/>
        <v>0</v>
      </c>
    </row>
    <row r="189" spans="2:7" x14ac:dyDescent="0.2">
      <c r="B189" s="129"/>
      <c r="C189" s="197" t="s">
        <v>660</v>
      </c>
      <c r="D189" s="207" t="s">
        <v>123</v>
      </c>
      <c r="E189" s="199">
        <v>15</v>
      </c>
      <c r="F189" s="269">
        <v>0</v>
      </c>
      <c r="G189" s="270">
        <f t="shared" si="11"/>
        <v>0</v>
      </c>
    </row>
    <row r="190" spans="2:7" x14ac:dyDescent="0.2">
      <c r="B190" s="129"/>
      <c r="C190" s="197" t="s">
        <v>661</v>
      </c>
      <c r="D190" s="207" t="s">
        <v>98</v>
      </c>
      <c r="E190" s="199">
        <v>15</v>
      </c>
      <c r="F190" s="269">
        <v>0</v>
      </c>
      <c r="G190" s="270">
        <f t="shared" si="11"/>
        <v>0</v>
      </c>
    </row>
    <row r="191" spans="2:7" x14ac:dyDescent="0.2">
      <c r="B191" s="129"/>
      <c r="C191" s="197" t="s">
        <v>663</v>
      </c>
      <c r="D191" s="207" t="s">
        <v>98</v>
      </c>
      <c r="E191" s="199">
        <v>1</v>
      </c>
      <c r="F191" s="269">
        <v>0</v>
      </c>
      <c r="G191" s="270">
        <f t="shared" si="11"/>
        <v>0</v>
      </c>
    </row>
    <row r="192" spans="2:7" x14ac:dyDescent="0.2">
      <c r="B192" s="153">
        <v>8</v>
      </c>
      <c r="C192" s="357" t="s">
        <v>679</v>
      </c>
      <c r="D192" s="207"/>
      <c r="E192" s="199"/>
      <c r="F192" s="269"/>
      <c r="G192" s="270"/>
    </row>
    <row r="193" spans="2:7" x14ac:dyDescent="0.2">
      <c r="B193" s="153"/>
      <c r="C193" s="311" t="s">
        <v>680</v>
      </c>
      <c r="D193" s="207" t="s">
        <v>98</v>
      </c>
      <c r="E193" s="199">
        <v>16</v>
      </c>
      <c r="F193" s="269">
        <v>0</v>
      </c>
      <c r="G193" s="270">
        <f>E193*F193</f>
        <v>0</v>
      </c>
    </row>
    <row r="194" spans="2:7" ht="48" x14ac:dyDescent="0.2">
      <c r="B194" s="153"/>
      <c r="C194" s="311" t="s">
        <v>789</v>
      </c>
      <c r="D194" s="207" t="s">
        <v>98</v>
      </c>
      <c r="E194" s="199">
        <v>1</v>
      </c>
      <c r="F194" s="269">
        <v>0</v>
      </c>
      <c r="G194" s="270">
        <f>E194*F194</f>
        <v>0</v>
      </c>
    </row>
    <row r="195" spans="2:7" ht="36" x14ac:dyDescent="0.2">
      <c r="B195" s="129"/>
      <c r="C195" s="197" t="s">
        <v>790</v>
      </c>
      <c r="D195" s="207" t="s">
        <v>98</v>
      </c>
      <c r="E195" s="199">
        <v>1</v>
      </c>
      <c r="F195" s="269">
        <v>0</v>
      </c>
      <c r="G195" s="270">
        <f>E195*F195</f>
        <v>0</v>
      </c>
    </row>
    <row r="196" spans="2:7" ht="36" x14ac:dyDescent="0.2">
      <c r="B196" s="153"/>
      <c r="C196" s="311" t="s">
        <v>791</v>
      </c>
      <c r="D196" s="207" t="s">
        <v>98</v>
      </c>
      <c r="E196" s="199">
        <v>1</v>
      </c>
      <c r="F196" s="269">
        <v>0</v>
      </c>
      <c r="G196" s="270">
        <f>E196*F196</f>
        <v>0</v>
      </c>
    </row>
    <row r="197" spans="2:7" ht="36" x14ac:dyDescent="0.2">
      <c r="B197" s="153"/>
      <c r="C197" s="311" t="s">
        <v>792</v>
      </c>
      <c r="D197" s="207" t="s">
        <v>98</v>
      </c>
      <c r="E197" s="199">
        <v>1</v>
      </c>
      <c r="F197" s="269">
        <v>0</v>
      </c>
      <c r="G197" s="270">
        <f>E197*F197</f>
        <v>0</v>
      </c>
    </row>
    <row r="198" spans="2:7" x14ac:dyDescent="0.2">
      <c r="B198" s="153">
        <v>9</v>
      </c>
      <c r="C198" s="357" t="s">
        <v>793</v>
      </c>
      <c r="D198" s="207"/>
      <c r="E198" s="199"/>
      <c r="F198" s="269"/>
      <c r="G198" s="270"/>
    </row>
    <row r="199" spans="2:7" ht="108" customHeight="1" x14ac:dyDescent="0.2">
      <c r="B199" s="101"/>
      <c r="C199" s="100" t="s">
        <v>690</v>
      </c>
      <c r="D199" s="207" t="s">
        <v>98</v>
      </c>
      <c r="E199" s="199">
        <v>1</v>
      </c>
      <c r="F199" s="269">
        <v>0</v>
      </c>
      <c r="G199" s="270">
        <f t="shared" ref="G199:G208" si="12">E199*F199</f>
        <v>0</v>
      </c>
    </row>
    <row r="200" spans="2:7" x14ac:dyDescent="0.2">
      <c r="B200" s="153"/>
      <c r="C200" s="99" t="s">
        <v>691</v>
      </c>
      <c r="D200" s="207" t="s">
        <v>644</v>
      </c>
      <c r="E200" s="199">
        <v>180</v>
      </c>
      <c r="F200" s="269">
        <v>0</v>
      </c>
      <c r="G200" s="270">
        <f t="shared" si="12"/>
        <v>0</v>
      </c>
    </row>
    <row r="201" spans="2:7" ht="84" x14ac:dyDescent="0.2">
      <c r="B201" s="153"/>
      <c r="C201" s="98" t="s">
        <v>693</v>
      </c>
      <c r="D201" s="207" t="s">
        <v>644</v>
      </c>
      <c r="E201" s="199">
        <v>150</v>
      </c>
      <c r="F201" s="269">
        <v>0</v>
      </c>
      <c r="G201" s="270">
        <f t="shared" si="12"/>
        <v>0</v>
      </c>
    </row>
    <row r="202" spans="2:7" ht="24" x14ac:dyDescent="0.2">
      <c r="B202" s="153"/>
      <c r="C202" s="97" t="s">
        <v>694</v>
      </c>
      <c r="D202" s="207" t="s">
        <v>98</v>
      </c>
      <c r="E202" s="199">
        <v>1</v>
      </c>
      <c r="F202" s="269">
        <v>0</v>
      </c>
      <c r="G202" s="270">
        <f t="shared" si="12"/>
        <v>0</v>
      </c>
    </row>
    <row r="203" spans="2:7" ht="24" x14ac:dyDescent="0.2">
      <c r="B203" s="153"/>
      <c r="C203" s="97" t="s">
        <v>692</v>
      </c>
      <c r="D203" s="207" t="s">
        <v>98</v>
      </c>
      <c r="E203" s="199">
        <v>1</v>
      </c>
      <c r="F203" s="269">
        <v>0</v>
      </c>
      <c r="G203" s="270">
        <f t="shared" si="12"/>
        <v>0</v>
      </c>
    </row>
    <row r="204" spans="2:7" ht="24" x14ac:dyDescent="0.2">
      <c r="B204" s="153"/>
      <c r="C204" s="97" t="s">
        <v>695</v>
      </c>
      <c r="D204" s="207" t="s">
        <v>98</v>
      </c>
      <c r="E204" s="199">
        <v>1</v>
      </c>
      <c r="F204" s="269">
        <v>0</v>
      </c>
      <c r="G204" s="270">
        <f t="shared" si="12"/>
        <v>0</v>
      </c>
    </row>
    <row r="205" spans="2:7" x14ac:dyDescent="0.2">
      <c r="B205" s="153"/>
      <c r="C205" s="97" t="s">
        <v>696</v>
      </c>
      <c r="D205" s="207" t="s">
        <v>644</v>
      </c>
      <c r="E205" s="199">
        <v>60</v>
      </c>
      <c r="F205" s="269">
        <v>0</v>
      </c>
      <c r="G205" s="270">
        <f t="shared" si="12"/>
        <v>0</v>
      </c>
    </row>
    <row r="206" spans="2:7" x14ac:dyDescent="0.2">
      <c r="B206" s="153"/>
      <c r="C206" s="97" t="s">
        <v>697</v>
      </c>
      <c r="D206" s="207" t="s">
        <v>98</v>
      </c>
      <c r="E206" s="199">
        <v>1</v>
      </c>
      <c r="F206" s="269">
        <v>0</v>
      </c>
      <c r="G206" s="270">
        <f t="shared" si="12"/>
        <v>0</v>
      </c>
    </row>
    <row r="207" spans="2:7" x14ac:dyDescent="0.2">
      <c r="B207" s="153"/>
      <c r="C207" s="97" t="s">
        <v>698</v>
      </c>
      <c r="D207" s="207" t="s">
        <v>98</v>
      </c>
      <c r="E207" s="199">
        <v>1</v>
      </c>
      <c r="F207" s="269">
        <v>0</v>
      </c>
      <c r="G207" s="270">
        <f t="shared" si="12"/>
        <v>0</v>
      </c>
    </row>
    <row r="208" spans="2:7" x14ac:dyDescent="0.2">
      <c r="B208" s="153"/>
      <c r="C208" s="97" t="s">
        <v>699</v>
      </c>
      <c r="D208" s="207" t="s">
        <v>98</v>
      </c>
      <c r="E208" s="199">
        <v>1</v>
      </c>
      <c r="F208" s="269">
        <v>0</v>
      </c>
      <c r="G208" s="270">
        <f t="shared" si="12"/>
        <v>0</v>
      </c>
    </row>
    <row r="209" spans="2:7" x14ac:dyDescent="0.2">
      <c r="B209" s="293" t="s">
        <v>18</v>
      </c>
      <c r="C209" s="294" t="s">
        <v>794</v>
      </c>
      <c r="D209" s="218"/>
      <c r="E209" s="203"/>
      <c r="F209" s="204"/>
      <c r="G209" s="290">
        <f>SUM(G117:G208)</f>
        <v>0</v>
      </c>
    </row>
  </sheetData>
  <mergeCells count="12">
    <mergeCell ref="B65:G65"/>
    <mergeCell ref="C6:G6"/>
    <mergeCell ref="B43:G43"/>
    <mergeCell ref="B113:G113"/>
    <mergeCell ref="B114:G114"/>
    <mergeCell ref="B115:G115"/>
    <mergeCell ref="B66:G66"/>
    <mergeCell ref="B67:G67"/>
    <mergeCell ref="B109:G109"/>
    <mergeCell ref="B110:G110"/>
    <mergeCell ref="B111:G111"/>
    <mergeCell ref="B112:G112"/>
  </mergeCells>
  <pageMargins left="0.7" right="0.7" top="0.75" bottom="0.75" header="0.3" footer="0.3"/>
  <pageSetup paperSize="9" scale="85" orientation="portrait" horizontalDpi="4294967295" verticalDpi="4294967295" r:id="rId1"/>
  <headerFooter alignWithMargins="0">
    <oddFooter>&amp;C&amp;8&amp;P/&amp;N</oddFooter>
  </headerFooter>
  <rowBreaks count="2" manualBreakCount="2">
    <brk id="18" max="16383" man="1"/>
    <brk id="59" max="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6108-BEF8-4667-A885-C2ECAA81E6DC}">
  <sheetPr codeName="Sheet75">
    <tabColor rgb="FF0070C0"/>
  </sheetPr>
  <dimension ref="B1:R259"/>
  <sheetViews>
    <sheetView topLeftCell="A76" zoomScaleNormal="100" zoomScaleSheetLayoutView="85" workbookViewId="0">
      <selection activeCell="C88" sqref="C88"/>
    </sheetView>
  </sheetViews>
  <sheetFormatPr defaultColWidth="10.42578125" defaultRowHeight="12.75" x14ac:dyDescent="0.2"/>
  <cols>
    <col min="1" max="1" width="5" style="741" customWidth="1"/>
    <col min="2" max="2" width="7.42578125" style="739" customWidth="1"/>
    <col min="3" max="3" width="35.7109375" style="740" customWidth="1"/>
    <col min="4" max="4" width="9.85546875" style="741" customWidth="1"/>
    <col min="5" max="5" width="12.85546875" style="747" customWidth="1"/>
    <col min="6" max="6" width="13.28515625" style="748" customWidth="1"/>
    <col min="7" max="7" width="16.5703125" style="74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1114</v>
      </c>
      <c r="D4" s="757"/>
      <c r="E4" s="758"/>
      <c r="F4" s="759"/>
      <c r="G4" s="760"/>
    </row>
    <row r="5" spans="2:8" x14ac:dyDescent="0.2">
      <c r="B5" s="761"/>
      <c r="C5" s="762"/>
      <c r="D5" s="763"/>
      <c r="E5" s="764"/>
      <c r="F5" s="765"/>
      <c r="G5" s="766"/>
    </row>
    <row r="6" spans="2:8" x14ac:dyDescent="0.2">
      <c r="B6" s="756" t="s">
        <v>80</v>
      </c>
      <c r="C6" s="3231" t="s">
        <v>1694</v>
      </c>
      <c r="D6" s="3232"/>
      <c r="E6" s="3232"/>
      <c r="F6" s="3232"/>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G50</f>
        <v>0</v>
      </c>
    </row>
    <row r="16" spans="2:8" x14ac:dyDescent="0.2">
      <c r="B16" s="792" t="s">
        <v>12</v>
      </c>
      <c r="C16" s="793" t="s">
        <v>86</v>
      </c>
      <c r="D16" s="794"/>
      <c r="E16" s="795"/>
      <c r="F16" s="796"/>
      <c r="G16" s="797">
        <f>G97</f>
        <v>0</v>
      </c>
    </row>
    <row r="17" spans="2:18" x14ac:dyDescent="0.2">
      <c r="B17" s="792" t="s">
        <v>17</v>
      </c>
      <c r="C17" s="793" t="s">
        <v>87</v>
      </c>
      <c r="D17" s="794"/>
      <c r="E17" s="795"/>
      <c r="F17" s="796"/>
      <c r="G17" s="797">
        <f>G159</f>
        <v>0</v>
      </c>
    </row>
    <row r="18" spans="2:18" x14ac:dyDescent="0.2">
      <c r="B18" s="2830"/>
      <c r="C18" s="2831" t="s">
        <v>88</v>
      </c>
      <c r="D18" s="2832"/>
      <c r="E18" s="2833"/>
      <c r="F18" s="2834"/>
      <c r="G18" s="2844">
        <f>SUM(G15:G17)</f>
        <v>0</v>
      </c>
    </row>
    <row r="19" spans="2:18" x14ac:dyDescent="0.2">
      <c r="G19" s="804"/>
    </row>
    <row r="20" spans="2:18" ht="24" x14ac:dyDescent="0.2">
      <c r="B20" s="2841" t="s">
        <v>83</v>
      </c>
      <c r="C20" s="2842" t="s">
        <v>89</v>
      </c>
      <c r="D20" s="2843" t="s">
        <v>90</v>
      </c>
      <c r="E20" s="2838" t="s">
        <v>91</v>
      </c>
      <c r="F20" s="2839" t="s">
        <v>92</v>
      </c>
      <c r="G20" s="2840" t="s">
        <v>93</v>
      </c>
    </row>
    <row r="21" spans="2:18" x14ac:dyDescent="0.2">
      <c r="B21" s="811"/>
      <c r="C21" s="812"/>
      <c r="D21" s="813"/>
      <c r="E21" s="814"/>
      <c r="F21" s="815"/>
      <c r="G21" s="816"/>
    </row>
    <row r="22" spans="2:18" ht="20.25" x14ac:dyDescent="0.2">
      <c r="B22" s="817" t="s">
        <v>10</v>
      </c>
      <c r="C22" s="818" t="s">
        <v>85</v>
      </c>
      <c r="D22" s="819"/>
      <c r="E22" s="820"/>
      <c r="F22" s="821"/>
      <c r="G22" s="822"/>
    </row>
    <row r="23" spans="2:18" ht="20.25" x14ac:dyDescent="0.2">
      <c r="B23" s="823"/>
      <c r="C23" s="824"/>
      <c r="D23" s="825"/>
      <c r="E23" s="826"/>
      <c r="F23" s="827"/>
      <c r="G23" s="828"/>
    </row>
    <row r="24" spans="2:18" s="130" customFormat="1" ht="38.25" x14ac:dyDescent="0.2">
      <c r="B24" s="829">
        <v>1.1000000000000001</v>
      </c>
      <c r="C24" s="830" t="s">
        <v>94</v>
      </c>
      <c r="D24" s="831" t="s">
        <v>95</v>
      </c>
      <c r="E24" s="832">
        <v>720</v>
      </c>
      <c r="F24" s="833">
        <v>0</v>
      </c>
      <c r="G24" s="834">
        <f>E24*F24</f>
        <v>0</v>
      </c>
    </row>
    <row r="25" spans="2:18" s="130" customFormat="1" x14ac:dyDescent="0.2">
      <c r="B25" s="829"/>
      <c r="C25" s="830"/>
      <c r="D25" s="831"/>
      <c r="E25" s="832"/>
      <c r="F25" s="833"/>
      <c r="G25" s="834"/>
    </row>
    <row r="26" spans="2:18" ht="206.25" customHeight="1" x14ac:dyDescent="0.2">
      <c r="B26" s="845">
        <v>1.2</v>
      </c>
      <c r="C26" s="836" t="s">
        <v>99</v>
      </c>
      <c r="D26" s="837" t="s">
        <v>123</v>
      </c>
      <c r="E26" s="838">
        <v>1</v>
      </c>
      <c r="F26" s="833">
        <v>0</v>
      </c>
      <c r="G26" s="834">
        <f>E26*F26</f>
        <v>0</v>
      </c>
    </row>
    <row r="27" spans="2:18" x14ac:dyDescent="0.2">
      <c r="B27" s="845"/>
      <c r="C27" s="841"/>
      <c r="D27" s="842"/>
      <c r="E27" s="843"/>
      <c r="F27" s="844"/>
      <c r="G27" s="839"/>
    </row>
    <row r="28" spans="2:18" ht="25.5" x14ac:dyDescent="0.2">
      <c r="B28" s="845">
        <v>1.3</v>
      </c>
      <c r="C28" s="841" t="s">
        <v>1135</v>
      </c>
      <c r="D28" s="846" t="s">
        <v>95</v>
      </c>
      <c r="E28" s="847">
        <v>720</v>
      </c>
      <c r="F28" s="833">
        <v>0</v>
      </c>
      <c r="G28" s="834">
        <f>E28*F28</f>
        <v>0</v>
      </c>
    </row>
    <row r="29" spans="2:18" x14ac:dyDescent="0.2">
      <c r="B29" s="855"/>
      <c r="C29" s="848"/>
      <c r="D29" s="846"/>
      <c r="E29" s="843"/>
      <c r="F29" s="844"/>
      <c r="G29" s="839"/>
    </row>
    <row r="30" spans="2:18" x14ac:dyDescent="0.2">
      <c r="B30" s="856" t="s">
        <v>641</v>
      </c>
      <c r="C30" s="841" t="s">
        <v>96</v>
      </c>
      <c r="D30" s="846" t="s">
        <v>123</v>
      </c>
      <c r="E30" s="843">
        <v>30</v>
      </c>
      <c r="F30" s="833">
        <v>0</v>
      </c>
      <c r="G30" s="834">
        <f>E30*F30</f>
        <v>0</v>
      </c>
      <c r="M30" s="849"/>
      <c r="N30" s="850"/>
      <c r="O30" s="851"/>
      <c r="P30" s="852"/>
      <c r="Q30" s="853"/>
      <c r="R30" s="854"/>
    </row>
    <row r="31" spans="2:18" x14ac:dyDescent="0.2">
      <c r="B31" s="855"/>
      <c r="C31" s="841"/>
      <c r="D31" s="842"/>
      <c r="E31" s="843"/>
      <c r="F31" s="844"/>
      <c r="G31" s="839"/>
    </row>
    <row r="32" spans="2:18" ht="80.25" customHeight="1" x14ac:dyDescent="0.2">
      <c r="B32" s="856" t="s">
        <v>653</v>
      </c>
      <c r="C32" s="841" t="s">
        <v>97</v>
      </c>
      <c r="D32" s="846" t="s">
        <v>123</v>
      </c>
      <c r="E32" s="843">
        <v>1</v>
      </c>
      <c r="F32" s="833">
        <v>0</v>
      </c>
      <c r="G32" s="834">
        <f>E32*F32</f>
        <v>0</v>
      </c>
    </row>
    <row r="33" spans="2:18" x14ac:dyDescent="0.2">
      <c r="B33" s="845"/>
      <c r="C33" s="848"/>
      <c r="D33" s="857"/>
      <c r="E33" s="843"/>
      <c r="F33" s="844"/>
      <c r="G33" s="839"/>
      <c r="M33" s="858"/>
      <c r="N33" s="859"/>
      <c r="O33" s="860"/>
      <c r="P33" s="742"/>
      <c r="Q33" s="853"/>
      <c r="R33" s="854"/>
    </row>
    <row r="34" spans="2:18" ht="25.5" x14ac:dyDescent="0.2">
      <c r="B34" s="856" t="s">
        <v>664</v>
      </c>
      <c r="C34" s="841" t="s">
        <v>1136</v>
      </c>
      <c r="D34" s="842" t="s">
        <v>123</v>
      </c>
      <c r="E34" s="843">
        <v>1</v>
      </c>
      <c r="F34" s="833">
        <v>0</v>
      </c>
      <c r="G34" s="834">
        <f>E34*F34</f>
        <v>0</v>
      </c>
    </row>
    <row r="35" spans="2:18" x14ac:dyDescent="0.2">
      <c r="B35" s="856"/>
      <c r="C35" s="841"/>
      <c r="D35" s="842"/>
      <c r="E35" s="843"/>
      <c r="F35" s="844"/>
      <c r="G35" s="839"/>
    </row>
    <row r="36" spans="2:18" ht="38.25" x14ac:dyDescent="0.2">
      <c r="B36" s="861" t="s">
        <v>678</v>
      </c>
      <c r="C36" s="862" t="s">
        <v>1137</v>
      </c>
      <c r="D36" s="863" t="s">
        <v>123</v>
      </c>
      <c r="E36" s="838">
        <v>1</v>
      </c>
      <c r="F36" s="833">
        <v>0</v>
      </c>
      <c r="G36" s="834">
        <f>E36*F36</f>
        <v>0</v>
      </c>
    </row>
    <row r="37" spans="2:18" x14ac:dyDescent="0.2">
      <c r="B37" s="840"/>
      <c r="C37" s="841"/>
      <c r="D37" s="842"/>
      <c r="E37" s="843"/>
      <c r="F37" s="844"/>
      <c r="G37" s="839"/>
    </row>
    <row r="38" spans="2:18" ht="40.5" customHeight="1" x14ac:dyDescent="0.2">
      <c r="B38" s="856" t="s">
        <v>688</v>
      </c>
      <c r="C38" s="841" t="s">
        <v>100</v>
      </c>
      <c r="D38" s="842" t="s">
        <v>123</v>
      </c>
      <c r="E38" s="843">
        <v>1</v>
      </c>
      <c r="F38" s="833">
        <v>0</v>
      </c>
      <c r="G38" s="834">
        <f>E38*F38</f>
        <v>0</v>
      </c>
    </row>
    <row r="39" spans="2:18" ht="12" customHeight="1" x14ac:dyDescent="0.2">
      <c r="B39" s="856"/>
      <c r="C39" s="841"/>
      <c r="D39" s="842"/>
      <c r="E39" s="843"/>
      <c r="F39" s="844"/>
      <c r="G39" s="839"/>
    </row>
    <row r="40" spans="2:18" ht="36" x14ac:dyDescent="0.2">
      <c r="B40" s="861" t="s">
        <v>1199</v>
      </c>
      <c r="C40" s="3165" t="s">
        <v>2590</v>
      </c>
      <c r="D40" s="865" t="s">
        <v>95</v>
      </c>
      <c r="E40" s="832">
        <v>726</v>
      </c>
      <c r="F40" s="833">
        <v>0</v>
      </c>
      <c r="G40" s="834">
        <f>E40*F40</f>
        <v>0</v>
      </c>
    </row>
    <row r="41" spans="2:18" ht="11.25" customHeight="1" x14ac:dyDescent="0.2">
      <c r="B41" s="861"/>
      <c r="C41" s="864"/>
      <c r="D41" s="865"/>
      <c r="E41" s="832"/>
      <c r="F41" s="844"/>
      <c r="G41" s="839"/>
    </row>
    <row r="42" spans="2:18" ht="40.5" customHeight="1" x14ac:dyDescent="0.2">
      <c r="B42" s="861" t="s">
        <v>1200</v>
      </c>
      <c r="C42" s="3165" t="s">
        <v>2591</v>
      </c>
      <c r="D42" s="865" t="s">
        <v>98</v>
      </c>
      <c r="E42" s="832">
        <v>1</v>
      </c>
      <c r="F42" s="833">
        <v>0</v>
      </c>
      <c r="G42" s="834">
        <f>E42*F42</f>
        <v>0</v>
      </c>
    </row>
    <row r="43" spans="2:18" ht="9" customHeight="1" x14ac:dyDescent="0.2">
      <c r="B43" s="861"/>
      <c r="C43" s="864"/>
      <c r="D43" s="865"/>
      <c r="E43" s="832"/>
      <c r="F43" s="844"/>
      <c r="G43" s="839"/>
    </row>
    <row r="44" spans="2:18" ht="25.5" x14ac:dyDescent="0.2">
      <c r="B44" s="861" t="s">
        <v>1201</v>
      </c>
      <c r="C44" s="864" t="s">
        <v>105</v>
      </c>
      <c r="D44" s="865" t="s">
        <v>98</v>
      </c>
      <c r="E44" s="832">
        <v>1</v>
      </c>
      <c r="F44" s="833">
        <v>0</v>
      </c>
      <c r="G44" s="834">
        <f>E44*F44</f>
        <v>0</v>
      </c>
    </row>
    <row r="45" spans="2:18" ht="13.5" customHeight="1" x14ac:dyDescent="0.2">
      <c r="B45" s="861"/>
      <c r="C45" s="864"/>
      <c r="D45" s="865"/>
      <c r="E45" s="832"/>
      <c r="F45" s="844"/>
      <c r="G45" s="839"/>
    </row>
    <row r="46" spans="2:18" ht="51" x14ac:dyDescent="0.2">
      <c r="B46" s="861" t="s">
        <v>1202</v>
      </c>
      <c r="C46" s="864" t="s">
        <v>102</v>
      </c>
      <c r="D46" s="210" t="s">
        <v>98</v>
      </c>
      <c r="E46" s="814">
        <v>1</v>
      </c>
      <c r="F46" s="833">
        <v>0</v>
      </c>
      <c r="G46" s="834">
        <f>E46*F46</f>
        <v>0</v>
      </c>
    </row>
    <row r="47" spans="2:18" ht="15" customHeight="1" x14ac:dyDescent="0.2">
      <c r="B47" s="861"/>
      <c r="C47" s="868"/>
      <c r="D47" s="210"/>
      <c r="E47" s="814"/>
      <c r="F47" s="866"/>
      <c r="G47" s="867"/>
    </row>
    <row r="48" spans="2:18" ht="60" x14ac:dyDescent="0.2">
      <c r="B48" s="861" t="s">
        <v>1203</v>
      </c>
      <c r="C48" s="3165" t="s">
        <v>2593</v>
      </c>
      <c r="D48" s="210" t="s">
        <v>149</v>
      </c>
      <c r="E48" s="814">
        <v>1</v>
      </c>
      <c r="F48" s="833">
        <v>0</v>
      </c>
      <c r="G48" s="834">
        <f>E48*F48</f>
        <v>0</v>
      </c>
    </row>
    <row r="49" spans="2:9" x14ac:dyDescent="0.2">
      <c r="B49" s="855"/>
      <c r="C49" s="841"/>
      <c r="D49" s="842"/>
      <c r="E49" s="870"/>
      <c r="F49" s="871"/>
      <c r="G49" s="839"/>
    </row>
    <row r="50" spans="2:9" x14ac:dyDescent="0.2">
      <c r="B50" s="872" t="s">
        <v>10</v>
      </c>
      <c r="C50" s="873" t="s">
        <v>108</v>
      </c>
      <c r="D50" s="873"/>
      <c r="E50" s="874"/>
      <c r="F50" s="875"/>
      <c r="G50" s="876">
        <f>SUM(G24:G49)</f>
        <v>0</v>
      </c>
    </row>
    <row r="53" spans="2:9" ht="24" x14ac:dyDescent="0.2">
      <c r="B53" s="805" t="s">
        <v>83</v>
      </c>
      <c r="C53" s="806" t="s">
        <v>89</v>
      </c>
      <c r="D53" s="807" t="s">
        <v>90</v>
      </c>
      <c r="E53" s="808" t="s">
        <v>91</v>
      </c>
      <c r="F53" s="809" t="s">
        <v>92</v>
      </c>
      <c r="G53" s="810" t="s">
        <v>93</v>
      </c>
    </row>
    <row r="54" spans="2:9" x14ac:dyDescent="0.2">
      <c r="B54" s="811"/>
      <c r="C54" s="877"/>
      <c r="D54" s="878"/>
      <c r="E54" s="814"/>
      <c r="F54" s="815"/>
      <c r="G54" s="816"/>
    </row>
    <row r="55" spans="2:9" ht="20.25" x14ac:dyDescent="0.3">
      <c r="B55" s="817" t="s">
        <v>12</v>
      </c>
      <c r="C55" s="879" t="s">
        <v>109</v>
      </c>
      <c r="D55" s="880"/>
      <c r="E55" s="820"/>
      <c r="F55" s="821"/>
      <c r="G55" s="822"/>
    </row>
    <row r="56" spans="2:9" ht="99.75" customHeight="1" x14ac:dyDescent="0.2">
      <c r="B56" s="3233" t="s">
        <v>110</v>
      </c>
      <c r="C56" s="3234"/>
      <c r="D56" s="3234"/>
      <c r="E56" s="3234"/>
      <c r="F56" s="3234"/>
      <c r="G56" s="3235"/>
    </row>
    <row r="57" spans="2:9" ht="12.75" customHeight="1" x14ac:dyDescent="0.2">
      <c r="B57" s="802"/>
      <c r="C57" s="799"/>
    </row>
    <row r="58" spans="2:9" ht="64.5" customHeight="1" x14ac:dyDescent="0.2">
      <c r="B58" s="840" t="s">
        <v>1205</v>
      </c>
      <c r="C58" s="841" t="s">
        <v>1208</v>
      </c>
      <c r="D58" s="846" t="s">
        <v>1207</v>
      </c>
      <c r="E58" s="843">
        <f>(720)*0.7*1.2*0.1+(6*0.7*0.5*0.1)</f>
        <v>60.69</v>
      </c>
      <c r="F58" s="833">
        <v>0</v>
      </c>
      <c r="G58" s="834">
        <f>E58*F58</f>
        <v>0</v>
      </c>
    </row>
    <row r="59" spans="2:9" ht="12.75" customHeight="1" x14ac:dyDescent="0.2">
      <c r="B59" s="840"/>
      <c r="C59" s="882"/>
      <c r="D59" s="846"/>
      <c r="E59" s="843"/>
      <c r="F59" s="844"/>
      <c r="G59" s="839"/>
    </row>
    <row r="60" spans="2:9" ht="51" x14ac:dyDescent="0.2">
      <c r="B60" s="840">
        <v>2.2000000000000002</v>
      </c>
      <c r="C60" s="841" t="s">
        <v>1209</v>
      </c>
      <c r="D60" s="842" t="s">
        <v>112</v>
      </c>
      <c r="E60" s="843">
        <f>(720)*0.7*1.2*0.9+(6*0.7*0.5*0.9)</f>
        <v>546.20999999999992</v>
      </c>
      <c r="F60" s="833">
        <v>0</v>
      </c>
      <c r="G60" s="834">
        <f>E60*F60</f>
        <v>0</v>
      </c>
      <c r="I60" s="744"/>
    </row>
    <row r="61" spans="2:9" x14ac:dyDescent="0.2">
      <c r="B61" s="845"/>
      <c r="C61" s="841"/>
      <c r="D61" s="842"/>
      <c r="E61" s="843"/>
      <c r="F61" s="833"/>
      <c r="G61" s="834"/>
      <c r="I61" s="744"/>
    </row>
    <row r="62" spans="2:9" ht="38.25" x14ac:dyDescent="0.2">
      <c r="B62" s="840">
        <v>2.2999999999999998</v>
      </c>
      <c r="C62" s="884" t="s">
        <v>1211</v>
      </c>
      <c r="D62" s="885" t="s">
        <v>117</v>
      </c>
      <c r="E62" s="886">
        <f>(720)*1.2*2*0.35</f>
        <v>604.79999999999995</v>
      </c>
      <c r="F62" s="833">
        <v>0</v>
      </c>
      <c r="G62" s="834">
        <f>E62*F62</f>
        <v>0</v>
      </c>
    </row>
    <row r="63" spans="2:9" x14ac:dyDescent="0.2">
      <c r="B63" s="840"/>
      <c r="C63" s="841"/>
      <c r="D63" s="842"/>
      <c r="E63" s="843"/>
      <c r="F63" s="833"/>
      <c r="G63" s="834"/>
    </row>
    <row r="64" spans="2:9" ht="25.5" x14ac:dyDescent="0.2">
      <c r="B64" s="883" t="s">
        <v>1210</v>
      </c>
      <c r="C64" s="841" t="s">
        <v>1212</v>
      </c>
      <c r="D64" s="842" t="s">
        <v>1213</v>
      </c>
      <c r="E64" s="843">
        <f>(720)*0.7</f>
        <v>503.99999999999994</v>
      </c>
      <c r="F64" s="833">
        <v>0</v>
      </c>
      <c r="G64" s="834">
        <f>E64*F64</f>
        <v>0</v>
      </c>
    </row>
    <row r="65" spans="2:18" x14ac:dyDescent="0.2">
      <c r="B65" s="840"/>
      <c r="C65" s="841"/>
      <c r="D65" s="842"/>
      <c r="E65" s="843"/>
      <c r="F65" s="844"/>
      <c r="G65" s="839"/>
    </row>
    <row r="66" spans="2:18" ht="45" customHeight="1" x14ac:dyDescent="0.2">
      <c r="B66" s="840">
        <v>2.5</v>
      </c>
      <c r="C66" s="841" t="s">
        <v>1216</v>
      </c>
      <c r="D66" s="842" t="s">
        <v>1207</v>
      </c>
      <c r="E66" s="843">
        <f>E58+E60-E68-E70</f>
        <v>254.09999999999988</v>
      </c>
      <c r="F66" s="833">
        <v>0</v>
      </c>
      <c r="G66" s="834">
        <f>E66*F66</f>
        <v>0</v>
      </c>
      <c r="I66" s="744"/>
    </row>
    <row r="67" spans="2:18" ht="13.5" customHeight="1" x14ac:dyDescent="0.2">
      <c r="B67" s="840"/>
      <c r="C67" s="841"/>
      <c r="D67" s="842"/>
      <c r="E67" s="843"/>
      <c r="F67" s="833"/>
      <c r="G67" s="834"/>
      <c r="I67" s="744"/>
    </row>
    <row r="68" spans="2:18" ht="41.25" customHeight="1" x14ac:dyDescent="0.2">
      <c r="B68" s="840">
        <v>2.7</v>
      </c>
      <c r="C68" s="841" t="s">
        <v>1217</v>
      </c>
      <c r="D68" s="842" t="s">
        <v>1207</v>
      </c>
      <c r="E68" s="843">
        <f>(720)*0.7*0.3</f>
        <v>151.19999999999999</v>
      </c>
      <c r="F68" s="833">
        <v>0</v>
      </c>
      <c r="G68" s="834">
        <f>E68*F68</f>
        <v>0</v>
      </c>
      <c r="P68" s="744"/>
    </row>
    <row r="69" spans="2:18" ht="13.5" customHeight="1" x14ac:dyDescent="0.2">
      <c r="B69" s="840"/>
      <c r="C69" s="841"/>
      <c r="D69" s="842"/>
      <c r="E69" s="843"/>
      <c r="P69" s="744"/>
    </row>
    <row r="70" spans="2:18" ht="68.25" customHeight="1" x14ac:dyDescent="0.2">
      <c r="B70" s="835">
        <v>2.8</v>
      </c>
      <c r="C70" s="890" t="s">
        <v>1278</v>
      </c>
      <c r="D70" s="891" t="s">
        <v>1219</v>
      </c>
      <c r="E70" s="843">
        <f>720*0.4*0.7</f>
        <v>201.6</v>
      </c>
      <c r="F70" s="833">
        <v>0</v>
      </c>
      <c r="G70" s="834">
        <f>E70*F70</f>
        <v>0</v>
      </c>
      <c r="P70" s="744"/>
    </row>
    <row r="71" spans="2:18" ht="15" customHeight="1" x14ac:dyDescent="0.2">
      <c r="B71" s="840"/>
      <c r="C71" s="841"/>
      <c r="D71" s="842"/>
      <c r="E71" s="843"/>
      <c r="F71" s="844"/>
      <c r="G71" s="839"/>
    </row>
    <row r="72" spans="2:18" x14ac:dyDescent="0.2">
      <c r="B72" s="840">
        <v>2.9</v>
      </c>
      <c r="C72" s="841" t="s">
        <v>1221</v>
      </c>
      <c r="D72" s="842" t="s">
        <v>112</v>
      </c>
      <c r="E72" s="843">
        <f>E58+E60-E66</f>
        <v>352.79999999999995</v>
      </c>
      <c r="F72" s="833">
        <v>0</v>
      </c>
      <c r="G72" s="834">
        <f>E72*F72</f>
        <v>0</v>
      </c>
      <c r="I72" s="888"/>
    </row>
    <row r="73" spans="2:18" x14ac:dyDescent="0.2">
      <c r="B73" s="840"/>
      <c r="C73" s="841"/>
      <c r="D73" s="842"/>
      <c r="E73" s="843"/>
      <c r="F73" s="844"/>
      <c r="G73" s="839"/>
    </row>
    <row r="74" spans="2:18" ht="25.5" x14ac:dyDescent="0.2">
      <c r="B74" s="892" t="s">
        <v>1220</v>
      </c>
      <c r="C74" s="841" t="s">
        <v>1223</v>
      </c>
      <c r="D74" s="842" t="s">
        <v>112</v>
      </c>
      <c r="E74" s="843">
        <v>352.8</v>
      </c>
      <c r="F74" s="833">
        <v>0</v>
      </c>
      <c r="G74" s="834">
        <f>E74*F74</f>
        <v>0</v>
      </c>
    </row>
    <row r="75" spans="2:18" x14ac:dyDescent="0.2">
      <c r="B75" s="840"/>
      <c r="C75" s="841"/>
      <c r="D75" s="842"/>
      <c r="E75" s="843"/>
      <c r="F75" s="844"/>
      <c r="G75" s="839"/>
    </row>
    <row r="76" spans="2:18" ht="29.25" customHeight="1" x14ac:dyDescent="0.2">
      <c r="B76" s="892" t="s">
        <v>1222</v>
      </c>
      <c r="C76" s="841" t="s">
        <v>1225</v>
      </c>
      <c r="D76" s="842" t="s">
        <v>1226</v>
      </c>
      <c r="E76" s="843">
        <v>10</v>
      </c>
      <c r="F76" s="833">
        <v>0</v>
      </c>
      <c r="G76" s="834">
        <f>E76*F76</f>
        <v>0</v>
      </c>
    </row>
    <row r="77" spans="2:18" x14ac:dyDescent="0.2">
      <c r="B77" s="892"/>
      <c r="C77" s="841"/>
      <c r="D77" s="842"/>
      <c r="E77" s="843"/>
      <c r="F77" s="844"/>
      <c r="G77" s="839"/>
    </row>
    <row r="78" spans="2:18" ht="28.5" customHeight="1" x14ac:dyDescent="0.2">
      <c r="B78" s="892" t="s">
        <v>1224</v>
      </c>
      <c r="C78" s="841" t="s">
        <v>1228</v>
      </c>
      <c r="D78" s="846" t="s">
        <v>1213</v>
      </c>
      <c r="E78" s="843">
        <v>10</v>
      </c>
      <c r="F78" s="833">
        <v>0</v>
      </c>
      <c r="G78" s="834">
        <f>E78*F78</f>
        <v>0</v>
      </c>
      <c r="L78" s="893"/>
      <c r="M78" s="894"/>
      <c r="N78" s="895"/>
      <c r="O78" s="896"/>
      <c r="P78" s="897"/>
      <c r="Q78" s="897"/>
      <c r="R78" s="897"/>
    </row>
    <row r="79" spans="2:18" x14ac:dyDescent="0.2">
      <c r="B79" s="840"/>
      <c r="C79" s="840"/>
      <c r="D79" s="857"/>
      <c r="E79" s="843"/>
      <c r="F79" s="844"/>
      <c r="G79" s="839"/>
      <c r="L79" s="893"/>
      <c r="M79" s="894"/>
      <c r="N79" s="895"/>
      <c r="O79" s="896"/>
      <c r="P79" s="897"/>
      <c r="Q79" s="897"/>
      <c r="R79" s="897"/>
    </row>
    <row r="80" spans="2:18" ht="90.75" customHeight="1" x14ac:dyDescent="0.2">
      <c r="B80" s="892" t="s">
        <v>1227</v>
      </c>
      <c r="C80" s="898" t="s">
        <v>1230</v>
      </c>
      <c r="D80" s="842" t="s">
        <v>1213</v>
      </c>
      <c r="E80" s="843">
        <v>10</v>
      </c>
      <c r="F80" s="833">
        <v>0</v>
      </c>
      <c r="G80" s="834">
        <f>E80*F80</f>
        <v>0</v>
      </c>
      <c r="L80" s="899"/>
      <c r="M80" s="900"/>
      <c r="N80" s="901"/>
      <c r="O80" s="902"/>
      <c r="P80" s="903"/>
      <c r="Q80" s="903"/>
      <c r="R80" s="903"/>
    </row>
    <row r="81" spans="2:18" ht="12" customHeight="1" x14ac:dyDescent="0.2">
      <c r="B81" s="845"/>
      <c r="C81" s="882"/>
      <c r="D81" s="846"/>
      <c r="E81" s="843"/>
      <c r="F81" s="844"/>
      <c r="G81" s="839"/>
      <c r="L81" s="899"/>
      <c r="M81" s="900"/>
      <c r="N81" s="901"/>
      <c r="O81" s="902"/>
      <c r="P81" s="903"/>
      <c r="Q81" s="903"/>
      <c r="R81" s="903"/>
    </row>
    <row r="82" spans="2:18" ht="64.5" customHeight="1" x14ac:dyDescent="0.2">
      <c r="B82" s="892" t="s">
        <v>1229</v>
      </c>
      <c r="C82" s="898" t="s">
        <v>1232</v>
      </c>
      <c r="D82" s="842" t="s">
        <v>1213</v>
      </c>
      <c r="E82" s="843">
        <v>10</v>
      </c>
      <c r="F82" s="833">
        <v>0</v>
      </c>
      <c r="G82" s="834">
        <f>E82*F82</f>
        <v>0</v>
      </c>
      <c r="L82" s="899"/>
      <c r="M82" s="900"/>
      <c r="N82" s="901"/>
      <c r="O82" s="902"/>
      <c r="P82" s="903"/>
      <c r="Q82" s="903"/>
      <c r="R82" s="903"/>
    </row>
    <row r="83" spans="2:18" x14ac:dyDescent="0.2">
      <c r="B83" s="892"/>
      <c r="C83" s="898"/>
      <c r="D83" s="842"/>
      <c r="E83" s="843"/>
      <c r="F83" s="844"/>
      <c r="G83" s="839"/>
    </row>
    <row r="84" spans="2:18" ht="25.5" x14ac:dyDescent="0.2">
      <c r="B84" s="892" t="s">
        <v>1231</v>
      </c>
      <c r="C84" s="841" t="s">
        <v>1234</v>
      </c>
      <c r="D84" s="842" t="s">
        <v>137</v>
      </c>
      <c r="E84" s="843">
        <f>10*0.2</f>
        <v>2</v>
      </c>
      <c r="F84" s="833">
        <v>0</v>
      </c>
      <c r="G84" s="834">
        <f>E84*F84</f>
        <v>0</v>
      </c>
    </row>
    <row r="85" spans="2:18" x14ac:dyDescent="0.2">
      <c r="B85" s="840"/>
      <c r="C85" s="841"/>
      <c r="D85" s="842"/>
      <c r="E85" s="843"/>
      <c r="F85" s="844"/>
      <c r="G85" s="839"/>
    </row>
    <row r="86" spans="2:18" ht="38.25" x14ac:dyDescent="0.2">
      <c r="B86" s="892" t="s">
        <v>1233</v>
      </c>
      <c r="C86" s="841" t="s">
        <v>1236</v>
      </c>
      <c r="D86" s="846" t="s">
        <v>117</v>
      </c>
      <c r="E86" s="843">
        <v>0</v>
      </c>
      <c r="F86" s="833">
        <v>0</v>
      </c>
      <c r="G86" s="834">
        <f>E86*F86</f>
        <v>0</v>
      </c>
    </row>
    <row r="87" spans="2:18" x14ac:dyDescent="0.2">
      <c r="B87" s="892"/>
      <c r="C87" s="916"/>
      <c r="D87" s="912"/>
      <c r="E87" s="913"/>
      <c r="F87" s="914"/>
      <c r="G87" s="915"/>
    </row>
    <row r="88" spans="2:18" ht="67.5" customHeight="1" x14ac:dyDescent="0.2">
      <c r="B88" s="892" t="s">
        <v>1235</v>
      </c>
      <c r="C88" s="911" t="s">
        <v>309</v>
      </c>
      <c r="D88" s="912"/>
      <c r="E88" s="913"/>
      <c r="F88" s="914"/>
      <c r="G88" s="915"/>
    </row>
    <row r="89" spans="2:18" x14ac:dyDescent="0.2">
      <c r="B89" s="921"/>
      <c r="C89" s="916" t="s">
        <v>1673</v>
      </c>
      <c r="D89" s="912" t="s">
        <v>95</v>
      </c>
      <c r="E89" s="843">
        <v>10</v>
      </c>
      <c r="F89" s="833">
        <v>0</v>
      </c>
      <c r="G89" s="834">
        <f>E89*F89</f>
        <v>0</v>
      </c>
    </row>
    <row r="90" spans="2:18" x14ac:dyDescent="0.2">
      <c r="B90" s="892" t="s">
        <v>1241</v>
      </c>
      <c r="C90" s="916"/>
      <c r="D90" s="912"/>
      <c r="E90" s="913"/>
      <c r="F90" s="914"/>
      <c r="G90" s="915"/>
    </row>
    <row r="91" spans="2:18" ht="41.25" customHeight="1" x14ac:dyDescent="0.2">
      <c r="B91" s="921"/>
      <c r="C91" s="917" t="s">
        <v>1240</v>
      </c>
      <c r="D91" s="918" t="s">
        <v>112</v>
      </c>
      <c r="E91" s="919">
        <v>10</v>
      </c>
      <c r="F91" s="833">
        <v>0</v>
      </c>
      <c r="G91" s="834">
        <f t="shared" ref="G91" si="0">E91*F91</f>
        <v>0</v>
      </c>
    </row>
    <row r="92" spans="2:18" x14ac:dyDescent="0.2">
      <c r="B92" s="892"/>
      <c r="C92" s="917"/>
      <c r="D92" s="918"/>
      <c r="E92" s="919"/>
      <c r="F92" s="920"/>
      <c r="G92" s="905"/>
    </row>
    <row r="93" spans="2:18" ht="36.75" customHeight="1" x14ac:dyDescent="0.2">
      <c r="B93" s="892" t="s">
        <v>1243</v>
      </c>
      <c r="C93" s="922" t="s">
        <v>1242</v>
      </c>
      <c r="D93" s="918" t="s">
        <v>149</v>
      </c>
      <c r="E93" s="919">
        <v>5</v>
      </c>
      <c r="F93" s="833">
        <v>0</v>
      </c>
      <c r="G93" s="834">
        <f t="shared" ref="G93" si="1">E93*F93</f>
        <v>0</v>
      </c>
      <c r="H93" s="923"/>
      <c r="I93" s="130"/>
    </row>
    <row r="94" spans="2:18" ht="15" customHeight="1" x14ac:dyDescent="0.2">
      <c r="B94" s="921"/>
      <c r="C94" s="922"/>
      <c r="D94" s="918"/>
      <c r="E94" s="919"/>
      <c r="F94" s="920"/>
      <c r="G94" s="905"/>
      <c r="H94" s="923"/>
      <c r="I94" s="130"/>
    </row>
    <row r="95" spans="2:18" ht="36.75" customHeight="1" x14ac:dyDescent="0.2">
      <c r="B95" s="892" t="s">
        <v>1284</v>
      </c>
      <c r="C95" s="924" t="s">
        <v>153</v>
      </c>
      <c r="D95" s="925" t="s">
        <v>112</v>
      </c>
      <c r="E95" s="926">
        <v>5</v>
      </c>
      <c r="F95" s="833">
        <v>0</v>
      </c>
      <c r="G95" s="834">
        <f t="shared" ref="G95" si="2">E95*F95</f>
        <v>0</v>
      </c>
      <c r="H95" s="923"/>
      <c r="I95" s="130"/>
    </row>
    <row r="96" spans="2:18" ht="16.5" customHeight="1" x14ac:dyDescent="0.2">
      <c r="B96" s="892"/>
      <c r="C96" s="927"/>
      <c r="D96" s="928"/>
      <c r="E96" s="919"/>
      <c r="F96" s="928"/>
      <c r="G96" s="929"/>
    </row>
    <row r="97" spans="2:9" ht="13.5" customHeight="1" x14ac:dyDescent="0.2">
      <c r="B97" s="872" t="s">
        <v>12</v>
      </c>
      <c r="C97" s="873" t="s">
        <v>157</v>
      </c>
      <c r="D97" s="872"/>
      <c r="E97" s="874"/>
      <c r="F97" s="875"/>
      <c r="G97" s="876">
        <f>SUM(G58:G95)</f>
        <v>0</v>
      </c>
    </row>
    <row r="98" spans="2:9" ht="18.75" customHeight="1" x14ac:dyDescent="0.2"/>
    <row r="99" spans="2:9" ht="25.5" customHeight="1" x14ac:dyDescent="0.2">
      <c r="B99" s="805" t="s">
        <v>83</v>
      </c>
      <c r="C99" s="806" t="s">
        <v>89</v>
      </c>
      <c r="D99" s="806" t="s">
        <v>90</v>
      </c>
      <c r="E99" s="808" t="s">
        <v>91</v>
      </c>
      <c r="F99" s="809" t="s">
        <v>92</v>
      </c>
      <c r="G99" s="810" t="s">
        <v>93</v>
      </c>
    </row>
    <row r="100" spans="2:9" ht="18" customHeight="1" x14ac:dyDescent="0.2">
      <c r="B100" s="811"/>
      <c r="C100" s="812"/>
      <c r="D100" s="878"/>
      <c r="E100" s="814"/>
      <c r="F100" s="815"/>
      <c r="G100" s="816"/>
    </row>
    <row r="101" spans="2:9" ht="18" customHeight="1" x14ac:dyDescent="0.2">
      <c r="B101" s="930" t="s">
        <v>17</v>
      </c>
      <c r="C101" s="931" t="s">
        <v>158</v>
      </c>
      <c r="D101" s="880"/>
      <c r="E101" s="820"/>
      <c r="F101" s="821"/>
      <c r="G101" s="822"/>
    </row>
    <row r="102" spans="2:9" ht="18" customHeight="1" x14ac:dyDescent="0.2">
      <c r="B102" s="2865" t="s">
        <v>1</v>
      </c>
      <c r="C102" s="2866"/>
      <c r="D102" s="2867"/>
      <c r="E102" s="2867"/>
      <c r="F102" s="2867"/>
      <c r="G102" s="2868"/>
    </row>
    <row r="103" spans="2:9" ht="15.75" customHeight="1" x14ac:dyDescent="0.2">
      <c r="B103" s="2869" t="s">
        <v>2</v>
      </c>
      <c r="C103" s="2870"/>
      <c r="D103" s="2871"/>
      <c r="E103" s="2872"/>
      <c r="F103" s="2872"/>
      <c r="G103" s="2871"/>
    </row>
    <row r="104" spans="2:9" ht="18" customHeight="1" x14ac:dyDescent="0.2">
      <c r="B104" s="2865" t="s">
        <v>3</v>
      </c>
      <c r="C104" s="2866"/>
      <c r="D104" s="2867"/>
      <c r="E104" s="2867"/>
      <c r="F104" s="2867"/>
      <c r="G104" s="2868"/>
    </row>
    <row r="105" spans="2:9" ht="18" customHeight="1" x14ac:dyDescent="0.2">
      <c r="B105" s="2869" t="s">
        <v>4</v>
      </c>
      <c r="C105" s="2870"/>
      <c r="D105" s="2872"/>
      <c r="E105" s="2872"/>
      <c r="F105" s="2872"/>
      <c r="G105" s="2871"/>
    </row>
    <row r="106" spans="2:9" ht="15.75" customHeight="1" x14ac:dyDescent="0.2">
      <c r="B106" s="3233" t="s">
        <v>159</v>
      </c>
      <c r="C106" s="3234"/>
      <c r="D106" s="3234"/>
      <c r="E106" s="3234"/>
      <c r="F106" s="3234"/>
      <c r="G106" s="3235"/>
    </row>
    <row r="107" spans="2:9" x14ac:dyDescent="0.2">
      <c r="B107" s="3233" t="s">
        <v>160</v>
      </c>
      <c r="C107" s="3234"/>
      <c r="D107" s="3234"/>
      <c r="E107" s="3234"/>
      <c r="F107" s="3234"/>
      <c r="G107" s="3235"/>
    </row>
    <row r="108" spans="2:9" ht="12.75" customHeight="1" x14ac:dyDescent="0.2">
      <c r="B108" s="3233" t="s">
        <v>161</v>
      </c>
      <c r="C108" s="3234"/>
      <c r="D108" s="3234"/>
      <c r="E108" s="3234"/>
      <c r="F108" s="3234"/>
      <c r="G108" s="3235"/>
    </row>
    <row r="109" spans="2:9" ht="12.75" customHeight="1" x14ac:dyDescent="0.2">
      <c r="B109" s="845"/>
      <c r="C109" s="848"/>
      <c r="D109" s="857"/>
      <c r="E109" s="838"/>
      <c r="F109" s="844"/>
      <c r="G109" s="839"/>
    </row>
    <row r="110" spans="2:9" ht="45.75" customHeight="1" x14ac:dyDescent="0.2">
      <c r="B110" s="829">
        <v>1</v>
      </c>
      <c r="C110" s="932" t="s">
        <v>162</v>
      </c>
      <c r="D110" s="932"/>
      <c r="E110" s="933"/>
      <c r="F110" s="934"/>
      <c r="G110" s="834"/>
    </row>
    <row r="111" spans="2:9" ht="24.75" customHeight="1" x14ac:dyDescent="0.2">
      <c r="B111" s="829"/>
      <c r="C111" s="941" t="s">
        <v>1245</v>
      </c>
      <c r="D111" s="937" t="s">
        <v>95</v>
      </c>
      <c r="E111" s="832">
        <v>648</v>
      </c>
      <c r="F111" s="934">
        <v>0</v>
      </c>
      <c r="G111" s="834">
        <f>E111*F111</f>
        <v>0</v>
      </c>
    </row>
    <row r="112" spans="2:9" ht="44.25" customHeight="1" x14ac:dyDescent="0.2">
      <c r="B112" s="829"/>
      <c r="C112" s="941" t="s">
        <v>1668</v>
      </c>
      <c r="D112" s="937" t="s">
        <v>95</v>
      </c>
      <c r="E112" s="832">
        <v>72</v>
      </c>
      <c r="F112" s="934">
        <v>0</v>
      </c>
      <c r="G112" s="834">
        <f>E112*F112</f>
        <v>0</v>
      </c>
      <c r="I112" s="940"/>
    </row>
    <row r="113" spans="2:9" ht="30" customHeight="1" x14ac:dyDescent="0.2">
      <c r="B113" s="829"/>
      <c r="C113" s="942" t="s">
        <v>1247</v>
      </c>
      <c r="D113" s="937" t="s">
        <v>95</v>
      </c>
      <c r="E113" s="832">
        <v>5</v>
      </c>
      <c r="F113" s="934">
        <v>0</v>
      </c>
      <c r="G113" s="834">
        <f>E113*F113</f>
        <v>0</v>
      </c>
      <c r="I113" s="940"/>
    </row>
    <row r="114" spans="2:9" ht="44.25" customHeight="1" x14ac:dyDescent="0.2">
      <c r="B114" s="829"/>
      <c r="C114" s="943" t="s">
        <v>1248</v>
      </c>
      <c r="D114" s="937" t="s">
        <v>95</v>
      </c>
      <c r="E114" s="832">
        <v>1</v>
      </c>
      <c r="F114" s="934">
        <v>0</v>
      </c>
      <c r="G114" s="834">
        <f>E114*F114</f>
        <v>0</v>
      </c>
    </row>
    <row r="115" spans="2:9" ht="15.75" customHeight="1" x14ac:dyDescent="0.2">
      <c r="B115" s="1041"/>
      <c r="C115" s="943"/>
      <c r="D115" s="937"/>
      <c r="E115" s="832"/>
      <c r="F115" s="934"/>
      <c r="G115" s="935"/>
    </row>
    <row r="116" spans="2:9" ht="12" customHeight="1" x14ac:dyDescent="0.2">
      <c r="B116" s="829"/>
      <c r="C116" s="944"/>
      <c r="D116" s="937"/>
      <c r="E116" s="938"/>
      <c r="F116" s="939"/>
      <c r="G116" s="935"/>
    </row>
    <row r="117" spans="2:9" ht="67.5" customHeight="1" x14ac:dyDescent="0.2">
      <c r="B117" s="945">
        <v>2</v>
      </c>
      <c r="C117" s="946" t="s">
        <v>172</v>
      </c>
      <c r="D117" s="2727" t="s">
        <v>95</v>
      </c>
      <c r="E117" s="947">
        <f>SUM(E111:E114)</f>
        <v>726</v>
      </c>
      <c r="F117" s="833">
        <v>0</v>
      </c>
      <c r="G117" s="834">
        <f>E117*F117</f>
        <v>0</v>
      </c>
    </row>
    <row r="118" spans="2:9" ht="58.5" customHeight="1" x14ac:dyDescent="0.2">
      <c r="B118" s="948" t="s">
        <v>173</v>
      </c>
      <c r="C118" s="946" t="s">
        <v>174</v>
      </c>
      <c r="D118" s="2727" t="s">
        <v>95</v>
      </c>
      <c r="E118" s="947">
        <f>E117</f>
        <v>726</v>
      </c>
      <c r="F118" s="833">
        <v>0</v>
      </c>
      <c r="G118" s="834">
        <f>E118*F118</f>
        <v>0</v>
      </c>
    </row>
    <row r="119" spans="2:9" ht="42" customHeight="1" x14ac:dyDescent="0.2">
      <c r="B119" s="948" t="s">
        <v>175</v>
      </c>
      <c r="C119" s="946" t="s">
        <v>176</v>
      </c>
      <c r="D119" s="2727" t="s">
        <v>95</v>
      </c>
      <c r="E119" s="947">
        <f>E117</f>
        <v>726</v>
      </c>
      <c r="F119" s="833">
        <v>0</v>
      </c>
      <c r="G119" s="834">
        <f>E119*F119</f>
        <v>0</v>
      </c>
    </row>
    <row r="120" spans="2:9" ht="69" customHeight="1" x14ac:dyDescent="0.2">
      <c r="B120" s="948" t="s">
        <v>177</v>
      </c>
      <c r="C120" s="946" t="s">
        <v>178</v>
      </c>
      <c r="D120" s="2727" t="s">
        <v>95</v>
      </c>
      <c r="E120" s="947">
        <f>E117</f>
        <v>726</v>
      </c>
      <c r="F120" s="833">
        <v>0</v>
      </c>
      <c r="G120" s="834">
        <f>E120*F120</f>
        <v>0</v>
      </c>
    </row>
    <row r="121" spans="2:9" x14ac:dyDescent="0.2">
      <c r="B121" s="845"/>
      <c r="C121" s="904"/>
      <c r="D121" s="846"/>
      <c r="E121" s="838"/>
      <c r="F121" s="949"/>
      <c r="G121" s="905"/>
    </row>
    <row r="122" spans="2:9" x14ac:dyDescent="0.2">
      <c r="B122" s="2061" t="s">
        <v>1249</v>
      </c>
      <c r="C122" s="2414" t="s">
        <v>1695</v>
      </c>
      <c r="D122" s="2063"/>
      <c r="E122" s="2064"/>
      <c r="F122" s="2065"/>
      <c r="G122" s="2065"/>
      <c r="H122" s="953"/>
    </row>
    <row r="123" spans="2:9" ht="25.5" x14ac:dyDescent="0.2">
      <c r="B123" s="2061"/>
      <c r="C123" s="2408" t="s">
        <v>238</v>
      </c>
      <c r="D123" s="2068" t="s">
        <v>149</v>
      </c>
      <c r="E123" s="2069">
        <v>1</v>
      </c>
      <c r="F123" s="2066">
        <v>0</v>
      </c>
      <c r="G123" s="2067">
        <f>E123*F123</f>
        <v>0</v>
      </c>
      <c r="H123" s="953"/>
    </row>
    <row r="124" spans="2:9" ht="25.5" x14ac:dyDescent="0.2">
      <c r="B124" s="2061"/>
      <c r="C124" s="2410" t="s">
        <v>235</v>
      </c>
      <c r="D124" s="2068" t="s">
        <v>149</v>
      </c>
      <c r="E124" s="2069">
        <v>2</v>
      </c>
      <c r="F124" s="2066">
        <v>0</v>
      </c>
      <c r="G124" s="2067">
        <f t="shared" ref="G124:G131" si="3">E124*F124</f>
        <v>0</v>
      </c>
      <c r="H124" s="953"/>
    </row>
    <row r="125" spans="2:9" ht="25.5" x14ac:dyDescent="0.2">
      <c r="B125" s="2061"/>
      <c r="C125" s="2410" t="s">
        <v>239</v>
      </c>
      <c r="D125" s="2068" t="s">
        <v>149</v>
      </c>
      <c r="E125" s="2069">
        <v>1</v>
      </c>
      <c r="F125" s="2066">
        <v>0</v>
      </c>
      <c r="G125" s="2067">
        <f t="shared" si="3"/>
        <v>0</v>
      </c>
      <c r="H125" s="953"/>
    </row>
    <row r="126" spans="2:9" x14ac:dyDescent="0.2">
      <c r="B126" s="2061"/>
      <c r="C126" s="2410" t="s">
        <v>1294</v>
      </c>
      <c r="D126" s="2068" t="s">
        <v>149</v>
      </c>
      <c r="E126" s="2069">
        <v>2</v>
      </c>
      <c r="F126" s="2066">
        <v>0</v>
      </c>
      <c r="G126" s="2067">
        <f t="shared" si="3"/>
        <v>0</v>
      </c>
      <c r="H126" s="953"/>
    </row>
    <row r="127" spans="2:9" x14ac:dyDescent="0.2">
      <c r="B127" s="2061"/>
      <c r="C127" s="2410" t="s">
        <v>1267</v>
      </c>
      <c r="D127" s="2068" t="s">
        <v>149</v>
      </c>
      <c r="E127" s="2069">
        <v>1</v>
      </c>
      <c r="F127" s="2066">
        <v>0</v>
      </c>
      <c r="G127" s="2067">
        <f t="shared" si="3"/>
        <v>0</v>
      </c>
      <c r="H127" s="953"/>
    </row>
    <row r="128" spans="2:9" x14ac:dyDescent="0.2">
      <c r="B128" s="2061"/>
      <c r="C128" s="2410" t="s">
        <v>1268</v>
      </c>
      <c r="D128" s="2068" t="s">
        <v>149</v>
      </c>
      <c r="E128" s="2069">
        <v>1</v>
      </c>
      <c r="F128" s="2066">
        <v>0</v>
      </c>
      <c r="G128" s="2067">
        <f t="shared" si="3"/>
        <v>0</v>
      </c>
      <c r="H128" s="953"/>
    </row>
    <row r="129" spans="2:15" x14ac:dyDescent="0.2">
      <c r="B129" s="2061"/>
      <c r="C129" s="2410" t="s">
        <v>1269</v>
      </c>
      <c r="D129" s="2068" t="s">
        <v>149</v>
      </c>
      <c r="E129" s="2069">
        <v>1</v>
      </c>
      <c r="F129" s="2066">
        <v>0</v>
      </c>
      <c r="G129" s="2067">
        <f t="shared" si="3"/>
        <v>0</v>
      </c>
      <c r="H129" s="953"/>
    </row>
    <row r="130" spans="2:15" ht="25.5" x14ac:dyDescent="0.2">
      <c r="B130" s="2061"/>
      <c r="C130" s="2410" t="s">
        <v>227</v>
      </c>
      <c r="D130" s="2068" t="s">
        <v>149</v>
      </c>
      <c r="E130" s="2069">
        <v>1</v>
      </c>
      <c r="F130" s="2066">
        <v>0</v>
      </c>
      <c r="G130" s="2067">
        <f t="shared" si="3"/>
        <v>0</v>
      </c>
      <c r="H130" s="953"/>
    </row>
    <row r="131" spans="2:15" ht="25.5" x14ac:dyDescent="0.2">
      <c r="B131" s="2061"/>
      <c r="C131" s="2411" t="s">
        <v>1196</v>
      </c>
      <c r="D131" s="2068" t="s">
        <v>149</v>
      </c>
      <c r="E131" s="2069">
        <v>1</v>
      </c>
      <c r="F131" s="2066">
        <v>0</v>
      </c>
      <c r="G131" s="2067">
        <f t="shared" si="3"/>
        <v>0</v>
      </c>
      <c r="H131" s="953"/>
    </row>
    <row r="132" spans="2:15" x14ac:dyDescent="0.2">
      <c r="B132" s="950"/>
      <c r="C132" s="955"/>
      <c r="D132" s="956"/>
      <c r="E132" s="957"/>
      <c r="F132" s="958"/>
      <c r="G132" s="958"/>
      <c r="H132" s="1101"/>
      <c r="I132" s="964"/>
      <c r="J132" s="723"/>
      <c r="K132" s="723"/>
      <c r="L132" s="723"/>
      <c r="M132" s="723"/>
      <c r="N132" s="723"/>
      <c r="O132" s="723"/>
    </row>
    <row r="133" spans="2:15" x14ac:dyDescent="0.2">
      <c r="B133" s="2061" t="s">
        <v>1253</v>
      </c>
      <c r="C133" s="2412" t="s">
        <v>1669</v>
      </c>
      <c r="D133" s="2063"/>
      <c r="E133" s="2420"/>
      <c r="F133" s="2421"/>
      <c r="G133" s="2421"/>
      <c r="H133" s="1101"/>
      <c r="I133" s="964"/>
      <c r="J133" s="723"/>
      <c r="K133" s="723"/>
      <c r="L133" s="723"/>
      <c r="M133" s="723"/>
      <c r="N133" s="723"/>
      <c r="O133" s="723"/>
    </row>
    <row r="134" spans="2:15" x14ac:dyDescent="0.2">
      <c r="B134" s="2061"/>
      <c r="C134" s="2408" t="s">
        <v>841</v>
      </c>
      <c r="D134" s="2068" t="s">
        <v>149</v>
      </c>
      <c r="E134" s="2069">
        <v>3</v>
      </c>
      <c r="F134" s="2066">
        <v>0</v>
      </c>
      <c r="G134" s="2067">
        <f t="shared" ref="G134:G143" si="4">E134*F134</f>
        <v>0</v>
      </c>
      <c r="H134" s="1101"/>
      <c r="I134" s="964"/>
      <c r="J134" s="723"/>
      <c r="K134" s="723"/>
      <c r="L134" s="723"/>
      <c r="M134" s="723"/>
      <c r="N134" s="723"/>
      <c r="O134" s="723"/>
    </row>
    <row r="135" spans="2:15" ht="51" x14ac:dyDescent="0.2">
      <c r="B135" s="2061"/>
      <c r="C135" s="2409" t="s">
        <v>285</v>
      </c>
      <c r="D135" s="2068" t="s">
        <v>149</v>
      </c>
      <c r="E135" s="2069">
        <v>3</v>
      </c>
      <c r="F135" s="2066">
        <v>0</v>
      </c>
      <c r="G135" s="2067">
        <f t="shared" si="4"/>
        <v>0</v>
      </c>
      <c r="H135" s="1101"/>
      <c r="I135" s="964"/>
      <c r="J135" s="723"/>
      <c r="K135" s="723"/>
      <c r="L135" s="723"/>
      <c r="M135" s="723"/>
      <c r="N135" s="723"/>
      <c r="O135" s="723"/>
    </row>
    <row r="136" spans="2:15" x14ac:dyDescent="0.2">
      <c r="B136" s="2061"/>
      <c r="C136" s="2409" t="s">
        <v>193</v>
      </c>
      <c r="D136" s="2068" t="s">
        <v>149</v>
      </c>
      <c r="E136" s="2069">
        <v>3</v>
      </c>
      <c r="F136" s="2066">
        <v>0</v>
      </c>
      <c r="G136" s="2067">
        <f t="shared" si="4"/>
        <v>0</v>
      </c>
      <c r="H136" s="1101"/>
      <c r="I136" s="964"/>
      <c r="J136" s="723"/>
      <c r="K136" s="723"/>
      <c r="L136" s="723"/>
      <c r="M136" s="723"/>
      <c r="N136" s="723"/>
      <c r="O136" s="723"/>
    </row>
    <row r="137" spans="2:15" x14ac:dyDescent="0.2">
      <c r="B137" s="2061"/>
      <c r="C137" s="2409" t="s">
        <v>194</v>
      </c>
      <c r="D137" s="2068" t="s">
        <v>149</v>
      </c>
      <c r="E137" s="2069">
        <v>3</v>
      </c>
      <c r="F137" s="2066">
        <v>0</v>
      </c>
      <c r="G137" s="2067">
        <f t="shared" si="4"/>
        <v>0</v>
      </c>
      <c r="H137" s="1101"/>
      <c r="I137" s="964"/>
      <c r="J137" s="723"/>
      <c r="K137" s="723"/>
      <c r="L137" s="723"/>
      <c r="M137" s="723"/>
      <c r="N137" s="723"/>
      <c r="O137" s="723"/>
    </row>
    <row r="138" spans="2:15" ht="25.5" x14ac:dyDescent="0.2">
      <c r="B138" s="2061"/>
      <c r="C138" s="2410" t="s">
        <v>239</v>
      </c>
      <c r="D138" s="2068" t="s">
        <v>149</v>
      </c>
      <c r="E138" s="2069">
        <v>6</v>
      </c>
      <c r="F138" s="2066">
        <v>0</v>
      </c>
      <c r="G138" s="2067">
        <f t="shared" si="4"/>
        <v>0</v>
      </c>
      <c r="H138" s="1101"/>
      <c r="I138" s="964"/>
      <c r="J138" s="723"/>
      <c r="K138" s="723"/>
      <c r="L138" s="723"/>
      <c r="M138" s="723"/>
      <c r="N138" s="723"/>
      <c r="O138" s="723"/>
    </row>
    <row r="139" spans="2:15" x14ac:dyDescent="0.2">
      <c r="B139" s="2061"/>
      <c r="C139" s="2410" t="s">
        <v>1267</v>
      </c>
      <c r="D139" s="2068" t="s">
        <v>149</v>
      </c>
      <c r="E139" s="2069">
        <v>6</v>
      </c>
      <c r="F139" s="2066">
        <v>0</v>
      </c>
      <c r="G139" s="2067">
        <f t="shared" si="4"/>
        <v>0</v>
      </c>
      <c r="H139" s="1101"/>
      <c r="I139" s="964"/>
      <c r="J139" s="723"/>
      <c r="K139" s="723"/>
      <c r="L139" s="723"/>
      <c r="M139" s="723"/>
      <c r="N139" s="723"/>
      <c r="O139" s="723"/>
    </row>
    <row r="140" spans="2:15" x14ac:dyDescent="0.2">
      <c r="B140" s="2061"/>
      <c r="C140" s="2410" t="s">
        <v>1268</v>
      </c>
      <c r="D140" s="2068" t="s">
        <v>149</v>
      </c>
      <c r="E140" s="2069">
        <v>6</v>
      </c>
      <c r="F140" s="2066">
        <v>0</v>
      </c>
      <c r="G140" s="2067">
        <f t="shared" si="4"/>
        <v>0</v>
      </c>
      <c r="H140" s="1101"/>
      <c r="I140" s="964"/>
      <c r="J140" s="723"/>
      <c r="K140" s="723"/>
      <c r="L140" s="723"/>
      <c r="M140" s="723"/>
      <c r="N140" s="723"/>
      <c r="O140" s="723"/>
    </row>
    <row r="141" spans="2:15" x14ac:dyDescent="0.2">
      <c r="B141" s="2061"/>
      <c r="C141" s="2410" t="s">
        <v>1269</v>
      </c>
      <c r="D141" s="2068" t="s">
        <v>149</v>
      </c>
      <c r="E141" s="2069">
        <v>6</v>
      </c>
      <c r="F141" s="2066">
        <v>0</v>
      </c>
      <c r="G141" s="2067">
        <f t="shared" si="4"/>
        <v>0</v>
      </c>
      <c r="H141" s="1101"/>
      <c r="I141" s="964"/>
      <c r="J141" s="723"/>
      <c r="K141" s="723"/>
      <c r="L141" s="723"/>
      <c r="M141" s="723"/>
      <c r="N141" s="723"/>
      <c r="O141" s="723"/>
    </row>
    <row r="142" spans="2:15" ht="25.5" x14ac:dyDescent="0.2">
      <c r="B142" s="2061"/>
      <c r="C142" s="2410" t="s">
        <v>197</v>
      </c>
      <c r="D142" s="2068" t="s">
        <v>149</v>
      </c>
      <c r="E142" s="2069">
        <v>2</v>
      </c>
      <c r="F142" s="2066">
        <v>0</v>
      </c>
      <c r="G142" s="2067">
        <f t="shared" si="4"/>
        <v>0</v>
      </c>
      <c r="H142" s="1101"/>
      <c r="I142" s="964"/>
      <c r="J142" s="723"/>
      <c r="K142" s="723"/>
      <c r="L142" s="723"/>
      <c r="M142" s="723"/>
      <c r="N142" s="723"/>
      <c r="O142" s="723"/>
    </row>
    <row r="143" spans="2:15" ht="25.5" x14ac:dyDescent="0.2">
      <c r="B143" s="2061"/>
      <c r="C143" s="2411" t="s">
        <v>1196</v>
      </c>
      <c r="D143" s="2068" t="s">
        <v>149</v>
      </c>
      <c r="E143" s="2069">
        <v>2</v>
      </c>
      <c r="F143" s="2066">
        <v>0</v>
      </c>
      <c r="G143" s="2067">
        <f t="shared" si="4"/>
        <v>0</v>
      </c>
      <c r="H143" s="1101"/>
      <c r="I143" s="964"/>
      <c r="J143" s="723"/>
      <c r="K143" s="723"/>
      <c r="L143" s="723"/>
      <c r="M143" s="723"/>
      <c r="N143" s="723"/>
      <c r="O143" s="723"/>
    </row>
    <row r="144" spans="2:15" x14ac:dyDescent="0.2">
      <c r="B144" s="950"/>
      <c r="C144" s="955"/>
      <c r="D144" s="956"/>
      <c r="E144" s="957"/>
      <c r="F144" s="958"/>
      <c r="G144" s="958"/>
      <c r="H144" s="1101"/>
      <c r="I144" s="964"/>
      <c r="J144" s="723"/>
      <c r="K144" s="723"/>
      <c r="L144" s="723"/>
      <c r="M144" s="723"/>
      <c r="N144" s="723"/>
      <c r="O144" s="723"/>
    </row>
    <row r="145" spans="2:15" x14ac:dyDescent="0.2">
      <c r="B145" s="2061" t="s">
        <v>1256</v>
      </c>
      <c r="C145" s="2412" t="s">
        <v>1696</v>
      </c>
      <c r="D145" s="2419"/>
      <c r="E145" s="2420"/>
      <c r="F145" s="2421"/>
      <c r="G145" s="2421"/>
      <c r="H145" s="1101"/>
      <c r="I145" s="964"/>
      <c r="J145" s="723"/>
      <c r="K145" s="723"/>
      <c r="L145" s="723"/>
      <c r="M145" s="723"/>
      <c r="N145" s="723"/>
      <c r="O145" s="723"/>
    </row>
    <row r="146" spans="2:15" ht="44.25" customHeight="1" x14ac:dyDescent="0.2">
      <c r="B146" s="2061"/>
      <c r="C146" s="2409" t="s">
        <v>1388</v>
      </c>
      <c r="D146" s="2068" t="s">
        <v>149</v>
      </c>
      <c r="E146" s="2069">
        <v>2</v>
      </c>
      <c r="F146" s="2066">
        <v>0</v>
      </c>
      <c r="G146" s="2067">
        <f t="shared" ref="G146:G148" si="5">E146*F146</f>
        <v>0</v>
      </c>
      <c r="H146" s="1101"/>
      <c r="I146" s="964"/>
      <c r="J146" s="723"/>
      <c r="K146" s="723"/>
      <c r="L146" s="723"/>
      <c r="M146" s="723"/>
      <c r="N146" s="723"/>
      <c r="O146" s="723"/>
    </row>
    <row r="147" spans="2:15" ht="25.5" x14ac:dyDescent="0.2">
      <c r="B147" s="2061"/>
      <c r="C147" s="2410" t="s">
        <v>203</v>
      </c>
      <c r="D147" s="2068" t="s">
        <v>149</v>
      </c>
      <c r="E147" s="2069">
        <v>2</v>
      </c>
      <c r="F147" s="2066">
        <v>0</v>
      </c>
      <c r="G147" s="2067">
        <f t="shared" si="5"/>
        <v>0</v>
      </c>
      <c r="H147" s="1101"/>
      <c r="I147" s="964"/>
      <c r="J147" s="723"/>
      <c r="K147" s="723"/>
      <c r="L147" s="723"/>
      <c r="M147" s="723"/>
      <c r="N147" s="723"/>
      <c r="O147" s="723"/>
    </row>
    <row r="148" spans="2:15" ht="25.5" x14ac:dyDescent="0.2">
      <c r="B148" s="2061"/>
      <c r="C148" s="2411" t="s">
        <v>1196</v>
      </c>
      <c r="D148" s="2068" t="s">
        <v>149</v>
      </c>
      <c r="E148" s="2069">
        <v>2</v>
      </c>
      <c r="F148" s="2066">
        <v>0</v>
      </c>
      <c r="G148" s="2067">
        <f t="shared" si="5"/>
        <v>0</v>
      </c>
      <c r="H148" s="1101"/>
      <c r="I148" s="964"/>
      <c r="J148" s="723"/>
      <c r="K148" s="723"/>
      <c r="L148" s="723"/>
      <c r="M148" s="723"/>
      <c r="N148" s="723"/>
      <c r="O148" s="723"/>
    </row>
    <row r="149" spans="2:15" x14ac:dyDescent="0.2">
      <c r="B149" s="950"/>
      <c r="C149" s="955"/>
      <c r="D149" s="956"/>
      <c r="E149" s="957"/>
      <c r="F149" s="958"/>
      <c r="G149" s="958"/>
      <c r="H149" s="1101"/>
      <c r="I149" s="964"/>
      <c r="J149" s="723"/>
      <c r="K149" s="723"/>
      <c r="L149" s="723"/>
      <c r="M149" s="723"/>
      <c r="N149" s="723"/>
      <c r="O149" s="723"/>
    </row>
    <row r="150" spans="2:15" s="723" customFormat="1" x14ac:dyDescent="0.2">
      <c r="B150" s="950" t="s">
        <v>1259</v>
      </c>
      <c r="C150" s="967" t="s">
        <v>244</v>
      </c>
      <c r="D150" s="967"/>
      <c r="E150" s="957"/>
      <c r="F150" s="958"/>
      <c r="G150" s="958"/>
      <c r="H150" s="953"/>
      <c r="I150" s="965"/>
      <c r="J150" s="748"/>
      <c r="K150" s="748"/>
    </row>
    <row r="151" spans="2:15" s="723" customFormat="1" x14ac:dyDescent="0.2">
      <c r="B151" s="950"/>
      <c r="C151" s="967" t="s">
        <v>828</v>
      </c>
      <c r="D151" s="960"/>
      <c r="E151" s="961"/>
      <c r="F151" s="968"/>
      <c r="G151" s="969"/>
      <c r="H151" s="953"/>
      <c r="I151" s="965"/>
      <c r="J151" s="748"/>
      <c r="K151" s="748"/>
    </row>
    <row r="152" spans="2:15" s="723" customFormat="1" ht="38.25" x14ac:dyDescent="0.2">
      <c r="B152" s="970"/>
      <c r="C152" s="959" t="s">
        <v>1276</v>
      </c>
      <c r="D152" s="960" t="s">
        <v>149</v>
      </c>
      <c r="E152" s="961">
        <v>1</v>
      </c>
      <c r="F152" s="914">
        <v>0</v>
      </c>
      <c r="G152" s="915">
        <f>E152*F152</f>
        <v>0</v>
      </c>
      <c r="H152" s="953"/>
      <c r="I152" s="965"/>
      <c r="J152" s="748"/>
      <c r="K152" s="748"/>
    </row>
    <row r="153" spans="2:15" s="723" customFormat="1" ht="25.5" x14ac:dyDescent="0.2">
      <c r="B153" s="950"/>
      <c r="C153" s="962" t="s">
        <v>247</v>
      </c>
      <c r="D153" s="960" t="s">
        <v>149</v>
      </c>
      <c r="E153" s="961">
        <v>1</v>
      </c>
      <c r="F153" s="971">
        <v>0</v>
      </c>
      <c r="G153" s="915">
        <f>E153*F153</f>
        <v>0</v>
      </c>
      <c r="H153" s="953"/>
      <c r="I153" s="965"/>
      <c r="J153" s="748"/>
      <c r="K153" s="748"/>
    </row>
    <row r="154" spans="2:15" s="723" customFormat="1" ht="25.5" x14ac:dyDescent="0.2">
      <c r="B154" s="950"/>
      <c r="C154" s="869" t="s">
        <v>1196</v>
      </c>
      <c r="D154" s="960" t="s">
        <v>149</v>
      </c>
      <c r="E154" s="961">
        <v>1</v>
      </c>
      <c r="F154" s="971">
        <v>0</v>
      </c>
      <c r="G154" s="915">
        <f>E154*F154</f>
        <v>0</v>
      </c>
      <c r="H154" s="953"/>
      <c r="I154" s="965"/>
      <c r="J154" s="748"/>
      <c r="K154" s="748"/>
    </row>
    <row r="155" spans="2:15" s="723" customFormat="1" x14ac:dyDescent="0.2">
      <c r="B155" s="950"/>
      <c r="C155" s="955"/>
      <c r="D155" s="956"/>
      <c r="E155" s="957"/>
      <c r="F155" s="958"/>
      <c r="G155" s="958"/>
      <c r="H155" s="953"/>
      <c r="I155" s="965"/>
      <c r="J155" s="748"/>
      <c r="K155" s="748"/>
    </row>
    <row r="156" spans="2:15" s="723" customFormat="1" x14ac:dyDescent="0.2">
      <c r="B156" s="970" t="s">
        <v>199</v>
      </c>
      <c r="C156" s="972" t="s">
        <v>300</v>
      </c>
      <c r="D156" s="973"/>
      <c r="E156" s="974"/>
      <c r="F156" s="975"/>
      <c r="G156" s="976"/>
      <c r="H156" s="953"/>
      <c r="I156" s="965"/>
      <c r="J156" s="748"/>
      <c r="K156" s="748"/>
    </row>
    <row r="157" spans="2:15" s="723" customFormat="1" ht="89.25" x14ac:dyDescent="0.2">
      <c r="B157" s="977"/>
      <c r="C157" s="954" t="s">
        <v>301</v>
      </c>
      <c r="D157" s="960" t="s">
        <v>149</v>
      </c>
      <c r="E157" s="961">
        <v>1</v>
      </c>
      <c r="F157" s="971">
        <v>0</v>
      </c>
      <c r="G157" s="915">
        <f>E157*F157</f>
        <v>0</v>
      </c>
      <c r="H157" s="953"/>
      <c r="I157" s="965"/>
      <c r="J157" s="748"/>
      <c r="K157" s="748"/>
    </row>
    <row r="158" spans="2:15" s="723" customFormat="1" x14ac:dyDescent="0.2">
      <c r="B158" s="978"/>
      <c r="C158" s="979"/>
      <c r="D158" s="980"/>
      <c r="E158" s="981"/>
      <c r="F158" s="982"/>
      <c r="G158" s="983"/>
      <c r="H158" s="744"/>
      <c r="J158" s="748"/>
    </row>
    <row r="159" spans="2:15" s="723" customFormat="1" x14ac:dyDescent="0.2">
      <c r="B159" s="984" t="s">
        <v>17</v>
      </c>
      <c r="C159" s="985" t="s">
        <v>302</v>
      </c>
      <c r="D159" s="986"/>
      <c r="E159" s="987"/>
      <c r="F159" s="988"/>
      <c r="G159" s="876">
        <f>SUM(G111:G157)</f>
        <v>0</v>
      </c>
      <c r="H159" s="744"/>
      <c r="J159" s="748"/>
    </row>
    <row r="160" spans="2:15" s="723" customFormat="1" x14ac:dyDescent="0.2">
      <c r="B160" s="908"/>
      <c r="C160" s="989"/>
      <c r="D160" s="908"/>
      <c r="E160" s="990"/>
      <c r="F160" s="910"/>
      <c r="G160" s="749"/>
      <c r="H160" s="744"/>
      <c r="J160" s="748"/>
    </row>
    <row r="161" spans="2:10" s="723" customFormat="1" x14ac:dyDescent="0.2">
      <c r="B161" s="739"/>
      <c r="C161" s="740"/>
      <c r="D161" s="741"/>
      <c r="E161" s="747"/>
      <c r="F161" s="748"/>
      <c r="G161" s="749"/>
      <c r="H161" s="991"/>
      <c r="J161" s="748"/>
    </row>
    <row r="162" spans="2:10" s="723" customFormat="1" x14ac:dyDescent="0.2">
      <c r="B162" s="739"/>
      <c r="C162" s="740"/>
      <c r="D162" s="741"/>
      <c r="E162" s="747"/>
      <c r="F162" s="748"/>
      <c r="G162" s="749"/>
      <c r="H162" s="991"/>
      <c r="J162" s="748"/>
    </row>
    <row r="163" spans="2:10" s="723" customFormat="1" x14ac:dyDescent="0.2">
      <c r="B163" s="739"/>
      <c r="C163" s="740"/>
      <c r="D163" s="741"/>
      <c r="E163" s="747"/>
      <c r="F163" s="748"/>
      <c r="G163" s="749"/>
      <c r="H163" s="744"/>
      <c r="J163" s="748"/>
    </row>
    <row r="164" spans="2:10" s="723" customFormat="1" x14ac:dyDescent="0.2">
      <c r="B164" s="739"/>
      <c r="C164" s="740"/>
      <c r="D164" s="741"/>
      <c r="E164" s="747"/>
      <c r="F164" s="748"/>
      <c r="G164" s="749"/>
      <c r="H164" s="744"/>
      <c r="J164" s="748"/>
    </row>
    <row r="165" spans="2:10" s="723" customFormat="1" x14ac:dyDescent="0.2">
      <c r="B165" s="739"/>
      <c r="C165" s="740"/>
      <c r="D165" s="741"/>
      <c r="E165" s="747"/>
      <c r="F165" s="748"/>
      <c r="G165" s="749"/>
      <c r="H165" s="744"/>
      <c r="J165" s="748"/>
    </row>
    <row r="166" spans="2:10" s="723" customFormat="1" ht="15" customHeight="1" x14ac:dyDescent="0.2">
      <c r="B166" s="739"/>
      <c r="C166" s="740"/>
      <c r="D166" s="741"/>
      <c r="E166" s="747"/>
      <c r="F166" s="748"/>
      <c r="G166" s="749"/>
      <c r="H166" s="744"/>
      <c r="J166" s="748"/>
    </row>
    <row r="167" spans="2:10" s="723" customFormat="1" x14ac:dyDescent="0.2">
      <c r="B167" s="739"/>
      <c r="C167" s="740"/>
      <c r="D167" s="741"/>
      <c r="E167" s="747"/>
      <c r="F167" s="748"/>
      <c r="G167" s="749"/>
      <c r="H167" s="744"/>
      <c r="J167" s="748"/>
    </row>
    <row r="168" spans="2:10" s="723" customFormat="1" ht="16.5" customHeight="1" x14ac:dyDescent="0.2">
      <c r="B168" s="739"/>
      <c r="C168" s="740"/>
      <c r="D168" s="741"/>
      <c r="E168" s="747"/>
      <c r="F168" s="748"/>
      <c r="G168" s="749"/>
      <c r="H168" s="744"/>
    </row>
    <row r="169" spans="2:10" s="723" customFormat="1" x14ac:dyDescent="0.2">
      <c r="B169" s="739"/>
      <c r="C169" s="740"/>
      <c r="D169" s="741"/>
      <c r="E169" s="747"/>
      <c r="F169" s="748"/>
      <c r="G169" s="749"/>
      <c r="H169" s="744"/>
    </row>
    <row r="170" spans="2:10" s="723" customFormat="1" x14ac:dyDescent="0.2">
      <c r="B170" s="739"/>
      <c r="C170" s="740"/>
      <c r="D170" s="741"/>
      <c r="E170" s="747"/>
      <c r="F170" s="748"/>
      <c r="G170" s="749"/>
      <c r="H170" s="744"/>
    </row>
    <row r="171" spans="2:10" s="723" customFormat="1" x14ac:dyDescent="0.2">
      <c r="B171" s="739"/>
      <c r="C171" s="740"/>
      <c r="D171" s="741"/>
      <c r="E171" s="747"/>
      <c r="F171" s="748"/>
      <c r="G171" s="749"/>
      <c r="H171" s="744"/>
    </row>
    <row r="172" spans="2:10" s="723" customFormat="1" x14ac:dyDescent="0.2">
      <c r="B172" s="739"/>
      <c r="C172" s="740"/>
      <c r="D172" s="741"/>
      <c r="E172" s="747"/>
      <c r="F172" s="748"/>
      <c r="G172" s="749"/>
      <c r="H172" s="744"/>
      <c r="J172" s="748"/>
    </row>
    <row r="173" spans="2:10" s="723" customFormat="1" x14ac:dyDescent="0.2">
      <c r="B173" s="739"/>
      <c r="C173" s="740"/>
      <c r="D173" s="741"/>
      <c r="E173" s="747"/>
      <c r="F173" s="748"/>
      <c r="G173" s="749"/>
      <c r="H173" s="744"/>
      <c r="J173" s="748"/>
    </row>
    <row r="174" spans="2:10" s="723" customFormat="1" x14ac:dyDescent="0.2">
      <c r="B174" s="739"/>
      <c r="C174" s="740"/>
      <c r="D174" s="741"/>
      <c r="E174" s="747"/>
      <c r="F174" s="748"/>
      <c r="G174" s="749"/>
      <c r="H174" s="744"/>
      <c r="J174" s="748"/>
    </row>
    <row r="175" spans="2:10" s="723" customFormat="1" x14ac:dyDescent="0.2">
      <c r="B175" s="739"/>
      <c r="C175" s="740"/>
      <c r="D175" s="741"/>
      <c r="E175" s="747"/>
      <c r="F175" s="748"/>
      <c r="G175" s="749"/>
      <c r="H175" s="744"/>
      <c r="J175" s="748"/>
    </row>
    <row r="176" spans="2:10" s="723" customFormat="1" x14ac:dyDescent="0.2">
      <c r="B176" s="739"/>
      <c r="C176" s="740"/>
      <c r="D176" s="741"/>
      <c r="E176" s="747"/>
      <c r="F176" s="748"/>
      <c r="G176" s="749"/>
      <c r="H176" s="744"/>
      <c r="J176" s="748"/>
    </row>
    <row r="177" spans="2:10" s="723" customFormat="1" x14ac:dyDescent="0.2">
      <c r="B177" s="739"/>
      <c r="C177" s="740"/>
      <c r="D177" s="741"/>
      <c r="E177" s="747"/>
      <c r="F177" s="748"/>
      <c r="G177" s="749"/>
      <c r="H177" s="744"/>
      <c r="J177" s="748"/>
    </row>
    <row r="178" spans="2:10" s="723" customFormat="1" x14ac:dyDescent="0.2">
      <c r="B178" s="739"/>
      <c r="C178" s="740"/>
      <c r="D178" s="741"/>
      <c r="E178" s="747"/>
      <c r="F178" s="748"/>
      <c r="G178" s="749"/>
      <c r="H178" s="744"/>
    </row>
    <row r="179" spans="2:10" s="723" customFormat="1" x14ac:dyDescent="0.2">
      <c r="B179" s="739"/>
      <c r="C179" s="740"/>
      <c r="D179" s="741"/>
      <c r="E179" s="747"/>
      <c r="F179" s="748"/>
      <c r="G179" s="749"/>
      <c r="H179" s="744"/>
    </row>
    <row r="180" spans="2:10" s="723" customFormat="1" x14ac:dyDescent="0.2">
      <c r="B180" s="739"/>
      <c r="C180" s="740"/>
      <c r="D180" s="741"/>
      <c r="E180" s="747"/>
      <c r="F180" s="748"/>
      <c r="G180" s="749"/>
      <c r="H180" s="744"/>
    </row>
    <row r="181" spans="2:10" s="723" customFormat="1" x14ac:dyDescent="0.2">
      <c r="B181" s="739"/>
      <c r="C181" s="740"/>
      <c r="D181" s="741"/>
      <c r="E181" s="747"/>
      <c r="F181" s="748"/>
      <c r="G181" s="749"/>
      <c r="H181" s="744"/>
    </row>
    <row r="182" spans="2:10" s="723" customFormat="1" x14ac:dyDescent="0.2">
      <c r="B182" s="739"/>
      <c r="C182" s="740"/>
      <c r="D182" s="741"/>
      <c r="E182" s="747"/>
      <c r="F182" s="748"/>
      <c r="G182" s="749"/>
      <c r="H182" s="744"/>
      <c r="J182" s="748"/>
    </row>
    <row r="183" spans="2:10" s="723" customFormat="1" x14ac:dyDescent="0.2">
      <c r="B183" s="739"/>
      <c r="C183" s="740"/>
      <c r="D183" s="741"/>
      <c r="E183" s="747"/>
      <c r="F183" s="748"/>
      <c r="G183" s="749"/>
      <c r="H183" s="744"/>
      <c r="J183" s="748"/>
    </row>
    <row r="184" spans="2:10" s="723" customFormat="1" x14ac:dyDescent="0.2">
      <c r="B184" s="739"/>
      <c r="C184" s="740"/>
      <c r="D184" s="741"/>
      <c r="E184" s="747"/>
      <c r="F184" s="748"/>
      <c r="G184" s="749"/>
      <c r="H184" s="744"/>
    </row>
    <row r="185" spans="2:10" s="723" customFormat="1" x14ac:dyDescent="0.2">
      <c r="B185" s="739"/>
      <c r="C185" s="740"/>
      <c r="D185" s="741"/>
      <c r="E185" s="747"/>
      <c r="F185" s="748"/>
      <c r="G185" s="749"/>
      <c r="H185" s="744"/>
      <c r="I185" s="741"/>
    </row>
    <row r="186" spans="2:10" s="723" customFormat="1" x14ac:dyDescent="0.2">
      <c r="B186" s="739"/>
      <c r="C186" s="740"/>
      <c r="D186" s="741"/>
      <c r="E186" s="747"/>
      <c r="F186" s="748"/>
      <c r="G186" s="749"/>
      <c r="H186" s="744"/>
      <c r="I186" s="741"/>
    </row>
    <row r="187" spans="2:10" s="723" customFormat="1" x14ac:dyDescent="0.2">
      <c r="B187" s="739"/>
      <c r="C187" s="740"/>
      <c r="D187" s="741"/>
      <c r="E187" s="747"/>
      <c r="F187" s="748"/>
      <c r="G187" s="749"/>
      <c r="H187" s="744"/>
      <c r="I187" s="741"/>
    </row>
    <row r="188" spans="2:10" s="723" customFormat="1" x14ac:dyDescent="0.2">
      <c r="B188" s="739"/>
      <c r="C188" s="740"/>
      <c r="D188" s="741"/>
      <c r="E188" s="747"/>
      <c r="F188" s="748"/>
      <c r="G188" s="749"/>
      <c r="H188" s="744"/>
      <c r="I188" s="741"/>
    </row>
    <row r="189" spans="2:10" s="723" customFormat="1" x14ac:dyDescent="0.2">
      <c r="B189" s="739"/>
      <c r="C189" s="740"/>
      <c r="D189" s="741"/>
      <c r="E189" s="747"/>
      <c r="F189" s="748"/>
      <c r="G189" s="749"/>
      <c r="H189" s="744"/>
      <c r="I189" s="741"/>
    </row>
    <row r="190" spans="2:10" s="723" customFormat="1" x14ac:dyDescent="0.2">
      <c r="B190" s="739"/>
      <c r="C190" s="740"/>
      <c r="D190" s="741"/>
      <c r="E190" s="747"/>
      <c r="F190" s="748"/>
      <c r="G190" s="749"/>
      <c r="H190" s="744"/>
      <c r="I190" s="741"/>
    </row>
    <row r="191" spans="2:10" s="723" customFormat="1" x14ac:dyDescent="0.2">
      <c r="B191" s="739"/>
      <c r="C191" s="740"/>
      <c r="D191" s="741"/>
      <c r="E191" s="747"/>
      <c r="F191" s="748"/>
      <c r="G191" s="749"/>
      <c r="H191" s="744"/>
      <c r="I191" s="741"/>
    </row>
    <row r="192" spans="2:10" s="723" customFormat="1" x14ac:dyDescent="0.2">
      <c r="B192" s="739"/>
      <c r="C192" s="740"/>
      <c r="D192" s="741"/>
      <c r="E192" s="747"/>
      <c r="F192" s="748"/>
      <c r="G192" s="749"/>
      <c r="H192" s="744"/>
      <c r="I192" s="741"/>
    </row>
    <row r="193" spans="2:9" s="723" customFormat="1" x14ac:dyDescent="0.2">
      <c r="B193" s="739"/>
      <c r="C193" s="740"/>
      <c r="D193" s="741"/>
      <c r="E193" s="747"/>
      <c r="F193" s="748"/>
      <c r="G193" s="749"/>
      <c r="H193" s="744"/>
      <c r="I193" s="741"/>
    </row>
    <row r="194" spans="2:9" s="723" customFormat="1" x14ac:dyDescent="0.2">
      <c r="B194" s="739"/>
      <c r="C194" s="740"/>
      <c r="D194" s="741"/>
      <c r="E194" s="747"/>
      <c r="F194" s="748"/>
      <c r="G194" s="749"/>
      <c r="H194" s="744"/>
      <c r="I194" s="741"/>
    </row>
    <row r="195" spans="2:9" s="723" customFormat="1" x14ac:dyDescent="0.2">
      <c r="B195" s="739"/>
      <c r="C195" s="740"/>
      <c r="D195" s="741"/>
      <c r="E195" s="747"/>
      <c r="F195" s="748"/>
      <c r="G195" s="749"/>
      <c r="H195" s="744"/>
      <c r="I195" s="741"/>
    </row>
    <row r="196" spans="2:9" s="723" customFormat="1" x14ac:dyDescent="0.2">
      <c r="B196" s="739"/>
      <c r="C196" s="740"/>
      <c r="D196" s="741"/>
      <c r="E196" s="747"/>
      <c r="F196" s="748"/>
      <c r="G196" s="749"/>
      <c r="H196" s="744"/>
      <c r="I196" s="741"/>
    </row>
    <row r="197" spans="2:9" s="723" customFormat="1" x14ac:dyDescent="0.2">
      <c r="B197" s="739"/>
      <c r="C197" s="740"/>
      <c r="D197" s="741"/>
      <c r="E197" s="747"/>
      <c r="F197" s="748"/>
      <c r="G197" s="749"/>
      <c r="H197" s="744"/>
      <c r="I197" s="741"/>
    </row>
    <row r="198" spans="2:9" s="723" customFormat="1" ht="12.75" customHeight="1" x14ac:dyDescent="0.2">
      <c r="B198" s="739"/>
      <c r="C198" s="740"/>
      <c r="D198" s="741"/>
      <c r="E198" s="747"/>
      <c r="F198" s="748"/>
      <c r="G198" s="749"/>
      <c r="H198" s="744"/>
      <c r="I198" s="992"/>
    </row>
    <row r="199" spans="2:9" s="723" customFormat="1" x14ac:dyDescent="0.2">
      <c r="B199" s="739"/>
      <c r="C199" s="740"/>
      <c r="D199" s="741"/>
      <c r="E199" s="747"/>
      <c r="F199" s="748"/>
      <c r="G199" s="749"/>
      <c r="H199" s="744"/>
      <c r="I199" s="992"/>
    </row>
    <row r="200" spans="2:9" s="723" customFormat="1" x14ac:dyDescent="0.2">
      <c r="B200" s="739"/>
      <c r="C200" s="740"/>
      <c r="D200" s="741"/>
      <c r="E200" s="747"/>
      <c r="F200" s="748"/>
      <c r="G200" s="749"/>
      <c r="H200" s="744"/>
      <c r="I200" s="741"/>
    </row>
    <row r="201" spans="2:9" s="723" customFormat="1" x14ac:dyDescent="0.2">
      <c r="B201" s="739"/>
      <c r="C201" s="740"/>
      <c r="D201" s="741"/>
      <c r="E201" s="747"/>
      <c r="F201" s="748"/>
      <c r="G201" s="749"/>
      <c r="H201" s="744"/>
      <c r="I201" s="741"/>
    </row>
    <row r="202" spans="2:9" s="723" customFormat="1" x14ac:dyDescent="0.2">
      <c r="B202" s="739"/>
      <c r="C202" s="740"/>
      <c r="D202" s="741"/>
      <c r="E202" s="747"/>
      <c r="F202" s="748"/>
      <c r="G202" s="749"/>
      <c r="H202" s="744"/>
      <c r="I202" s="741"/>
    </row>
    <row r="203" spans="2:9" s="723" customFormat="1" x14ac:dyDescent="0.2">
      <c r="B203" s="739"/>
      <c r="C203" s="740"/>
      <c r="D203" s="741"/>
      <c r="E203" s="747"/>
      <c r="F203" s="748"/>
      <c r="G203" s="749"/>
      <c r="H203" s="744"/>
      <c r="I203" s="741"/>
    </row>
    <row r="204" spans="2:9" s="723" customFormat="1" x14ac:dyDescent="0.2">
      <c r="B204" s="739"/>
      <c r="C204" s="740"/>
      <c r="D204" s="741"/>
      <c r="E204" s="747"/>
      <c r="F204" s="748"/>
      <c r="G204" s="749"/>
      <c r="H204" s="744"/>
      <c r="I204" s="741"/>
    </row>
    <row r="205" spans="2:9" s="723" customFormat="1" x14ac:dyDescent="0.2">
      <c r="B205" s="739"/>
      <c r="C205" s="740"/>
      <c r="D205" s="741"/>
      <c r="E205" s="747"/>
      <c r="F205" s="748"/>
      <c r="G205" s="749"/>
      <c r="H205" s="744"/>
      <c r="I205" s="741"/>
    </row>
    <row r="206" spans="2:9" s="723" customFormat="1" x14ac:dyDescent="0.2">
      <c r="B206" s="739"/>
      <c r="C206" s="740"/>
      <c r="D206" s="741"/>
      <c r="E206" s="747"/>
      <c r="F206" s="748"/>
      <c r="G206" s="749"/>
      <c r="H206" s="744"/>
      <c r="I206" s="741"/>
    </row>
    <row r="207" spans="2:9" s="723" customFormat="1" x14ac:dyDescent="0.2">
      <c r="B207" s="739"/>
      <c r="C207" s="740"/>
      <c r="D207" s="741"/>
      <c r="E207" s="747"/>
      <c r="F207" s="748"/>
      <c r="G207" s="749"/>
      <c r="H207" s="744"/>
      <c r="I207" s="741"/>
    </row>
    <row r="208" spans="2:9" s="723" customFormat="1" ht="12.75" customHeight="1" x14ac:dyDescent="0.2">
      <c r="B208" s="739"/>
      <c r="C208" s="740"/>
      <c r="D208" s="741"/>
      <c r="E208" s="747"/>
      <c r="F208" s="748"/>
      <c r="G208" s="749"/>
      <c r="H208" s="744"/>
      <c r="I208" s="741"/>
    </row>
    <row r="209" spans="2:10" s="723" customFormat="1" x14ac:dyDescent="0.2">
      <c r="B209" s="739"/>
      <c r="C209" s="740"/>
      <c r="D209" s="741"/>
      <c r="E209" s="747"/>
      <c r="F209" s="748"/>
      <c r="G209" s="749"/>
      <c r="H209" s="744"/>
      <c r="I209" s="741"/>
    </row>
    <row r="210" spans="2:10" s="723" customFormat="1" x14ac:dyDescent="0.2">
      <c r="B210" s="739"/>
      <c r="C210" s="740"/>
      <c r="D210" s="741"/>
      <c r="E210" s="747"/>
      <c r="F210" s="748"/>
      <c r="G210" s="749"/>
      <c r="H210" s="744"/>
      <c r="I210" s="741"/>
    </row>
    <row r="211" spans="2:10" s="723" customFormat="1" x14ac:dyDescent="0.2">
      <c r="B211" s="739"/>
      <c r="C211" s="740"/>
      <c r="D211" s="741"/>
      <c r="E211" s="747"/>
      <c r="F211" s="748"/>
      <c r="G211" s="749"/>
      <c r="H211" s="744"/>
      <c r="I211" s="741"/>
    </row>
    <row r="212" spans="2:10" s="723" customFormat="1" x14ac:dyDescent="0.2">
      <c r="B212" s="739"/>
      <c r="C212" s="740"/>
      <c r="D212" s="741"/>
      <c r="E212" s="747"/>
      <c r="F212" s="748"/>
      <c r="G212" s="749"/>
      <c r="H212" s="744"/>
      <c r="I212" s="741"/>
    </row>
    <row r="213" spans="2:10" s="723" customFormat="1" x14ac:dyDescent="0.2">
      <c r="B213" s="739"/>
      <c r="C213" s="740"/>
      <c r="D213" s="741"/>
      <c r="E213" s="747"/>
      <c r="F213" s="748"/>
      <c r="G213" s="749"/>
      <c r="H213" s="744"/>
      <c r="I213" s="741"/>
      <c r="J213" s="741"/>
    </row>
    <row r="214" spans="2:10" s="723" customFormat="1" x14ac:dyDescent="0.2">
      <c r="B214" s="739"/>
      <c r="C214" s="740"/>
      <c r="D214" s="741"/>
      <c r="E214" s="747"/>
      <c r="F214" s="748"/>
      <c r="G214" s="749"/>
      <c r="H214" s="744"/>
      <c r="I214" s="741"/>
      <c r="J214" s="741"/>
    </row>
    <row r="215" spans="2:10" s="723" customFormat="1" x14ac:dyDescent="0.2">
      <c r="B215" s="739"/>
      <c r="C215" s="740"/>
      <c r="D215" s="741"/>
      <c r="E215" s="747"/>
      <c r="F215" s="748"/>
      <c r="G215" s="749"/>
      <c r="H215" s="744"/>
      <c r="I215" s="741"/>
      <c r="J215" s="741"/>
    </row>
    <row r="216" spans="2:10" s="723" customFormat="1" x14ac:dyDescent="0.2">
      <c r="B216" s="739"/>
      <c r="C216" s="740"/>
      <c r="D216" s="741"/>
      <c r="E216" s="747"/>
      <c r="F216" s="748"/>
      <c r="G216" s="749"/>
      <c r="H216" s="744"/>
      <c r="I216" s="741"/>
      <c r="J216" s="741"/>
    </row>
    <row r="217" spans="2:10" s="723" customFormat="1" x14ac:dyDescent="0.2">
      <c r="B217" s="739"/>
      <c r="C217" s="740"/>
      <c r="D217" s="741"/>
      <c r="E217" s="747"/>
      <c r="F217" s="748"/>
      <c r="G217" s="749"/>
      <c r="H217" s="744"/>
      <c r="I217" s="741"/>
      <c r="J217" s="741"/>
    </row>
    <row r="218" spans="2:10" s="723" customFormat="1" x14ac:dyDescent="0.2">
      <c r="B218" s="739"/>
      <c r="C218" s="740"/>
      <c r="D218" s="741"/>
      <c r="E218" s="747"/>
      <c r="F218" s="748"/>
      <c r="G218" s="749"/>
      <c r="H218" s="744"/>
      <c r="I218" s="741"/>
      <c r="J218" s="741"/>
    </row>
    <row r="219" spans="2:10" s="723" customFormat="1" x14ac:dyDescent="0.2">
      <c r="B219" s="739"/>
      <c r="C219" s="740"/>
      <c r="D219" s="741"/>
      <c r="E219" s="747"/>
      <c r="F219" s="748"/>
      <c r="G219" s="749"/>
      <c r="H219" s="744"/>
      <c r="I219" s="741"/>
      <c r="J219" s="741"/>
    </row>
    <row r="220" spans="2:10" s="723" customFormat="1" x14ac:dyDescent="0.2">
      <c r="B220" s="739"/>
      <c r="C220" s="740"/>
      <c r="D220" s="741"/>
      <c r="E220" s="747"/>
      <c r="F220" s="748"/>
      <c r="G220" s="749"/>
      <c r="H220" s="744"/>
      <c r="I220" s="741"/>
      <c r="J220" s="741"/>
    </row>
    <row r="221" spans="2:10" s="723" customFormat="1" x14ac:dyDescent="0.2">
      <c r="B221" s="739"/>
      <c r="C221" s="740"/>
      <c r="D221" s="741"/>
      <c r="E221" s="747"/>
      <c r="F221" s="748"/>
      <c r="G221" s="749"/>
      <c r="H221" s="744"/>
      <c r="I221" s="741"/>
      <c r="J221" s="741"/>
    </row>
    <row r="222" spans="2:10" s="723" customFormat="1" x14ac:dyDescent="0.2">
      <c r="B222" s="739"/>
      <c r="C222" s="740"/>
      <c r="D222" s="741"/>
      <c r="E222" s="747"/>
      <c r="F222" s="748"/>
      <c r="G222" s="749"/>
      <c r="H222" s="744"/>
      <c r="I222" s="741"/>
      <c r="J222" s="741"/>
    </row>
    <row r="223" spans="2:10" s="723" customFormat="1" x14ac:dyDescent="0.2">
      <c r="B223" s="739"/>
      <c r="C223" s="740"/>
      <c r="D223" s="741"/>
      <c r="E223" s="747"/>
      <c r="F223" s="748"/>
      <c r="G223" s="749"/>
      <c r="H223" s="744"/>
      <c r="I223" s="741"/>
      <c r="J223" s="741"/>
    </row>
    <row r="224" spans="2:10" s="723" customFormat="1" x14ac:dyDescent="0.2">
      <c r="B224" s="739"/>
      <c r="C224" s="740"/>
      <c r="D224" s="741"/>
      <c r="E224" s="747"/>
      <c r="F224" s="748"/>
      <c r="G224" s="749"/>
      <c r="H224" s="744"/>
      <c r="I224" s="741"/>
      <c r="J224" s="741"/>
    </row>
    <row r="225" spans="2:15" s="723" customFormat="1" x14ac:dyDescent="0.2">
      <c r="B225" s="739"/>
      <c r="C225" s="740"/>
      <c r="D225" s="741"/>
      <c r="E225" s="747"/>
      <c r="F225" s="748"/>
      <c r="G225" s="749"/>
      <c r="H225" s="744"/>
      <c r="I225" s="741"/>
      <c r="J225" s="741"/>
    </row>
    <row r="226" spans="2:15" s="723" customFormat="1" x14ac:dyDescent="0.2">
      <c r="B226" s="739"/>
      <c r="C226" s="740"/>
      <c r="D226" s="741"/>
      <c r="E226" s="747"/>
      <c r="F226" s="748"/>
      <c r="G226" s="749"/>
      <c r="H226" s="744"/>
      <c r="I226" s="741"/>
      <c r="J226" s="992"/>
    </row>
    <row r="227" spans="2:15" s="723" customFormat="1" x14ac:dyDescent="0.2">
      <c r="B227" s="739"/>
      <c r="C227" s="740"/>
      <c r="D227" s="741"/>
      <c r="E227" s="747"/>
      <c r="F227" s="748"/>
      <c r="G227" s="749"/>
      <c r="H227" s="744"/>
      <c r="I227" s="741"/>
      <c r="J227" s="992"/>
    </row>
    <row r="228" spans="2:15" s="723" customFormat="1" x14ac:dyDescent="0.2">
      <c r="B228" s="739"/>
      <c r="C228" s="740"/>
      <c r="D228" s="741"/>
      <c r="E228" s="747"/>
      <c r="F228" s="748"/>
      <c r="G228" s="749"/>
      <c r="H228" s="744"/>
      <c r="I228" s="741"/>
      <c r="J228" s="741"/>
    </row>
    <row r="229" spans="2:15" s="723" customFormat="1" x14ac:dyDescent="0.2">
      <c r="B229" s="739"/>
      <c r="C229" s="740"/>
      <c r="D229" s="741"/>
      <c r="E229" s="747"/>
      <c r="F229" s="748"/>
      <c r="G229" s="749"/>
      <c r="H229" s="744"/>
      <c r="I229" s="741"/>
      <c r="J229" s="741"/>
    </row>
    <row r="230" spans="2:15" s="723" customFormat="1" x14ac:dyDescent="0.2">
      <c r="B230" s="739"/>
      <c r="C230" s="740"/>
      <c r="D230" s="741"/>
      <c r="E230" s="747"/>
      <c r="F230" s="748"/>
      <c r="G230" s="749"/>
      <c r="H230" s="744"/>
      <c r="I230" s="741"/>
      <c r="J230" s="741"/>
    </row>
    <row r="231" spans="2:15" s="723" customFormat="1" x14ac:dyDescent="0.2">
      <c r="B231" s="739"/>
      <c r="C231" s="740"/>
      <c r="D231" s="741"/>
      <c r="E231" s="747"/>
      <c r="F231" s="748"/>
      <c r="G231" s="749"/>
      <c r="H231" s="744"/>
      <c r="I231" s="741"/>
      <c r="J231" s="741"/>
    </row>
    <row r="232" spans="2:15" s="723" customFormat="1" x14ac:dyDescent="0.2">
      <c r="B232" s="739"/>
      <c r="C232" s="740"/>
      <c r="D232" s="741"/>
      <c r="E232" s="747"/>
      <c r="F232" s="748"/>
      <c r="G232" s="749"/>
      <c r="H232" s="744"/>
      <c r="I232" s="741"/>
      <c r="J232" s="741"/>
    </row>
    <row r="233" spans="2:15" s="723" customFormat="1" x14ac:dyDescent="0.2">
      <c r="B233" s="739"/>
      <c r="C233" s="740"/>
      <c r="D233" s="741"/>
      <c r="E233" s="747"/>
      <c r="F233" s="748"/>
      <c r="G233" s="749"/>
      <c r="H233" s="744"/>
      <c r="I233" s="741"/>
      <c r="J233" s="741"/>
      <c r="K233" s="741"/>
      <c r="L233" s="741"/>
    </row>
    <row r="234" spans="2:15" s="723" customFormat="1" x14ac:dyDescent="0.2">
      <c r="B234" s="739"/>
      <c r="C234" s="740"/>
      <c r="D234" s="741"/>
      <c r="E234" s="747"/>
      <c r="F234" s="748"/>
      <c r="G234" s="749"/>
      <c r="H234" s="744"/>
      <c r="I234" s="741"/>
      <c r="J234" s="741"/>
      <c r="K234" s="741"/>
      <c r="L234" s="741"/>
    </row>
    <row r="235" spans="2:15" s="723" customFormat="1" x14ac:dyDescent="0.2">
      <c r="B235" s="739"/>
      <c r="C235" s="740"/>
      <c r="D235" s="741"/>
      <c r="E235" s="747"/>
      <c r="F235" s="748"/>
      <c r="G235" s="749"/>
      <c r="H235" s="744"/>
      <c r="I235" s="741"/>
      <c r="J235" s="741"/>
      <c r="K235" s="741"/>
      <c r="L235" s="741"/>
    </row>
    <row r="236" spans="2:15" s="723" customFormat="1" x14ac:dyDescent="0.2">
      <c r="B236" s="739"/>
      <c r="C236" s="740"/>
      <c r="D236" s="741"/>
      <c r="E236" s="747"/>
      <c r="F236" s="748"/>
      <c r="G236" s="749"/>
      <c r="H236" s="744"/>
      <c r="I236" s="741"/>
      <c r="J236" s="741"/>
      <c r="K236" s="741"/>
      <c r="L236" s="741"/>
    </row>
    <row r="237" spans="2:15" s="723" customFormat="1" x14ac:dyDescent="0.2">
      <c r="B237" s="739"/>
      <c r="C237" s="740"/>
      <c r="D237" s="741"/>
      <c r="E237" s="747"/>
      <c r="F237" s="748"/>
      <c r="G237" s="749"/>
      <c r="H237" s="744"/>
      <c r="I237" s="741"/>
      <c r="J237" s="741"/>
      <c r="K237" s="741"/>
      <c r="L237" s="741"/>
      <c r="M237" s="741"/>
    </row>
    <row r="238" spans="2:15" s="723" customFormat="1" x14ac:dyDescent="0.2">
      <c r="B238" s="739"/>
      <c r="C238" s="740"/>
      <c r="D238" s="741"/>
      <c r="E238" s="747"/>
      <c r="F238" s="748"/>
      <c r="G238" s="749"/>
      <c r="H238" s="744"/>
      <c r="I238" s="741"/>
      <c r="J238" s="741"/>
      <c r="K238" s="741"/>
      <c r="L238" s="741"/>
      <c r="M238" s="741"/>
    </row>
    <row r="239" spans="2:15" s="723" customFormat="1" x14ac:dyDescent="0.2">
      <c r="B239" s="739"/>
      <c r="C239" s="740"/>
      <c r="D239" s="741"/>
      <c r="E239" s="747"/>
      <c r="F239" s="748"/>
      <c r="G239" s="749"/>
      <c r="H239" s="744"/>
      <c r="I239" s="741"/>
      <c r="J239" s="741"/>
      <c r="K239" s="741"/>
      <c r="L239" s="741"/>
      <c r="M239" s="741"/>
      <c r="N239" s="741"/>
      <c r="O239" s="741"/>
    </row>
    <row r="246" spans="2:15" x14ac:dyDescent="0.2">
      <c r="K246" s="992"/>
      <c r="L246" s="992"/>
    </row>
    <row r="247" spans="2:15" x14ac:dyDescent="0.2">
      <c r="K247" s="992"/>
      <c r="L247" s="992"/>
    </row>
    <row r="250" spans="2:15" x14ac:dyDescent="0.2">
      <c r="M250" s="992"/>
    </row>
    <row r="251" spans="2:15" x14ac:dyDescent="0.2">
      <c r="M251" s="992"/>
    </row>
    <row r="252" spans="2:15" x14ac:dyDescent="0.2">
      <c r="N252" s="992"/>
      <c r="O252" s="992"/>
    </row>
    <row r="253" spans="2:15" s="992" customFormat="1" x14ac:dyDescent="0.2">
      <c r="B253" s="739"/>
      <c r="C253" s="740"/>
      <c r="D253" s="741"/>
      <c r="E253" s="747"/>
      <c r="F253" s="748"/>
      <c r="G253" s="749"/>
      <c r="H253" s="744"/>
      <c r="I253" s="741"/>
      <c r="J253" s="741"/>
      <c r="K253" s="741"/>
      <c r="L253" s="741"/>
      <c r="M253" s="741"/>
    </row>
    <row r="254" spans="2:15" s="992" customFormat="1" x14ac:dyDescent="0.2">
      <c r="B254" s="739"/>
      <c r="C254" s="740"/>
      <c r="D254" s="741"/>
      <c r="E254" s="747"/>
      <c r="F254" s="748"/>
      <c r="G254" s="749"/>
      <c r="H254" s="744"/>
      <c r="I254" s="741"/>
      <c r="J254" s="741"/>
      <c r="K254" s="741"/>
      <c r="L254" s="741"/>
      <c r="M254" s="741"/>
      <c r="N254" s="741"/>
      <c r="O254" s="741"/>
    </row>
    <row r="259" ht="43.5" customHeight="1" x14ac:dyDescent="0.2"/>
  </sheetData>
  <mergeCells count="5">
    <mergeCell ref="C6:F6"/>
    <mergeCell ref="B56:G56"/>
    <mergeCell ref="B106:G106"/>
    <mergeCell ref="B107:G107"/>
    <mergeCell ref="B108:G108"/>
  </mergeCells>
  <pageMargins left="0.7" right="0.7" top="0.75" bottom="0.75" header="0.3" footer="0.3"/>
  <pageSetup paperSize="9" orientation="portrait" r:id="rId1"/>
  <headerFooter alignWithMargins="0"/>
  <rowBreaks count="3" manualBreakCount="3">
    <brk id="18" max="16383" man="1"/>
    <brk id="54" max="16383" man="1"/>
    <brk id="10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3F37E-4AB9-47CE-A58F-50C933EE7DD6}">
  <sheetPr>
    <tabColor theme="0" tint="-0.14999847407452621"/>
  </sheetPr>
  <dimension ref="A2:AA43"/>
  <sheetViews>
    <sheetView showZeros="0" zoomScale="110" zoomScaleNormal="110" zoomScaleSheetLayoutView="100" workbookViewId="0">
      <selection activeCell="G41" sqref="G41"/>
    </sheetView>
  </sheetViews>
  <sheetFormatPr defaultColWidth="10.42578125" defaultRowHeight="12.75" x14ac:dyDescent="0.2"/>
  <cols>
    <col min="1" max="1" width="4.42578125" style="121" customWidth="1"/>
    <col min="2" max="2" width="7.42578125" style="120" customWidth="1"/>
    <col min="3" max="3" width="45.140625" style="188" customWidth="1"/>
    <col min="4" max="4" width="10.42578125" style="189" customWidth="1"/>
    <col min="5" max="5" width="7.5703125" style="464" customWidth="1"/>
    <col min="6" max="6" width="7.7109375" style="465" customWidth="1"/>
    <col min="7" max="7" width="18.285156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27" s="723" customFormat="1" ht="15.75" x14ac:dyDescent="0.2">
      <c r="B2" s="660"/>
      <c r="C2" s="721" t="s">
        <v>59</v>
      </c>
      <c r="D2" s="661"/>
      <c r="E2" s="662"/>
      <c r="F2" s="663"/>
      <c r="G2" s="722"/>
    </row>
    <row r="4" spans="1:27" s="1737" customFormat="1" x14ac:dyDescent="0.2">
      <c r="B4" s="1738" t="s">
        <v>7</v>
      </c>
      <c r="C4" s="1739" t="s">
        <v>1697</v>
      </c>
      <c r="D4" s="1740"/>
      <c r="E4" s="1741"/>
      <c r="F4" s="1742"/>
      <c r="G4" s="1743"/>
    </row>
    <row r="5" spans="1:27" s="1737" customFormat="1" ht="12" customHeight="1" x14ac:dyDescent="0.2">
      <c r="B5" s="1744"/>
      <c r="C5" s="1745"/>
      <c r="D5" s="1746"/>
      <c r="E5" s="1747"/>
      <c r="F5" s="1748"/>
      <c r="G5" s="1749"/>
    </row>
    <row r="6" spans="1:27" s="139" customFormat="1" ht="18" customHeight="1" x14ac:dyDescent="0.2">
      <c r="A6" s="140"/>
      <c r="B6" s="143" t="s">
        <v>1</v>
      </c>
      <c r="C6" s="168"/>
      <c r="D6" s="170"/>
      <c r="E6" s="170"/>
      <c r="F6" s="170"/>
      <c r="G6" s="169"/>
    </row>
    <row r="7" spans="1:27" s="139" customFormat="1" ht="18" customHeight="1" x14ac:dyDescent="0.25">
      <c r="A7" s="141"/>
      <c r="B7" s="144" t="s">
        <v>2</v>
      </c>
      <c r="C7" s="171"/>
      <c r="D7" s="173"/>
      <c r="E7" s="173"/>
      <c r="F7" s="173"/>
      <c r="G7" s="172"/>
    </row>
    <row r="8" spans="1:27" s="139" customFormat="1" ht="18" customHeight="1" x14ac:dyDescent="0.2">
      <c r="A8" s="140"/>
      <c r="B8" s="143" t="s">
        <v>3</v>
      </c>
      <c r="C8" s="168"/>
      <c r="D8" s="170"/>
      <c r="E8" s="170"/>
      <c r="F8" s="170"/>
      <c r="G8" s="169"/>
    </row>
    <row r="9" spans="1:27" s="139" customFormat="1" ht="18" customHeight="1" x14ac:dyDescent="0.25">
      <c r="A9" s="141"/>
      <c r="B9" s="144" t="s">
        <v>4</v>
      </c>
      <c r="C9" s="171"/>
      <c r="D9" s="173"/>
      <c r="E9" s="173"/>
      <c r="F9" s="173"/>
      <c r="G9" s="172"/>
    </row>
    <row r="10" spans="1:27" s="1750" customFormat="1" ht="14.25" x14ac:dyDescent="0.2">
      <c r="B10" s="1754"/>
      <c r="C10" s="1755"/>
      <c r="D10" s="1756"/>
      <c r="E10" s="1757"/>
      <c r="F10" s="1758"/>
      <c r="G10" s="1759"/>
      <c r="H10" s="1751"/>
      <c r="I10" s="1751"/>
      <c r="J10" s="1751"/>
    </row>
    <row r="11" spans="1:27" ht="23.25" customHeight="1" x14ac:dyDescent="0.2">
      <c r="B11" s="33"/>
      <c r="C11" s="32" t="s">
        <v>61</v>
      </c>
      <c r="D11" s="323"/>
      <c r="E11" s="324"/>
      <c r="F11" s="325"/>
      <c r="G11" s="2794" t="s">
        <v>64</v>
      </c>
      <c r="H11" s="565"/>
    </row>
    <row r="12" spans="1:27" ht="23.25" customHeight="1" x14ac:dyDescent="0.2">
      <c r="B12" s="1727" t="s">
        <v>6</v>
      </c>
      <c r="C12" s="575" t="s">
        <v>62</v>
      </c>
      <c r="D12" s="3179" t="s">
        <v>1697</v>
      </c>
      <c r="E12" s="3179"/>
      <c r="F12" s="3180"/>
      <c r="G12" s="576" t="s">
        <v>2523</v>
      </c>
      <c r="H12" s="565"/>
    </row>
    <row r="13" spans="1:27" s="1763" customFormat="1" ht="23.25" customHeight="1" x14ac:dyDescent="0.2">
      <c r="B13" s="1735"/>
      <c r="C13" s="2716" t="s">
        <v>864</v>
      </c>
      <c r="D13" s="2714"/>
      <c r="E13" s="2714"/>
      <c r="F13" s="2715"/>
      <c r="G13" s="1961"/>
      <c r="H13" s="1737"/>
      <c r="I13" s="1737"/>
      <c r="J13" s="1737"/>
      <c r="K13" s="1737"/>
      <c r="L13" s="1737"/>
      <c r="M13" s="1737"/>
      <c r="N13" s="1737"/>
      <c r="O13" s="1737"/>
      <c r="P13" s="1737"/>
      <c r="Q13" s="1737"/>
      <c r="R13" s="1737"/>
      <c r="S13" s="1737"/>
      <c r="T13" s="1737"/>
      <c r="U13" s="1737"/>
      <c r="V13" s="1737"/>
      <c r="W13" s="1737"/>
      <c r="X13" s="1737"/>
      <c r="Y13" s="1737"/>
      <c r="Z13" s="1737"/>
      <c r="AA13" s="1737"/>
    </row>
    <row r="14" spans="1:27" s="1763" customFormat="1" ht="23.25" customHeight="1" x14ac:dyDescent="0.2">
      <c r="B14" s="1765" t="s">
        <v>8</v>
      </c>
      <c r="C14" s="1766" t="s">
        <v>1698</v>
      </c>
      <c r="D14" s="1767"/>
      <c r="E14" s="1768"/>
      <c r="F14" s="1769"/>
      <c r="G14" s="1722">
        <f>'Rogašovci_VGG-R'!G18</f>
        <v>0</v>
      </c>
      <c r="H14" s="1737"/>
      <c r="I14" s="1737"/>
      <c r="J14" s="1737"/>
      <c r="K14" s="1737"/>
      <c r="L14" s="1737"/>
      <c r="M14" s="1737"/>
      <c r="N14" s="1737"/>
      <c r="O14" s="1737"/>
      <c r="P14" s="1737"/>
      <c r="Q14" s="1737"/>
      <c r="R14" s="1737"/>
      <c r="S14" s="1737"/>
      <c r="T14" s="1737"/>
      <c r="U14" s="1737"/>
      <c r="V14" s="1737"/>
      <c r="W14" s="1737"/>
      <c r="X14" s="1737"/>
      <c r="Y14" s="1737"/>
      <c r="Z14" s="1737"/>
      <c r="AA14" s="1737"/>
    </row>
    <row r="15" spans="1:27" s="1763" customFormat="1" ht="23.25" customHeight="1" x14ac:dyDescent="0.2">
      <c r="B15" s="1735"/>
      <c r="C15" s="3176" t="s">
        <v>11</v>
      </c>
      <c r="D15" s="3177"/>
      <c r="E15" s="3177"/>
      <c r="F15" s="3178"/>
      <c r="G15" s="1966">
        <f>SUM(G14)</f>
        <v>0</v>
      </c>
      <c r="H15" s="1737"/>
      <c r="I15" s="1737"/>
      <c r="J15" s="1737"/>
      <c r="K15" s="1737"/>
      <c r="L15" s="1737"/>
      <c r="M15" s="1737"/>
      <c r="N15" s="1737"/>
      <c r="O15" s="1737"/>
      <c r="P15" s="1737"/>
      <c r="Q15" s="1737"/>
      <c r="R15" s="1737"/>
      <c r="S15" s="1737"/>
      <c r="T15" s="1737"/>
      <c r="U15" s="1737"/>
      <c r="V15" s="1737"/>
      <c r="W15" s="1737"/>
      <c r="X15" s="1737"/>
      <c r="Y15" s="1737"/>
      <c r="Z15" s="1737"/>
      <c r="AA15" s="1737"/>
    </row>
    <row r="16" spans="1:27" s="1763" customFormat="1" ht="23.25" customHeight="1" x14ac:dyDescent="0.2">
      <c r="B16" s="1735"/>
      <c r="C16" s="2716" t="s">
        <v>71</v>
      </c>
      <c r="D16" s="2714"/>
      <c r="E16" s="2714"/>
      <c r="F16" s="2715"/>
      <c r="G16" s="1966"/>
      <c r="H16" s="1737"/>
      <c r="I16" s="1737"/>
      <c r="J16" s="1737"/>
      <c r="K16" s="1737"/>
      <c r="L16" s="1737"/>
      <c r="M16" s="1737"/>
      <c r="N16" s="1737"/>
      <c r="O16" s="1737"/>
      <c r="P16" s="1737"/>
      <c r="Q16" s="1737"/>
      <c r="R16" s="1737"/>
      <c r="S16" s="1737"/>
      <c r="T16" s="1737"/>
      <c r="U16" s="1737"/>
      <c r="V16" s="1737"/>
      <c r="W16" s="1737"/>
      <c r="X16" s="1737"/>
      <c r="Y16" s="1737"/>
      <c r="Z16" s="1737"/>
      <c r="AA16" s="1737"/>
    </row>
    <row r="17" spans="2:27" s="1763" customFormat="1" ht="18.75" customHeight="1" x14ac:dyDescent="0.2">
      <c r="B17" s="1765" t="s">
        <v>8</v>
      </c>
      <c r="C17" s="1766" t="s">
        <v>1699</v>
      </c>
      <c r="D17" s="1767"/>
      <c r="E17" s="1768"/>
      <c r="F17" s="1769"/>
      <c r="G17" s="1722">
        <f>Rogašovci_VRS!G18</f>
        <v>0</v>
      </c>
      <c r="H17" s="1737"/>
      <c r="I17" s="1737"/>
      <c r="J17" s="1737"/>
      <c r="K17" s="1737"/>
      <c r="L17" s="1737"/>
      <c r="M17" s="1737"/>
      <c r="N17" s="1737"/>
      <c r="O17" s="1737"/>
      <c r="P17" s="1737"/>
      <c r="Q17" s="1737"/>
      <c r="R17" s="1737"/>
      <c r="S17" s="1737"/>
      <c r="T17" s="1737"/>
      <c r="U17" s="1737"/>
      <c r="V17" s="1737"/>
      <c r="W17" s="1737"/>
      <c r="X17" s="1737"/>
      <c r="Y17" s="1737"/>
      <c r="Z17" s="1737"/>
      <c r="AA17" s="1737"/>
    </row>
    <row r="18" spans="2:27" s="1763" customFormat="1" ht="18.75" customHeight="1" x14ac:dyDescent="0.2">
      <c r="B18" s="1765" t="s">
        <v>15</v>
      </c>
      <c r="C18" s="1766" t="s">
        <v>1700</v>
      </c>
      <c r="D18" s="1767"/>
      <c r="E18" s="1768"/>
      <c r="F18" s="1769"/>
      <c r="G18" s="1722">
        <f>Rogašovci_VSN!G18</f>
        <v>0</v>
      </c>
      <c r="H18" s="1737"/>
      <c r="I18" s="1737"/>
      <c r="J18" s="1737"/>
      <c r="K18" s="1737"/>
      <c r="L18" s="1737"/>
      <c r="M18" s="1737"/>
      <c r="N18" s="1737"/>
      <c r="O18" s="1737"/>
      <c r="P18" s="1737"/>
      <c r="Q18" s="1737"/>
      <c r="R18" s="1737"/>
      <c r="S18" s="1737"/>
      <c r="T18" s="1737"/>
      <c r="U18" s="1737"/>
      <c r="V18" s="1737"/>
      <c r="W18" s="1737"/>
      <c r="X18" s="1737"/>
      <c r="Y18" s="1737"/>
      <c r="Z18" s="1737"/>
      <c r="AA18" s="1737"/>
    </row>
    <row r="19" spans="2:27" s="1763" customFormat="1" ht="18.75" customHeight="1" x14ac:dyDescent="0.2">
      <c r="B19" s="1765" t="s">
        <v>20</v>
      </c>
      <c r="C19" s="3283" t="s">
        <v>2529</v>
      </c>
      <c r="D19" s="3284"/>
      <c r="E19" s="1768"/>
      <c r="F19" s="1769"/>
      <c r="G19" s="1722">
        <f>'Rogašovci_VKK VFK'!G18</f>
        <v>0</v>
      </c>
      <c r="H19" s="1737"/>
      <c r="I19" s="1737"/>
      <c r="J19" s="1737"/>
      <c r="K19" s="1737"/>
      <c r="L19" s="1737"/>
      <c r="M19" s="1737"/>
      <c r="N19" s="1737"/>
      <c r="O19" s="1737"/>
      <c r="P19" s="1737"/>
      <c r="Q19" s="1737"/>
      <c r="R19" s="1737"/>
      <c r="S19" s="1737"/>
      <c r="T19" s="1737"/>
      <c r="U19" s="1737"/>
      <c r="V19" s="1737"/>
      <c r="W19" s="1737"/>
      <c r="X19" s="1737"/>
      <c r="Y19" s="1737"/>
      <c r="Z19" s="1737"/>
      <c r="AA19" s="1737"/>
    </row>
    <row r="20" spans="2:27" s="1763" customFormat="1" ht="18.75" customHeight="1" x14ac:dyDescent="0.2">
      <c r="B20" s="1765" t="s">
        <v>24</v>
      </c>
      <c r="C20" s="1766" t="s">
        <v>1701</v>
      </c>
      <c r="D20" s="1767"/>
      <c r="E20" s="1768"/>
      <c r="F20" s="1769"/>
      <c r="G20" s="1722">
        <f>Rogašovci_VSO!G18</f>
        <v>0</v>
      </c>
      <c r="H20" s="1737"/>
      <c r="I20" s="1737"/>
      <c r="J20" s="1737"/>
      <c r="K20" s="1737"/>
      <c r="L20" s="1737"/>
      <c r="M20" s="1737"/>
      <c r="N20" s="1737"/>
      <c r="O20" s="1737"/>
      <c r="P20" s="1737"/>
      <c r="Q20" s="1737"/>
      <c r="R20" s="1737"/>
      <c r="S20" s="1737"/>
      <c r="T20" s="1737"/>
      <c r="U20" s="1737"/>
      <c r="V20" s="1737"/>
      <c r="W20" s="1737"/>
      <c r="X20" s="1737"/>
      <c r="Y20" s="1737"/>
      <c r="Z20" s="1737"/>
      <c r="AA20" s="1737"/>
    </row>
    <row r="21" spans="2:27" s="1763" customFormat="1" ht="18.75" customHeight="1" x14ac:dyDescent="0.2">
      <c r="B21" s="1765" t="s">
        <v>29</v>
      </c>
      <c r="C21" s="1766" t="s">
        <v>1702</v>
      </c>
      <c r="D21" s="1767"/>
      <c r="E21" s="1768"/>
      <c r="F21" s="1769"/>
      <c r="G21" s="1722">
        <f>'Rogašovci_SR-4_26'!G18</f>
        <v>0</v>
      </c>
      <c r="H21" s="1737"/>
      <c r="I21" s="1737"/>
      <c r="J21" s="1737"/>
      <c r="K21" s="1737"/>
      <c r="L21" s="1737"/>
      <c r="M21" s="1737"/>
      <c r="N21" s="1737"/>
      <c r="O21" s="1737"/>
      <c r="P21" s="1737"/>
      <c r="Q21" s="1737"/>
      <c r="R21" s="1737"/>
      <c r="S21" s="1737"/>
      <c r="T21" s="1737"/>
      <c r="U21" s="1737"/>
      <c r="V21" s="1737"/>
      <c r="W21" s="1737"/>
      <c r="X21" s="1737"/>
      <c r="Y21" s="1737"/>
      <c r="Z21" s="1737"/>
      <c r="AA21" s="1737"/>
    </row>
    <row r="22" spans="2:27" s="1763" customFormat="1" ht="18.75" customHeight="1" x14ac:dyDescent="0.2">
      <c r="B22" s="1765" t="s">
        <v>33</v>
      </c>
      <c r="C22" s="1766" t="s">
        <v>1703</v>
      </c>
      <c r="D22" s="1767"/>
      <c r="E22" s="1768"/>
      <c r="F22" s="1769"/>
      <c r="G22" s="1722">
        <f>'Rogašovci_SR-5_8'!G18</f>
        <v>0</v>
      </c>
      <c r="H22" s="1737"/>
      <c r="I22" s="1737"/>
      <c r="J22" s="1737"/>
      <c r="K22" s="1737"/>
      <c r="L22" s="1737"/>
      <c r="M22" s="1737"/>
      <c r="N22" s="1737"/>
      <c r="O22" s="1737"/>
      <c r="P22" s="1737"/>
      <c r="Q22" s="1737"/>
      <c r="R22" s="1737"/>
      <c r="S22" s="1737"/>
      <c r="T22" s="1737"/>
      <c r="U22" s="1737"/>
      <c r="V22" s="1737"/>
      <c r="W22" s="1737"/>
      <c r="X22" s="1737"/>
      <c r="Y22" s="1737"/>
      <c r="Z22" s="1737"/>
      <c r="AA22" s="1737"/>
    </row>
    <row r="23" spans="2:27" s="1763" customFormat="1" ht="18.75" customHeight="1" x14ac:dyDescent="0.2">
      <c r="B23" s="1765" t="s">
        <v>38</v>
      </c>
      <c r="C23" s="1766" t="s">
        <v>1704</v>
      </c>
      <c r="D23" s="1767"/>
      <c r="E23" s="1768"/>
      <c r="F23" s="1769"/>
      <c r="G23" s="1722">
        <f>'Rogašovci_SR-4_10 '!G18</f>
        <v>0</v>
      </c>
      <c r="H23" s="1737"/>
      <c r="I23" s="1737"/>
      <c r="J23" s="1737"/>
      <c r="K23" s="1737"/>
      <c r="L23" s="1737"/>
      <c r="M23" s="1737"/>
      <c r="N23" s="1737"/>
      <c r="O23" s="1737"/>
      <c r="P23" s="1737"/>
      <c r="Q23" s="1737"/>
      <c r="R23" s="1737"/>
      <c r="S23" s="1737"/>
      <c r="T23" s="1737"/>
      <c r="U23" s="1737"/>
      <c r="V23" s="1737"/>
      <c r="W23" s="1737"/>
      <c r="X23" s="1737"/>
      <c r="Y23" s="1737"/>
      <c r="Z23" s="1737"/>
      <c r="AA23" s="1737"/>
    </row>
    <row r="24" spans="2:27" s="1763" customFormat="1" ht="18.75" customHeight="1" x14ac:dyDescent="0.2">
      <c r="B24" s="1765" t="s">
        <v>43</v>
      </c>
      <c r="C24" s="1766" t="s">
        <v>1705</v>
      </c>
      <c r="D24" s="1767"/>
      <c r="E24" s="1768"/>
      <c r="F24" s="1769"/>
      <c r="G24" s="1722">
        <f>'Rogašovci_SR-5_7'!G18</f>
        <v>0</v>
      </c>
      <c r="H24" s="1737"/>
      <c r="I24" s="1737"/>
      <c r="J24" s="1737"/>
      <c r="K24" s="1737"/>
      <c r="L24" s="1737"/>
      <c r="M24" s="1737"/>
      <c r="N24" s="1737"/>
      <c r="O24" s="1737"/>
      <c r="P24" s="1737"/>
      <c r="Q24" s="1737"/>
      <c r="R24" s="1737"/>
      <c r="S24" s="1737"/>
      <c r="T24" s="1737"/>
      <c r="U24" s="1737"/>
      <c r="V24" s="1737"/>
      <c r="W24" s="1737"/>
      <c r="X24" s="1737"/>
      <c r="Y24" s="1737"/>
      <c r="Z24" s="1737"/>
      <c r="AA24" s="1737"/>
    </row>
    <row r="25" spans="2:27" s="1763" customFormat="1" ht="18.75" customHeight="1" x14ac:dyDescent="0.2">
      <c r="B25" s="1765" t="s">
        <v>562</v>
      </c>
      <c r="C25" s="1766" t="s">
        <v>1706</v>
      </c>
      <c r="D25" s="1767"/>
      <c r="E25" s="1768"/>
      <c r="F25" s="1769"/>
      <c r="G25" s="1722">
        <f>'Rogašovci_SR-5_1'!G18</f>
        <v>0</v>
      </c>
      <c r="H25" s="1737"/>
      <c r="I25" s="1737"/>
      <c r="J25" s="1737"/>
      <c r="K25" s="1737"/>
      <c r="L25" s="1737"/>
      <c r="M25" s="1737"/>
      <c r="N25" s="1737"/>
      <c r="O25" s="1737"/>
      <c r="P25" s="1737"/>
      <c r="Q25" s="1737"/>
      <c r="R25" s="1737"/>
      <c r="S25" s="1737"/>
      <c r="T25" s="1737"/>
      <c r="U25" s="1737"/>
      <c r="V25" s="1737"/>
      <c r="W25" s="1737"/>
      <c r="X25" s="1737"/>
      <c r="Y25" s="1737"/>
      <c r="Z25" s="1737"/>
      <c r="AA25" s="1737"/>
    </row>
    <row r="26" spans="2:27" s="1763" customFormat="1" ht="19.5" customHeight="1" x14ac:dyDescent="0.2">
      <c r="B26" s="1765" t="s">
        <v>564</v>
      </c>
      <c r="C26" s="1766" t="s">
        <v>1707</v>
      </c>
      <c r="D26" s="1767"/>
      <c r="E26" s="1768"/>
      <c r="F26" s="1769"/>
      <c r="G26" s="1722">
        <f>'Rogašovci_SR-4_6'!G18</f>
        <v>0</v>
      </c>
    </row>
    <row r="27" spans="2:27" s="1763" customFormat="1" ht="18.75" customHeight="1" x14ac:dyDescent="0.2">
      <c r="B27" s="1765" t="s">
        <v>566</v>
      </c>
      <c r="C27" s="1766" t="s">
        <v>1708</v>
      </c>
      <c r="D27" s="1767"/>
      <c r="E27" s="1768"/>
      <c r="F27" s="1769"/>
      <c r="G27" s="1722">
        <f>Rogašovci_VRP!G18</f>
        <v>0</v>
      </c>
      <c r="H27" s="1737"/>
      <c r="I27" s="1737"/>
      <c r="J27" s="1737"/>
      <c r="K27" s="1737"/>
      <c r="L27" s="1737"/>
      <c r="M27" s="1737"/>
      <c r="N27" s="1737"/>
      <c r="O27" s="1737"/>
      <c r="P27" s="1737"/>
      <c r="Q27" s="1737"/>
      <c r="R27" s="1737"/>
      <c r="S27" s="1737"/>
      <c r="T27" s="1737"/>
      <c r="U27" s="1737"/>
      <c r="V27" s="1737"/>
      <c r="W27" s="1737"/>
      <c r="X27" s="1737"/>
      <c r="Y27" s="1737"/>
      <c r="Z27" s="1737"/>
      <c r="AA27" s="1737"/>
    </row>
    <row r="28" spans="2:27" s="1763" customFormat="1" ht="18.75" customHeight="1" x14ac:dyDescent="0.2">
      <c r="B28" s="1765" t="s">
        <v>568</v>
      </c>
      <c r="C28" s="1766" t="s">
        <v>1709</v>
      </c>
      <c r="D28" s="1767"/>
      <c r="E28" s="1768"/>
      <c r="F28" s="1769"/>
      <c r="G28" s="1722">
        <f>'Rogašovci_SR-1_7'!G18</f>
        <v>0</v>
      </c>
      <c r="H28" s="1737"/>
      <c r="I28" s="1737"/>
      <c r="J28" s="1737"/>
      <c r="K28" s="1737"/>
      <c r="L28" s="1737"/>
      <c r="M28" s="1737"/>
      <c r="N28" s="1737"/>
      <c r="O28" s="1737"/>
      <c r="P28" s="1737"/>
      <c r="Q28" s="1737"/>
      <c r="R28" s="1737"/>
      <c r="S28" s="1737"/>
      <c r="T28" s="1737"/>
      <c r="U28" s="1737"/>
      <c r="V28" s="1737"/>
      <c r="W28" s="1737"/>
      <c r="X28" s="1737"/>
      <c r="Y28" s="1737"/>
      <c r="Z28" s="1737"/>
      <c r="AA28" s="1737"/>
    </row>
    <row r="29" spans="2:27" s="1763" customFormat="1" ht="18.75" customHeight="1" x14ac:dyDescent="0.2">
      <c r="B29" s="1765" t="s">
        <v>570</v>
      </c>
      <c r="C29" s="1766" t="s">
        <v>1710</v>
      </c>
      <c r="D29" s="1767"/>
      <c r="E29" s="1768"/>
      <c r="F29" s="1769"/>
      <c r="G29" s="1722">
        <f>'Rogašovci_SR-2_1'!G18</f>
        <v>0</v>
      </c>
      <c r="H29" s="1737"/>
      <c r="I29" s="1737"/>
      <c r="J29" s="1737"/>
      <c r="K29" s="1737"/>
      <c r="L29" s="1737"/>
      <c r="M29" s="1737"/>
      <c r="N29" s="1737"/>
      <c r="O29" s="1737"/>
      <c r="P29" s="1737"/>
      <c r="Q29" s="1737"/>
      <c r="R29" s="1737"/>
      <c r="S29" s="1737"/>
      <c r="T29" s="1737"/>
      <c r="U29" s="1737"/>
      <c r="V29" s="1737"/>
      <c r="W29" s="1737"/>
      <c r="X29" s="1737"/>
      <c r="Y29" s="1737"/>
      <c r="Z29" s="1737"/>
      <c r="AA29" s="1737"/>
    </row>
    <row r="30" spans="2:27" s="1763" customFormat="1" ht="18.75" customHeight="1" x14ac:dyDescent="0.2">
      <c r="B30" s="1765" t="s">
        <v>572</v>
      </c>
      <c r="C30" s="1766" t="s">
        <v>1711</v>
      </c>
      <c r="D30" s="1767"/>
      <c r="E30" s="1768"/>
      <c r="F30" s="1769"/>
      <c r="G30" s="1722">
        <f>'Rogašovci_SR-2_9'!G18</f>
        <v>0</v>
      </c>
      <c r="H30" s="1737"/>
      <c r="I30" s="1737"/>
      <c r="J30" s="1737"/>
      <c r="K30" s="1737"/>
      <c r="L30" s="1737"/>
      <c r="M30" s="1737"/>
      <c r="N30" s="1737"/>
      <c r="O30" s="1737"/>
      <c r="P30" s="1737"/>
      <c r="Q30" s="1737"/>
      <c r="R30" s="1737"/>
      <c r="S30" s="1737"/>
      <c r="T30" s="1737"/>
      <c r="U30" s="1737"/>
      <c r="V30" s="1737"/>
      <c r="W30" s="1737"/>
      <c r="X30" s="1737"/>
      <c r="Y30" s="1737"/>
      <c r="Z30" s="1737"/>
      <c r="AA30" s="1737"/>
    </row>
    <row r="31" spans="2:27" s="1763" customFormat="1" ht="18.75" customHeight="1" x14ac:dyDescent="0.2">
      <c r="B31" s="1765" t="s">
        <v>574</v>
      </c>
      <c r="C31" s="1766" t="s">
        <v>1712</v>
      </c>
      <c r="D31" s="1767"/>
      <c r="E31" s="1768"/>
      <c r="F31" s="1769"/>
      <c r="G31" s="1722">
        <f>'Rogašovci_VH Sotina'!G20</f>
        <v>0</v>
      </c>
      <c r="H31" s="1737"/>
      <c r="I31" s="1737"/>
      <c r="J31" s="1737"/>
      <c r="K31" s="1737"/>
      <c r="L31" s="1737"/>
      <c r="M31" s="1737"/>
      <c r="N31" s="1737"/>
      <c r="O31" s="1737"/>
      <c r="P31" s="1737"/>
      <c r="Q31" s="1737"/>
      <c r="R31" s="1737"/>
      <c r="S31" s="1737"/>
      <c r="T31" s="1737"/>
      <c r="U31" s="1737"/>
      <c r="V31" s="1737"/>
      <c r="W31" s="1737"/>
      <c r="X31" s="1737"/>
      <c r="Y31" s="1737"/>
      <c r="Z31" s="1737"/>
      <c r="AA31" s="1737"/>
    </row>
    <row r="32" spans="2:27" s="1763" customFormat="1" ht="18.75" customHeight="1" x14ac:dyDescent="0.2">
      <c r="B32" s="1765" t="s">
        <v>576</v>
      </c>
      <c r="C32" s="1766" t="s">
        <v>1713</v>
      </c>
      <c r="D32" s="1770"/>
      <c r="E32" s="1771"/>
      <c r="F32" s="1772"/>
      <c r="G32" s="1722">
        <f>'Rogašovci_ČRP Buček'!G20</f>
        <v>0</v>
      </c>
      <c r="H32" s="1737"/>
      <c r="I32" s="1737"/>
      <c r="J32" s="1737"/>
      <c r="K32" s="1737"/>
      <c r="L32" s="1737"/>
      <c r="M32" s="1737"/>
      <c r="N32" s="1737"/>
      <c r="O32" s="1737"/>
      <c r="P32" s="1737"/>
      <c r="Q32" s="1737"/>
      <c r="R32" s="1737"/>
      <c r="S32" s="1737"/>
      <c r="T32" s="1737"/>
      <c r="U32" s="1737"/>
      <c r="V32" s="1737"/>
      <c r="W32" s="1737"/>
      <c r="X32" s="1737"/>
      <c r="Y32" s="1737"/>
      <c r="Z32" s="1737"/>
      <c r="AA32" s="1737"/>
    </row>
    <row r="33" spans="2:27" s="1763" customFormat="1" ht="18.75" customHeight="1" x14ac:dyDescent="0.2">
      <c r="B33" s="1765" t="s">
        <v>578</v>
      </c>
      <c r="C33" s="1357" t="s">
        <v>2530</v>
      </c>
      <c r="D33" s="318"/>
      <c r="E33" s="319"/>
      <c r="F33" s="317"/>
      <c r="G33" s="1724">
        <f>'Rogašovci_VH Nuskova'!G17</f>
        <v>0</v>
      </c>
      <c r="H33" s="1737"/>
      <c r="I33" s="1737"/>
      <c r="J33" s="1737"/>
      <c r="K33" s="1737"/>
      <c r="L33" s="1737"/>
      <c r="M33" s="1737"/>
      <c r="N33" s="1737"/>
      <c r="O33" s="1737"/>
      <c r="P33" s="1737"/>
      <c r="Q33" s="1737"/>
      <c r="R33" s="1737"/>
      <c r="S33" s="1737"/>
      <c r="T33" s="1737"/>
      <c r="U33" s="1737"/>
      <c r="V33" s="1737"/>
      <c r="W33" s="1737"/>
      <c r="X33" s="1737"/>
      <c r="Y33" s="1737"/>
      <c r="Z33" s="1737"/>
      <c r="AA33" s="1737"/>
    </row>
    <row r="34" spans="2:27" s="1763" customFormat="1" ht="18.75" customHeight="1" x14ac:dyDescent="0.2">
      <c r="B34" s="1765" t="s">
        <v>580</v>
      </c>
      <c r="C34" s="1357" t="s">
        <v>2533</v>
      </c>
      <c r="D34" s="318"/>
      <c r="E34" s="319"/>
      <c r="F34" s="317"/>
      <c r="G34" s="1724">
        <f>'Rogašovci_VH Večeslavci'!G17</f>
        <v>0</v>
      </c>
      <c r="H34" s="1737"/>
      <c r="I34" s="1737"/>
      <c r="J34" s="1737"/>
      <c r="K34" s="1737"/>
      <c r="L34" s="1737"/>
      <c r="M34" s="1737"/>
      <c r="N34" s="1737"/>
      <c r="O34" s="1737"/>
      <c r="P34" s="1737"/>
      <c r="Q34" s="1737"/>
      <c r="R34" s="1737"/>
      <c r="S34" s="1737"/>
      <c r="T34" s="1737"/>
      <c r="U34" s="1737"/>
      <c r="V34" s="1737"/>
      <c r="W34" s="1737"/>
      <c r="X34" s="1737"/>
      <c r="Y34" s="1737"/>
      <c r="Z34" s="1737"/>
      <c r="AA34" s="1737"/>
    </row>
    <row r="35" spans="2:27" s="1763" customFormat="1" ht="18.75" customHeight="1" x14ac:dyDescent="0.2">
      <c r="B35" s="1765" t="s">
        <v>582</v>
      </c>
      <c r="C35" s="1916" t="s">
        <v>1714</v>
      </c>
      <c r="D35" s="116"/>
      <c r="E35" s="118"/>
      <c r="F35" s="117"/>
      <c r="G35" s="1724">
        <f>'Rogašovci_RT-5'!G19</f>
        <v>0</v>
      </c>
      <c r="H35" s="1737"/>
      <c r="I35" s="1737"/>
      <c r="J35" s="1737"/>
      <c r="K35" s="1737"/>
      <c r="L35" s="1737"/>
      <c r="M35" s="1737"/>
      <c r="N35" s="1737"/>
      <c r="O35" s="1737"/>
      <c r="P35" s="1737"/>
      <c r="Q35" s="1737"/>
      <c r="R35" s="1737"/>
      <c r="S35" s="1737"/>
      <c r="T35" s="1737"/>
      <c r="U35" s="1737"/>
      <c r="V35" s="1737"/>
      <c r="W35" s="1737"/>
      <c r="X35" s="1737"/>
      <c r="Y35" s="1737"/>
      <c r="Z35" s="1737"/>
      <c r="AA35" s="1737"/>
    </row>
    <row r="36" spans="2:27" s="1763" customFormat="1" ht="18.75" customHeight="1" x14ac:dyDescent="0.2">
      <c r="B36" s="1735"/>
      <c r="C36" s="3176" t="s">
        <v>73</v>
      </c>
      <c r="D36" s="3177"/>
      <c r="E36" s="3177"/>
      <c r="F36" s="3178"/>
      <c r="G36" s="1966">
        <f>SUM(G17:G35)</f>
        <v>0</v>
      </c>
      <c r="H36" s="1737"/>
      <c r="I36" s="1737"/>
      <c r="J36" s="1737"/>
      <c r="K36" s="1737"/>
      <c r="L36" s="1737"/>
      <c r="M36" s="1737"/>
      <c r="N36" s="1737"/>
      <c r="O36" s="1737"/>
      <c r="P36" s="1737"/>
      <c r="Q36" s="1737"/>
      <c r="R36" s="1737"/>
      <c r="S36" s="1737"/>
      <c r="T36" s="1737"/>
      <c r="U36" s="1737"/>
      <c r="V36" s="1737"/>
      <c r="W36" s="1737"/>
      <c r="X36" s="1737"/>
      <c r="Y36" s="1737"/>
      <c r="Z36" s="1737"/>
      <c r="AA36" s="1737"/>
    </row>
    <row r="37" spans="2:27" s="1763" customFormat="1" ht="18.75" customHeight="1" x14ac:dyDescent="0.2">
      <c r="B37" s="1735"/>
      <c r="C37" s="2716" t="s">
        <v>74</v>
      </c>
      <c r="D37" s="2714"/>
      <c r="E37" s="2714"/>
      <c r="F37" s="2715"/>
      <c r="G37" s="1966"/>
      <c r="H37" s="1737"/>
      <c r="I37" s="1737"/>
      <c r="J37" s="1737"/>
      <c r="K37" s="1737"/>
      <c r="L37" s="1737"/>
      <c r="M37" s="1737"/>
      <c r="N37" s="1737"/>
      <c r="O37" s="1737"/>
      <c r="P37" s="1737"/>
      <c r="Q37" s="1737"/>
      <c r="R37" s="1737"/>
      <c r="S37" s="1737"/>
      <c r="T37" s="1737"/>
      <c r="U37" s="1737"/>
      <c r="V37" s="1737"/>
      <c r="W37" s="1737"/>
      <c r="X37" s="1737"/>
      <c r="Y37" s="1737"/>
      <c r="Z37" s="1737"/>
      <c r="AA37" s="1737"/>
    </row>
    <row r="38" spans="2:27" s="1763" customFormat="1" ht="18.75" customHeight="1" x14ac:dyDescent="0.2">
      <c r="B38" s="1765" t="s">
        <v>8</v>
      </c>
      <c r="C38" s="1766" t="s">
        <v>1715</v>
      </c>
      <c r="D38" s="1767"/>
      <c r="E38" s="1768"/>
      <c r="F38" s="1769"/>
      <c r="G38" s="1722">
        <f>'Rogašovci_SR-3_7'!G18</f>
        <v>0</v>
      </c>
      <c r="H38" s="1737"/>
      <c r="I38" s="1737"/>
      <c r="J38" s="1737"/>
      <c r="K38" s="1737"/>
      <c r="L38" s="1737"/>
      <c r="M38" s="1737"/>
      <c r="N38" s="1737"/>
      <c r="O38" s="1737"/>
      <c r="P38" s="1737"/>
      <c r="Q38" s="1737"/>
      <c r="R38" s="1737"/>
      <c r="S38" s="1737"/>
      <c r="T38" s="1737"/>
      <c r="U38" s="1737"/>
      <c r="V38" s="1737"/>
      <c r="W38" s="1737"/>
      <c r="X38" s="1737"/>
      <c r="Y38" s="1737"/>
      <c r="Z38" s="1737"/>
      <c r="AA38" s="1737"/>
    </row>
    <row r="39" spans="2:27" s="1763" customFormat="1" ht="18.75" customHeight="1" x14ac:dyDescent="0.2">
      <c r="B39" s="1765" t="s">
        <v>15</v>
      </c>
      <c r="C39" s="1766" t="s">
        <v>1716</v>
      </c>
      <c r="D39" s="1767"/>
      <c r="E39" s="1768"/>
      <c r="F39" s="1769"/>
      <c r="G39" s="1722">
        <f>'Rogašovci_SR-3_8.1'!G18</f>
        <v>0</v>
      </c>
      <c r="H39" s="1737"/>
      <c r="I39" s="1737"/>
      <c r="J39" s="1737"/>
      <c r="K39" s="1737"/>
      <c r="L39" s="1737"/>
      <c r="M39" s="1737"/>
      <c r="N39" s="1737"/>
      <c r="O39" s="1737"/>
      <c r="P39" s="1737"/>
      <c r="Q39" s="1737"/>
      <c r="R39" s="1737"/>
      <c r="S39" s="1737"/>
      <c r="T39" s="1737"/>
      <c r="U39" s="1737"/>
      <c r="V39" s="1737"/>
      <c r="W39" s="1737"/>
      <c r="X39" s="1737"/>
      <c r="Y39" s="1737"/>
      <c r="Z39" s="1737"/>
      <c r="AA39" s="1737"/>
    </row>
    <row r="40" spans="2:27" s="1763" customFormat="1" ht="18.75" customHeight="1" x14ac:dyDescent="0.2">
      <c r="B40" s="1765" t="s">
        <v>20</v>
      </c>
      <c r="C40" s="1766" t="s">
        <v>1717</v>
      </c>
      <c r="D40" s="1767"/>
      <c r="E40" s="1768"/>
      <c r="F40" s="1769"/>
      <c r="G40" s="1722">
        <f>'Rogašovci_SR-4_15'!G18</f>
        <v>0</v>
      </c>
      <c r="H40" s="1737"/>
      <c r="I40" s="1737"/>
      <c r="J40" s="1737"/>
      <c r="K40" s="1737"/>
      <c r="L40" s="1737"/>
      <c r="M40" s="1737"/>
      <c r="N40" s="1737"/>
      <c r="O40" s="1737"/>
      <c r="P40" s="1737"/>
      <c r="Q40" s="1737"/>
      <c r="R40" s="1737"/>
      <c r="S40" s="1737"/>
      <c r="T40" s="1737"/>
      <c r="U40" s="1737"/>
      <c r="V40" s="1737"/>
      <c r="W40" s="1737"/>
      <c r="X40" s="1737"/>
      <c r="Y40" s="1737"/>
      <c r="Z40" s="1737"/>
      <c r="AA40" s="1737"/>
    </row>
    <row r="41" spans="2:27" s="1763" customFormat="1" ht="18.75" customHeight="1" x14ac:dyDescent="0.2">
      <c r="B41" s="1735"/>
      <c r="C41" s="3176" t="s">
        <v>78</v>
      </c>
      <c r="D41" s="3177"/>
      <c r="E41" s="3177"/>
      <c r="F41" s="3178"/>
      <c r="G41" s="1966">
        <f>SUM(G38:G40)</f>
        <v>0</v>
      </c>
      <c r="H41" s="1737"/>
      <c r="I41" s="1737"/>
      <c r="J41" s="1737"/>
      <c r="K41" s="1737"/>
      <c r="L41" s="1737"/>
      <c r="M41" s="1737"/>
      <c r="N41" s="1737"/>
      <c r="O41" s="1737"/>
      <c r="P41" s="1737"/>
      <c r="Q41" s="1737"/>
      <c r="R41" s="1737"/>
      <c r="S41" s="1737"/>
      <c r="T41" s="1737"/>
      <c r="U41" s="1737"/>
      <c r="V41" s="1737"/>
      <c r="W41" s="1737"/>
      <c r="X41" s="1737"/>
      <c r="Y41" s="1737"/>
      <c r="Z41" s="1737"/>
      <c r="AA41" s="1737"/>
    </row>
    <row r="42" spans="2:27" s="1763" customFormat="1" ht="18.75" customHeight="1" x14ac:dyDescent="0.2">
      <c r="B42" s="1773"/>
      <c r="C42" s="1774" t="s">
        <v>79</v>
      </c>
      <c r="D42" s="1760"/>
      <c r="E42" s="1761"/>
      <c r="F42" s="1762"/>
      <c r="G42" s="1725">
        <f>G15+G36+G41</f>
        <v>0</v>
      </c>
      <c r="H42" s="1737"/>
      <c r="I42" s="1737"/>
      <c r="J42" s="1737"/>
      <c r="K42" s="1737"/>
      <c r="L42" s="1737"/>
      <c r="M42" s="1737"/>
      <c r="N42" s="1737"/>
      <c r="O42" s="1737"/>
      <c r="P42" s="1737"/>
      <c r="Q42" s="1737"/>
      <c r="R42" s="1737"/>
      <c r="S42" s="1737"/>
      <c r="T42" s="1737"/>
      <c r="U42" s="1737"/>
      <c r="V42" s="1737"/>
      <c r="W42" s="1737"/>
      <c r="X42" s="1737"/>
      <c r="Y42" s="1737"/>
      <c r="Z42" s="1737"/>
      <c r="AA42" s="1737"/>
    </row>
    <row r="43" spans="2:27" x14ac:dyDescent="0.2">
      <c r="B43" s="127"/>
      <c r="C43" s="183"/>
      <c r="D43" s="184"/>
      <c r="E43" s="461"/>
      <c r="F43" s="462"/>
    </row>
  </sheetData>
  <mergeCells count="5">
    <mergeCell ref="D12:F12"/>
    <mergeCell ref="C15:F15"/>
    <mergeCell ref="C36:F36"/>
    <mergeCell ref="C41:F41"/>
    <mergeCell ref="C19:D19"/>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BD3C8-5DDA-4549-817E-A5D267C4C09F}">
  <sheetPr>
    <tabColor theme="0" tint="-0.14999847407452621"/>
  </sheetPr>
  <dimension ref="A2:L183"/>
  <sheetViews>
    <sheetView showZeros="0" topLeftCell="A59" zoomScale="110" zoomScaleNormal="110" zoomScaleSheetLayoutView="100" workbookViewId="0">
      <selection activeCell="C67" sqref="C67"/>
    </sheetView>
  </sheetViews>
  <sheetFormatPr defaultColWidth="10.42578125" defaultRowHeight="12.75" x14ac:dyDescent="0.2"/>
  <cols>
    <col min="1" max="1" width="2.1406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1718</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G79</f>
        <v>0</v>
      </c>
      <c r="H16" s="569"/>
    </row>
    <row r="17" spans="2:8" s="1792" customFormat="1" ht="18.75" customHeight="1" x14ac:dyDescent="0.25">
      <c r="B17" s="1793" t="s">
        <v>17</v>
      </c>
      <c r="C17" s="1794" t="s">
        <v>87</v>
      </c>
      <c r="D17" s="1795"/>
      <c r="E17" s="1796"/>
      <c r="F17" s="1797"/>
      <c r="G17" s="474">
        <f>G183</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1602</v>
      </c>
      <c r="F24" s="467">
        <v>0</v>
      </c>
      <c r="G24" s="352">
        <f t="shared" ref="G24" si="0">E24*F24</f>
        <v>0</v>
      </c>
    </row>
    <row r="25" spans="2:8" x14ac:dyDescent="0.2">
      <c r="B25" s="129">
        <v>2</v>
      </c>
      <c r="C25" s="206" t="s">
        <v>96</v>
      </c>
      <c r="D25" s="207" t="s">
        <v>95</v>
      </c>
      <c r="E25" s="353">
        <f>E24</f>
        <v>1602</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3</v>
      </c>
      <c r="F30" s="467">
        <v>0</v>
      </c>
      <c r="G30" s="352">
        <f t="shared" si="1"/>
        <v>0</v>
      </c>
    </row>
    <row r="31" spans="2:8" ht="41.25" customHeight="1" x14ac:dyDescent="0.2">
      <c r="B31" s="129">
        <v>8</v>
      </c>
      <c r="C31" s="3165" t="s">
        <v>2590</v>
      </c>
      <c r="D31" s="210" t="s">
        <v>95</v>
      </c>
      <c r="E31" s="353">
        <v>1666</v>
      </c>
      <c r="F31" s="467">
        <v>0</v>
      </c>
      <c r="G31" s="352">
        <f t="shared" si="1"/>
        <v>0</v>
      </c>
      <c r="H31" s="571"/>
    </row>
    <row r="32" spans="2:8" ht="27.75" customHeight="1" x14ac:dyDescent="0.2">
      <c r="B32" s="129">
        <v>9</v>
      </c>
      <c r="C32" s="3165" t="s">
        <v>2591</v>
      </c>
      <c r="D32" s="210" t="s">
        <v>95</v>
      </c>
      <c r="E32" s="353">
        <v>1666</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c r="I41" s="1263"/>
    </row>
    <row r="42" spans="2:12" ht="24" x14ac:dyDescent="0.2">
      <c r="B42" s="131">
        <v>1</v>
      </c>
      <c r="C42" s="206" t="s">
        <v>111</v>
      </c>
      <c r="D42" s="207" t="s">
        <v>112</v>
      </c>
      <c r="E42" s="353">
        <f>(1666*1*1.4*0.07)</f>
        <v>163.268</v>
      </c>
      <c r="F42" s="467">
        <v>0</v>
      </c>
      <c r="G42" s="352">
        <f t="shared" ref="G42:G74" si="2">E42*F42</f>
        <v>0</v>
      </c>
      <c r="I42" s="132"/>
    </row>
    <row r="43" spans="2:12" ht="36" x14ac:dyDescent="0.2">
      <c r="B43" s="131">
        <v>2</v>
      </c>
      <c r="C43" s="206" t="s">
        <v>113</v>
      </c>
      <c r="D43" s="207" t="s">
        <v>95</v>
      </c>
      <c r="E43" s="353">
        <f>0.6*1666</f>
        <v>999.59999999999991</v>
      </c>
      <c r="F43" s="467">
        <v>0</v>
      </c>
      <c r="G43" s="352">
        <f t="shared" si="2"/>
        <v>0</v>
      </c>
      <c r="I43" s="132"/>
    </row>
    <row r="44" spans="2:12" ht="36" x14ac:dyDescent="0.2">
      <c r="B44" s="131">
        <v>3</v>
      </c>
      <c r="C44" s="206" t="s">
        <v>114</v>
      </c>
      <c r="D44" s="209" t="s">
        <v>112</v>
      </c>
      <c r="E44" s="353">
        <f>((1666*1*1.4)-E42)*0.1</f>
        <v>216.91319999999996</v>
      </c>
      <c r="F44" s="467">
        <v>0</v>
      </c>
      <c r="G44" s="352">
        <f t="shared" si="2"/>
        <v>0</v>
      </c>
      <c r="I44" s="133"/>
      <c r="K44" s="134"/>
      <c r="L44" s="134"/>
    </row>
    <row r="45" spans="2:12" ht="36" x14ac:dyDescent="0.2">
      <c r="B45" s="131">
        <v>4</v>
      </c>
      <c r="C45" s="206" t="s">
        <v>115</v>
      </c>
      <c r="D45" s="209" t="s">
        <v>112</v>
      </c>
      <c r="E45" s="353">
        <f>((1666*1*1.4)-E42)*0.9</f>
        <v>1952.2187999999996</v>
      </c>
      <c r="F45" s="467">
        <v>0</v>
      </c>
      <c r="G45" s="352">
        <f t="shared" si="2"/>
        <v>0</v>
      </c>
      <c r="I45" s="133"/>
      <c r="J45" s="134"/>
    </row>
    <row r="46" spans="2:12" ht="24" x14ac:dyDescent="0.2">
      <c r="B46" s="131">
        <v>5</v>
      </c>
      <c r="C46" s="311" t="s">
        <v>116</v>
      </c>
      <c r="D46" s="219" t="s">
        <v>117</v>
      </c>
      <c r="E46" s="471">
        <f>1666*1.4</f>
        <v>2332.3999999999996</v>
      </c>
      <c r="F46" s="467">
        <v>0</v>
      </c>
      <c r="G46" s="352">
        <f t="shared" si="2"/>
        <v>0</v>
      </c>
      <c r="I46" s="1364"/>
    </row>
    <row r="47" spans="2:12" ht="36" x14ac:dyDescent="0.2">
      <c r="B47" s="131">
        <v>6</v>
      </c>
      <c r="C47" s="206" t="s">
        <v>118</v>
      </c>
      <c r="D47" s="209" t="s">
        <v>117</v>
      </c>
      <c r="E47" s="353">
        <f>1666*1</f>
        <v>1666</v>
      </c>
      <c r="F47" s="467">
        <v>0</v>
      </c>
      <c r="G47" s="352">
        <f t="shared" si="2"/>
        <v>0</v>
      </c>
      <c r="I47" s="1364"/>
    </row>
    <row r="48" spans="2:12" ht="24" x14ac:dyDescent="0.2">
      <c r="B48" s="131">
        <v>7</v>
      </c>
      <c r="C48" s="206" t="s">
        <v>304</v>
      </c>
      <c r="D48" s="209" t="s">
        <v>112</v>
      </c>
      <c r="E48" s="353">
        <f>1666*1*0.3</f>
        <v>499.79999999999995</v>
      </c>
      <c r="F48" s="467">
        <v>0</v>
      </c>
      <c r="G48" s="352">
        <f t="shared" si="2"/>
        <v>0</v>
      </c>
      <c r="I48" s="133"/>
      <c r="J48" s="1365"/>
    </row>
    <row r="49" spans="2:12" ht="24" x14ac:dyDescent="0.2">
      <c r="B49" s="131">
        <v>8</v>
      </c>
      <c r="C49" s="206" t="s">
        <v>119</v>
      </c>
      <c r="D49" s="209" t="s">
        <v>112</v>
      </c>
      <c r="E49" s="353">
        <v>1128.46</v>
      </c>
      <c r="F49" s="467">
        <v>0</v>
      </c>
      <c r="G49" s="352">
        <f t="shared" si="2"/>
        <v>0</v>
      </c>
      <c r="I49" s="134"/>
      <c r="K49" s="1365"/>
    </row>
    <row r="50" spans="2:12" ht="36" x14ac:dyDescent="0.2">
      <c r="B50" s="131">
        <v>9</v>
      </c>
      <c r="C50" s="208" t="s">
        <v>120</v>
      </c>
      <c r="D50" s="209" t="s">
        <v>112</v>
      </c>
      <c r="E50" s="353">
        <v>319.5</v>
      </c>
      <c r="F50" s="467">
        <v>0</v>
      </c>
      <c r="G50" s="352">
        <f t="shared" si="2"/>
        <v>0</v>
      </c>
      <c r="I50" s="1365"/>
      <c r="J50" s="1365"/>
      <c r="K50" s="1365"/>
    </row>
    <row r="51" spans="2:12" s="130" customFormat="1" ht="36" x14ac:dyDescent="0.2">
      <c r="B51" s="131">
        <v>10</v>
      </c>
      <c r="C51" s="314" t="s">
        <v>121</v>
      </c>
      <c r="D51" s="210" t="s">
        <v>112</v>
      </c>
      <c r="E51" s="353">
        <v>384.64</v>
      </c>
      <c r="F51" s="467">
        <v>0</v>
      </c>
      <c r="G51" s="352">
        <f t="shared" si="2"/>
        <v>0</v>
      </c>
      <c r="H51" s="565"/>
      <c r="I51" s="1263"/>
      <c r="J51" s="1263"/>
      <c r="K51" s="1263"/>
      <c r="L51" s="1263"/>
    </row>
    <row r="52" spans="2:12" s="147" customFormat="1" ht="48" x14ac:dyDescent="0.25">
      <c r="B52" s="3187">
        <v>11</v>
      </c>
      <c r="C52" s="308" t="s">
        <v>122</v>
      </c>
      <c r="D52" s="210"/>
      <c r="E52" s="353"/>
      <c r="F52" s="467"/>
      <c r="G52" s="352"/>
      <c r="H52" s="572"/>
      <c r="I52" s="490"/>
      <c r="J52" s="490"/>
      <c r="L52" s="490"/>
    </row>
    <row r="53" spans="2:12" s="147" customFormat="1" x14ac:dyDescent="0.25">
      <c r="B53" s="3188"/>
      <c r="C53" s="308" t="s">
        <v>124</v>
      </c>
      <c r="D53" s="207" t="s">
        <v>95</v>
      </c>
      <c r="E53" s="353">
        <v>65</v>
      </c>
      <c r="F53" s="467">
        <v>0</v>
      </c>
      <c r="G53" s="352">
        <f t="shared" si="2"/>
        <v>0</v>
      </c>
      <c r="H53" s="572"/>
      <c r="I53" s="490"/>
      <c r="J53" s="490"/>
    </row>
    <row r="54" spans="2:12" s="147" customFormat="1" x14ac:dyDescent="0.25">
      <c r="B54" s="3189"/>
      <c r="C54" s="308" t="s">
        <v>305</v>
      </c>
      <c r="D54" s="207" t="s">
        <v>95</v>
      </c>
      <c r="E54" s="353">
        <v>25</v>
      </c>
      <c r="F54" s="467">
        <v>0</v>
      </c>
      <c r="G54" s="352">
        <f t="shared" si="2"/>
        <v>0</v>
      </c>
      <c r="H54" s="572"/>
    </row>
    <row r="55" spans="2:12" ht="24" x14ac:dyDescent="0.2">
      <c r="B55" s="131">
        <v>12</v>
      </c>
      <c r="C55" s="206" t="s">
        <v>125</v>
      </c>
      <c r="D55" s="209" t="s">
        <v>95</v>
      </c>
      <c r="E55" s="353">
        <v>548</v>
      </c>
      <c r="F55" s="467">
        <v>0</v>
      </c>
      <c r="G55" s="352">
        <f t="shared" si="2"/>
        <v>0</v>
      </c>
      <c r="H55" s="571"/>
      <c r="I55" s="1365"/>
    </row>
    <row r="56" spans="2:12" ht="24" x14ac:dyDescent="0.2">
      <c r="B56" s="131">
        <v>13</v>
      </c>
      <c r="C56" s="206" t="s">
        <v>126</v>
      </c>
      <c r="D56" s="207" t="s">
        <v>117</v>
      </c>
      <c r="E56" s="353">
        <v>574.4</v>
      </c>
      <c r="F56" s="467">
        <v>0</v>
      </c>
      <c r="G56" s="352">
        <f t="shared" si="2"/>
        <v>0</v>
      </c>
      <c r="H56" s="571"/>
    </row>
    <row r="57" spans="2:12" ht="48" x14ac:dyDescent="0.2">
      <c r="B57" s="131">
        <v>14</v>
      </c>
      <c r="C57" s="206" t="s">
        <v>127</v>
      </c>
      <c r="D57" s="207" t="s">
        <v>117</v>
      </c>
      <c r="E57" s="353">
        <f>E56</f>
        <v>574.4</v>
      </c>
      <c r="F57" s="467">
        <v>0</v>
      </c>
      <c r="G57" s="352">
        <f t="shared" si="2"/>
        <v>0</v>
      </c>
      <c r="H57" s="571"/>
      <c r="I57" s="1365"/>
    </row>
    <row r="58" spans="2:12" ht="60" x14ac:dyDescent="0.2">
      <c r="B58" s="131">
        <v>15</v>
      </c>
      <c r="C58" s="314" t="s">
        <v>706</v>
      </c>
      <c r="D58" s="209" t="s">
        <v>117</v>
      </c>
      <c r="E58" s="353">
        <v>212.7</v>
      </c>
      <c r="F58" s="467">
        <v>0</v>
      </c>
      <c r="G58" s="352">
        <f t="shared" si="2"/>
        <v>0</v>
      </c>
      <c r="H58" s="571"/>
      <c r="I58" s="1365"/>
      <c r="J58" s="1365"/>
    </row>
    <row r="59" spans="2:12" ht="48" x14ac:dyDescent="0.2">
      <c r="B59" s="312" t="s">
        <v>576</v>
      </c>
      <c r="C59" s="208" t="s">
        <v>129</v>
      </c>
      <c r="D59" s="209" t="s">
        <v>117</v>
      </c>
      <c r="E59" s="353">
        <v>198.6</v>
      </c>
      <c r="F59" s="467">
        <v>0</v>
      </c>
      <c r="G59" s="352">
        <f t="shared" si="2"/>
        <v>0</v>
      </c>
      <c r="H59" s="571"/>
      <c r="I59" s="1365"/>
    </row>
    <row r="60" spans="2:12" ht="60" x14ac:dyDescent="0.2">
      <c r="B60" s="312" t="s">
        <v>578</v>
      </c>
      <c r="C60" s="208" t="s">
        <v>708</v>
      </c>
      <c r="D60" s="209" t="s">
        <v>117</v>
      </c>
      <c r="E60" s="353">
        <v>198.6</v>
      </c>
      <c r="F60" s="467">
        <v>0</v>
      </c>
      <c r="G60" s="352">
        <f t="shared" si="2"/>
        <v>0</v>
      </c>
      <c r="H60" s="571"/>
      <c r="I60" s="1365"/>
    </row>
    <row r="61" spans="2:12" ht="72" x14ac:dyDescent="0.2">
      <c r="B61" s="312" t="s">
        <v>580</v>
      </c>
      <c r="C61" s="208" t="s">
        <v>711</v>
      </c>
      <c r="D61" s="209" t="s">
        <v>117</v>
      </c>
      <c r="E61" s="353">
        <v>163.1</v>
      </c>
      <c r="F61" s="467">
        <v>0</v>
      </c>
      <c r="G61" s="352">
        <f>E61*F61</f>
        <v>0</v>
      </c>
      <c r="H61" s="571"/>
    </row>
    <row r="62" spans="2:12" ht="36" x14ac:dyDescent="0.2">
      <c r="B62" s="131">
        <v>19</v>
      </c>
      <c r="C62" s="206" t="s">
        <v>132</v>
      </c>
      <c r="D62" s="207" t="s">
        <v>117</v>
      </c>
      <c r="E62" s="353">
        <v>115.8</v>
      </c>
      <c r="F62" s="467">
        <v>0</v>
      </c>
      <c r="G62" s="352">
        <f t="shared" si="2"/>
        <v>0</v>
      </c>
    </row>
    <row r="63" spans="2:12" x14ac:dyDescent="0.2">
      <c r="B63" s="131">
        <v>20</v>
      </c>
      <c r="C63" s="206" t="s">
        <v>134</v>
      </c>
      <c r="D63" s="209" t="s">
        <v>112</v>
      </c>
      <c r="E63" s="353">
        <v>1203.94</v>
      </c>
      <c r="F63" s="467">
        <v>0</v>
      </c>
      <c r="G63" s="352">
        <f t="shared" si="2"/>
        <v>0</v>
      </c>
      <c r="I63" s="1365"/>
    </row>
    <row r="64" spans="2:12" x14ac:dyDescent="0.2">
      <c r="B64" s="131">
        <v>21</v>
      </c>
      <c r="C64" s="206" t="s">
        <v>135</v>
      </c>
      <c r="D64" s="209" t="s">
        <v>112</v>
      </c>
      <c r="E64" s="353">
        <f>E63</f>
        <v>1203.94</v>
      </c>
      <c r="F64" s="467">
        <v>0</v>
      </c>
      <c r="G64" s="352">
        <f t="shared" si="2"/>
        <v>0</v>
      </c>
    </row>
    <row r="65" spans="2:9" ht="24" x14ac:dyDescent="0.2">
      <c r="B65" s="131">
        <v>22</v>
      </c>
      <c r="C65" s="206" t="s">
        <v>136</v>
      </c>
      <c r="D65" s="209" t="s">
        <v>117</v>
      </c>
      <c r="E65" s="353">
        <v>764.4</v>
      </c>
      <c r="F65" s="467">
        <v>0</v>
      </c>
      <c r="G65" s="352">
        <f t="shared" si="2"/>
        <v>0</v>
      </c>
    </row>
    <row r="66" spans="2:9" ht="24" x14ac:dyDescent="0.2">
      <c r="B66" s="131">
        <v>23</v>
      </c>
      <c r="C66" s="206" t="s">
        <v>138</v>
      </c>
      <c r="D66" s="207" t="s">
        <v>117</v>
      </c>
      <c r="E66" s="353">
        <v>419.5</v>
      </c>
      <c r="F66" s="467">
        <v>0</v>
      </c>
      <c r="G66" s="352">
        <f t="shared" si="2"/>
        <v>0</v>
      </c>
    </row>
    <row r="67" spans="2:9" s="130" customFormat="1" ht="48" x14ac:dyDescent="0.2">
      <c r="B67" s="3187">
        <v>24</v>
      </c>
      <c r="C67" s="408" t="s">
        <v>139</v>
      </c>
      <c r="D67" s="221"/>
      <c r="E67" s="353"/>
      <c r="F67" s="467"/>
      <c r="G67" s="352"/>
      <c r="H67" s="565"/>
    </row>
    <row r="68" spans="2:9" s="130" customFormat="1" x14ac:dyDescent="0.2">
      <c r="B68" s="3188"/>
      <c r="C68" s="291" t="s">
        <v>140</v>
      </c>
      <c r="D68" s="221" t="s">
        <v>95</v>
      </c>
      <c r="E68" s="353">
        <v>26</v>
      </c>
      <c r="F68" s="467">
        <v>0</v>
      </c>
      <c r="G68" s="352">
        <f t="shared" si="2"/>
        <v>0</v>
      </c>
      <c r="H68" s="565"/>
    </row>
    <row r="69" spans="2:9" s="130" customFormat="1" x14ac:dyDescent="0.2">
      <c r="B69" s="2722"/>
      <c r="C69" s="291" t="s">
        <v>713</v>
      </c>
      <c r="D69" s="221" t="s">
        <v>95</v>
      </c>
      <c r="E69" s="353">
        <v>5</v>
      </c>
      <c r="F69" s="467">
        <v>0</v>
      </c>
      <c r="G69" s="352">
        <f t="shared" si="2"/>
        <v>0</v>
      </c>
      <c r="H69" s="565"/>
    </row>
    <row r="70" spans="2:9" ht="48" x14ac:dyDescent="0.2">
      <c r="B70" s="2721">
        <v>25</v>
      </c>
      <c r="C70" s="409" t="s">
        <v>309</v>
      </c>
      <c r="D70" s="207"/>
      <c r="E70" s="353"/>
      <c r="F70" s="467"/>
      <c r="G70" s="352"/>
    </row>
    <row r="71" spans="2:9" s="130" customFormat="1" x14ac:dyDescent="0.2">
      <c r="B71" s="2722"/>
      <c r="C71" s="291" t="s">
        <v>716</v>
      </c>
      <c r="D71" s="221" t="s">
        <v>95</v>
      </c>
      <c r="E71" s="353">
        <v>9</v>
      </c>
      <c r="F71" s="467">
        <v>0</v>
      </c>
      <c r="G71" s="352">
        <f t="shared" ref="G71" si="3">E71*F71</f>
        <v>0</v>
      </c>
      <c r="H71" s="565"/>
    </row>
    <row r="72" spans="2:9" ht="48" x14ac:dyDescent="0.2">
      <c r="B72" s="131">
        <v>26</v>
      </c>
      <c r="C72" s="409" t="s">
        <v>142</v>
      </c>
      <c r="D72" s="207" t="s">
        <v>117</v>
      </c>
      <c r="E72" s="353">
        <v>28</v>
      </c>
      <c r="F72" s="467">
        <v>0</v>
      </c>
      <c r="G72" s="352">
        <f t="shared" si="2"/>
        <v>0</v>
      </c>
      <c r="I72" s="1372"/>
    </row>
    <row r="73" spans="2:9" ht="24" x14ac:dyDescent="0.2">
      <c r="B73" s="131">
        <v>27</v>
      </c>
      <c r="C73" s="409" t="s">
        <v>143</v>
      </c>
      <c r="D73" s="207" t="s">
        <v>95</v>
      </c>
      <c r="E73" s="353">
        <v>94</v>
      </c>
      <c r="F73" s="467">
        <v>0</v>
      </c>
      <c r="G73" s="352">
        <f t="shared" si="2"/>
        <v>0</v>
      </c>
      <c r="H73" s="571"/>
    </row>
    <row r="74" spans="2:9" ht="24" x14ac:dyDescent="0.2">
      <c r="B74" s="312" t="s">
        <v>600</v>
      </c>
      <c r="C74" s="409" t="s">
        <v>718</v>
      </c>
      <c r="D74" s="207" t="s">
        <v>95</v>
      </c>
      <c r="E74" s="353">
        <v>44</v>
      </c>
      <c r="F74" s="467">
        <v>0</v>
      </c>
      <c r="G74" s="352">
        <f t="shared" si="2"/>
        <v>0</v>
      </c>
      <c r="H74" s="571"/>
    </row>
    <row r="75" spans="2:9" ht="36" x14ac:dyDescent="0.2">
      <c r="B75" s="411">
        <v>29</v>
      </c>
      <c r="C75" s="410" t="s">
        <v>151</v>
      </c>
      <c r="D75" s="222" t="s">
        <v>112</v>
      </c>
      <c r="E75" s="472">
        <v>5.5</v>
      </c>
      <c r="F75" s="467">
        <v>0</v>
      </c>
      <c r="G75" s="352">
        <f>E75*F75</f>
        <v>0</v>
      </c>
    </row>
    <row r="76" spans="2:9" ht="36" x14ac:dyDescent="0.2">
      <c r="B76" s="131">
        <v>30</v>
      </c>
      <c r="C76" s="1366" t="s">
        <v>152</v>
      </c>
      <c r="D76" s="1367" t="s">
        <v>149</v>
      </c>
      <c r="E76" s="1359">
        <v>9</v>
      </c>
      <c r="F76" s="467">
        <v>0</v>
      </c>
      <c r="G76" s="1361">
        <f>E76*F76</f>
        <v>0</v>
      </c>
    </row>
    <row r="77" spans="2:9" ht="36" x14ac:dyDescent="0.2">
      <c r="B77" s="411">
        <v>31</v>
      </c>
      <c r="C77" s="223" t="s">
        <v>153</v>
      </c>
      <c r="D77" s="222" t="s">
        <v>112</v>
      </c>
      <c r="E77" s="472">
        <v>2</v>
      </c>
      <c r="F77" s="467">
        <v>0</v>
      </c>
      <c r="G77" s="352">
        <f>E77*F77</f>
        <v>0</v>
      </c>
    </row>
    <row r="78" spans="2:9" ht="24" x14ac:dyDescent="0.2">
      <c r="B78" s="131">
        <v>32</v>
      </c>
      <c r="C78" s="223" t="s">
        <v>155</v>
      </c>
      <c r="D78" s="222" t="s">
        <v>156</v>
      </c>
      <c r="E78" s="472">
        <v>8</v>
      </c>
      <c r="F78" s="467">
        <v>0</v>
      </c>
      <c r="G78" s="352">
        <f>E78*F78</f>
        <v>0</v>
      </c>
    </row>
    <row r="79" spans="2:9" s="147" customFormat="1" ht="21.75" customHeight="1" x14ac:dyDescent="0.25">
      <c r="B79" s="327" t="s">
        <v>12</v>
      </c>
      <c r="C79" s="214" t="s">
        <v>157</v>
      </c>
      <c r="D79" s="224"/>
      <c r="E79" s="215"/>
      <c r="F79" s="216"/>
      <c r="G79" s="290">
        <f>SUM(G42:G78)</f>
        <v>0</v>
      </c>
      <c r="H79" s="150"/>
    </row>
    <row r="80" spans="2:9" x14ac:dyDescent="0.2">
      <c r="B80" s="129"/>
      <c r="C80" s="197"/>
      <c r="D80" s="198"/>
      <c r="E80" s="353"/>
      <c r="F80" s="358"/>
      <c r="G80" s="350"/>
    </row>
    <row r="81" spans="1:9" ht="24" x14ac:dyDescent="0.2">
      <c r="B81" s="128" t="s">
        <v>83</v>
      </c>
      <c r="C81" s="192" t="s">
        <v>89</v>
      </c>
      <c r="D81" s="192" t="s">
        <v>90</v>
      </c>
      <c r="E81" s="194" t="s">
        <v>91</v>
      </c>
      <c r="F81" s="195" t="s">
        <v>92</v>
      </c>
      <c r="G81" s="196" t="s">
        <v>93</v>
      </c>
    </row>
    <row r="82" spans="1:9" x14ac:dyDescent="0.2">
      <c r="B82" s="129"/>
      <c r="C82" s="197"/>
      <c r="D82" s="207"/>
      <c r="E82" s="353"/>
      <c r="F82" s="358"/>
      <c r="G82" s="350"/>
    </row>
    <row r="83" spans="1:9" s="295" customFormat="1" ht="20.25" x14ac:dyDescent="0.3">
      <c r="B83" s="296" t="s">
        <v>17</v>
      </c>
      <c r="C83" s="297" t="s">
        <v>158</v>
      </c>
      <c r="D83" s="298"/>
      <c r="E83" s="299"/>
      <c r="F83" s="300"/>
      <c r="G83" s="301"/>
      <c r="H83" s="570"/>
    </row>
    <row r="84" spans="1:9" s="139" customFormat="1" ht="18" customHeight="1" x14ac:dyDescent="0.2">
      <c r="A84" s="140"/>
      <c r="B84" s="143" t="s">
        <v>1</v>
      </c>
      <c r="C84" s="168"/>
      <c r="D84" s="170"/>
      <c r="E84" s="170"/>
      <c r="F84" s="170"/>
      <c r="G84" s="169"/>
    </row>
    <row r="85" spans="1:9" s="139" customFormat="1" ht="18" customHeight="1" x14ac:dyDescent="0.25">
      <c r="A85" s="141"/>
      <c r="B85" s="144" t="s">
        <v>2</v>
      </c>
      <c r="C85" s="171"/>
      <c r="D85" s="172"/>
      <c r="E85" s="173"/>
      <c r="F85" s="173"/>
      <c r="G85" s="172"/>
    </row>
    <row r="86" spans="1:9" s="139" customFormat="1" ht="18" customHeight="1" x14ac:dyDescent="0.2">
      <c r="A86" s="140"/>
      <c r="B86" s="143" t="s">
        <v>3</v>
      </c>
      <c r="C86" s="168"/>
      <c r="D86" s="170"/>
      <c r="E86" s="170"/>
      <c r="F86" s="170"/>
      <c r="G86" s="169"/>
    </row>
    <row r="87" spans="1:9" s="139" customFormat="1" ht="18" customHeight="1" x14ac:dyDescent="0.25">
      <c r="A87" s="141"/>
      <c r="B87" s="144" t="s">
        <v>4</v>
      </c>
      <c r="C87" s="171"/>
      <c r="D87" s="173"/>
      <c r="E87" s="173"/>
      <c r="F87" s="173"/>
      <c r="G87" s="172"/>
    </row>
    <row r="88" spans="1:9" s="130" customFormat="1" ht="18.75" customHeight="1" x14ac:dyDescent="0.2">
      <c r="B88" s="3184" t="s">
        <v>159</v>
      </c>
      <c r="C88" s="3185"/>
      <c r="D88" s="3185"/>
      <c r="E88" s="3185"/>
      <c r="F88" s="3185"/>
      <c r="G88" s="3186"/>
      <c r="H88" s="565"/>
    </row>
    <row r="89" spans="1:9" s="130" customFormat="1" ht="18.75" customHeight="1" x14ac:dyDescent="0.2">
      <c r="B89" s="3184" t="s">
        <v>160</v>
      </c>
      <c r="C89" s="3185"/>
      <c r="D89" s="3185"/>
      <c r="E89" s="3185"/>
      <c r="F89" s="3185"/>
      <c r="G89" s="3186"/>
      <c r="H89" s="565"/>
    </row>
    <row r="90" spans="1:9" s="130" customFormat="1" ht="18.75" customHeight="1" x14ac:dyDescent="0.2">
      <c r="B90" s="3184" t="s">
        <v>161</v>
      </c>
      <c r="C90" s="3185"/>
      <c r="D90" s="3185"/>
      <c r="E90" s="3185"/>
      <c r="F90" s="3185"/>
      <c r="G90" s="3186"/>
      <c r="H90" s="565"/>
    </row>
    <row r="91" spans="1:9" ht="30" customHeight="1" x14ac:dyDescent="0.2">
      <c r="B91" s="153">
        <v>1</v>
      </c>
      <c r="C91" s="1806" t="s">
        <v>162</v>
      </c>
      <c r="D91" s="226"/>
      <c r="E91" s="353"/>
      <c r="F91" s="358"/>
      <c r="G91" s="350"/>
    </row>
    <row r="92" spans="1:9" s="147" customFormat="1" ht="18.75" customHeight="1" x14ac:dyDescent="0.25">
      <c r="B92" s="148"/>
      <c r="C92" s="1823" t="s">
        <v>1720</v>
      </c>
      <c r="D92" s="1367" t="s">
        <v>95</v>
      </c>
      <c r="E92" s="1359">
        <v>1184</v>
      </c>
      <c r="F92" s="1360">
        <v>0</v>
      </c>
      <c r="G92" s="1361">
        <f t="shared" ref="G92:G103" si="4">E92*F92</f>
        <v>0</v>
      </c>
      <c r="H92" s="150"/>
      <c r="I92" s="490"/>
    </row>
    <row r="93" spans="1:9" s="147" customFormat="1" ht="27" customHeight="1" x14ac:dyDescent="0.25">
      <c r="B93" s="148"/>
      <c r="C93" s="1823" t="s">
        <v>1721</v>
      </c>
      <c r="D93" s="1367" t="s">
        <v>95</v>
      </c>
      <c r="E93" s="1359">
        <v>131</v>
      </c>
      <c r="F93" s="1360">
        <v>0</v>
      </c>
      <c r="G93" s="1361">
        <f t="shared" si="4"/>
        <v>0</v>
      </c>
      <c r="H93" s="150"/>
      <c r="I93" s="490"/>
    </row>
    <row r="94" spans="1:9" s="147" customFormat="1" ht="18.75" customHeight="1" x14ac:dyDescent="0.25">
      <c r="B94" s="148"/>
      <c r="C94" s="1807" t="s">
        <v>821</v>
      </c>
      <c r="D94" s="226" t="s">
        <v>95</v>
      </c>
      <c r="E94" s="353">
        <v>146</v>
      </c>
      <c r="F94" s="1360">
        <v>0</v>
      </c>
      <c r="G94" s="352">
        <f t="shared" si="4"/>
        <v>0</v>
      </c>
      <c r="H94" s="150"/>
      <c r="I94" s="490"/>
    </row>
    <row r="95" spans="1:9" s="147" customFormat="1" ht="27" customHeight="1" x14ac:dyDescent="0.25">
      <c r="B95" s="148"/>
      <c r="C95" s="1807" t="s">
        <v>822</v>
      </c>
      <c r="D95" s="226" t="s">
        <v>95</v>
      </c>
      <c r="E95" s="353">
        <v>16</v>
      </c>
      <c r="F95" s="1360">
        <v>0</v>
      </c>
      <c r="G95" s="352">
        <f t="shared" si="4"/>
        <v>0</v>
      </c>
      <c r="H95" s="150"/>
      <c r="I95" s="490"/>
    </row>
    <row r="96" spans="1:9" s="147" customFormat="1" ht="18.75" customHeight="1" x14ac:dyDescent="0.25">
      <c r="B96" s="148"/>
      <c r="C96" s="1807" t="s">
        <v>823</v>
      </c>
      <c r="D96" s="226" t="s">
        <v>95</v>
      </c>
      <c r="E96" s="353">
        <v>113</v>
      </c>
      <c r="F96" s="1360">
        <v>0</v>
      </c>
      <c r="G96" s="352">
        <f t="shared" si="4"/>
        <v>0</v>
      </c>
      <c r="H96" s="150"/>
      <c r="I96" s="490"/>
    </row>
    <row r="97" spans="2:9" s="147" customFormat="1" ht="27" customHeight="1" x14ac:dyDescent="0.25">
      <c r="B97" s="148"/>
      <c r="C97" s="1807" t="s">
        <v>824</v>
      </c>
      <c r="D97" s="226" t="s">
        <v>95</v>
      </c>
      <c r="E97" s="353">
        <v>12</v>
      </c>
      <c r="F97" s="1360">
        <v>0</v>
      </c>
      <c r="G97" s="352">
        <f t="shared" si="4"/>
        <v>0</v>
      </c>
      <c r="H97" s="150"/>
      <c r="I97" s="490"/>
    </row>
    <row r="98" spans="2:9" s="147" customFormat="1" ht="18.75" customHeight="1" x14ac:dyDescent="0.25">
      <c r="B98" s="148"/>
      <c r="C98" s="1807" t="s">
        <v>165</v>
      </c>
      <c r="D98" s="226" t="s">
        <v>95</v>
      </c>
      <c r="E98" s="353">
        <v>58</v>
      </c>
      <c r="F98" s="1360">
        <v>0</v>
      </c>
      <c r="G98" s="352">
        <f t="shared" si="4"/>
        <v>0</v>
      </c>
      <c r="H98" s="150"/>
      <c r="I98" s="490"/>
    </row>
    <row r="99" spans="2:9" s="147" customFormat="1" ht="27" customHeight="1" x14ac:dyDescent="0.25">
      <c r="B99" s="148"/>
      <c r="C99" s="1807" t="s">
        <v>166</v>
      </c>
      <c r="D99" s="226" t="s">
        <v>95</v>
      </c>
      <c r="E99" s="353">
        <v>6</v>
      </c>
      <c r="F99" s="1360">
        <v>0</v>
      </c>
      <c r="G99" s="352">
        <f t="shared" si="4"/>
        <v>0</v>
      </c>
      <c r="H99" s="150"/>
      <c r="I99" s="490"/>
    </row>
    <row r="100" spans="2:9" ht="41.25" customHeight="1" x14ac:dyDescent="0.2">
      <c r="B100" s="3181" t="s">
        <v>167</v>
      </c>
      <c r="C100" s="310" t="s">
        <v>168</v>
      </c>
      <c r="D100" s="221"/>
      <c r="E100" s="353"/>
      <c r="F100" s="467"/>
      <c r="G100" s="352"/>
      <c r="I100" s="1365"/>
    </row>
    <row r="101" spans="2:9" ht="12.75" customHeight="1" x14ac:dyDescent="0.2">
      <c r="B101" s="3182"/>
      <c r="C101" s="291" t="s">
        <v>169</v>
      </c>
      <c r="D101" s="221" t="s">
        <v>95</v>
      </c>
      <c r="E101" s="353">
        <v>60</v>
      </c>
      <c r="F101" s="467">
        <v>0</v>
      </c>
      <c r="G101" s="352">
        <f t="shared" ref="G101:G102" si="5">E101*F101</f>
        <v>0</v>
      </c>
    </row>
    <row r="102" spans="2:9" ht="12.75" customHeight="1" x14ac:dyDescent="0.2">
      <c r="B102" s="3182"/>
      <c r="C102" s="291" t="s">
        <v>170</v>
      </c>
      <c r="D102" s="221" t="s">
        <v>95</v>
      </c>
      <c r="E102" s="353">
        <v>20</v>
      </c>
      <c r="F102" s="467">
        <v>0</v>
      </c>
      <c r="G102" s="352">
        <f t="shared" si="5"/>
        <v>0</v>
      </c>
    </row>
    <row r="103" spans="2:9" ht="36" x14ac:dyDescent="0.2">
      <c r="B103" s="154">
        <v>2</v>
      </c>
      <c r="C103" s="227" t="s">
        <v>172</v>
      </c>
      <c r="D103" s="209" t="s">
        <v>95</v>
      </c>
      <c r="E103" s="348">
        <f>SUM(E92:E99)</f>
        <v>1666</v>
      </c>
      <c r="F103" s="467">
        <v>0</v>
      </c>
      <c r="G103" s="352">
        <f t="shared" si="4"/>
        <v>0</v>
      </c>
    </row>
    <row r="104" spans="2:9" ht="36" x14ac:dyDescent="0.2">
      <c r="B104" s="309" t="s">
        <v>173</v>
      </c>
      <c r="C104" s="227" t="s">
        <v>174</v>
      </c>
      <c r="D104" s="209" t="s">
        <v>95</v>
      </c>
      <c r="E104" s="348">
        <f>SUM(E92:E99)</f>
        <v>1666</v>
      </c>
      <c r="F104" s="467">
        <v>0</v>
      </c>
      <c r="G104" s="352">
        <f>E104*F104</f>
        <v>0</v>
      </c>
    </row>
    <row r="105" spans="2:9" ht="24" x14ac:dyDescent="0.2">
      <c r="B105" s="309" t="s">
        <v>175</v>
      </c>
      <c r="C105" s="227" t="s">
        <v>176</v>
      </c>
      <c r="D105" s="209" t="s">
        <v>95</v>
      </c>
      <c r="E105" s="348">
        <f>SUM(E92:E99)</f>
        <v>1666</v>
      </c>
      <c r="F105" s="467">
        <v>0</v>
      </c>
      <c r="G105" s="352">
        <f>E105*F105</f>
        <v>0</v>
      </c>
    </row>
    <row r="106" spans="2:9" s="147" customFormat="1" ht="36" x14ac:dyDescent="0.25">
      <c r="B106" s="309" t="s">
        <v>177</v>
      </c>
      <c r="C106" s="227" t="s">
        <v>178</v>
      </c>
      <c r="D106" s="209" t="s">
        <v>95</v>
      </c>
      <c r="E106" s="348">
        <f>SUM(E92:E99)</f>
        <v>1666</v>
      </c>
      <c r="F106" s="467">
        <v>0</v>
      </c>
      <c r="G106" s="352">
        <f>E106*F106</f>
        <v>0</v>
      </c>
      <c r="H106" s="150"/>
    </row>
    <row r="107" spans="2:9" s="147" customFormat="1" ht="24" x14ac:dyDescent="0.25">
      <c r="B107" s="153">
        <v>3</v>
      </c>
      <c r="C107" s="264" t="s">
        <v>179</v>
      </c>
      <c r="D107" s="231"/>
      <c r="E107" s="232"/>
      <c r="F107" s="233">
        <v>0</v>
      </c>
      <c r="G107" s="234"/>
      <c r="H107" s="150"/>
    </row>
    <row r="108" spans="2:9" x14ac:dyDescent="0.2">
      <c r="B108" s="292" t="s">
        <v>180</v>
      </c>
      <c r="C108" s="1808" t="s">
        <v>181</v>
      </c>
      <c r="D108" s="231"/>
      <c r="E108" s="232"/>
      <c r="F108" s="233"/>
      <c r="G108" s="234"/>
    </row>
    <row r="109" spans="2:9" s="147" customFormat="1" x14ac:dyDescent="0.25">
      <c r="B109" s="129"/>
      <c r="C109" s="1808" t="s">
        <v>182</v>
      </c>
      <c r="D109" s="231"/>
      <c r="E109" s="232"/>
      <c r="F109" s="233"/>
      <c r="G109" s="234"/>
      <c r="H109" s="150"/>
    </row>
    <row r="110" spans="2:9" s="147" customFormat="1" x14ac:dyDescent="0.25">
      <c r="B110" s="152"/>
      <c r="C110" s="1826" t="s">
        <v>183</v>
      </c>
      <c r="D110" s="236" t="s">
        <v>149</v>
      </c>
      <c r="E110" s="232">
        <v>22</v>
      </c>
      <c r="F110" s="271">
        <v>0</v>
      </c>
      <c r="G110" s="272">
        <f t="shared" ref="G110:G111" si="6">E110*F110</f>
        <v>0</v>
      </c>
      <c r="H110" s="150"/>
    </row>
    <row r="111" spans="2:9" s="136" customFormat="1" x14ac:dyDescent="0.2">
      <c r="B111" s="152"/>
      <c r="C111" s="1826" t="s">
        <v>184</v>
      </c>
      <c r="D111" s="236" t="s">
        <v>149</v>
      </c>
      <c r="E111" s="232">
        <v>6</v>
      </c>
      <c r="F111" s="271">
        <v>0</v>
      </c>
      <c r="G111" s="272">
        <f t="shared" si="6"/>
        <v>0</v>
      </c>
      <c r="H111" s="565"/>
    </row>
    <row r="112" spans="2:9" s="136" customFormat="1" x14ac:dyDescent="0.2">
      <c r="B112" s="129"/>
      <c r="C112" s="1808" t="s">
        <v>185</v>
      </c>
      <c r="D112" s="231"/>
      <c r="E112" s="232"/>
      <c r="F112" s="233"/>
      <c r="G112" s="234"/>
      <c r="H112" s="565"/>
    </row>
    <row r="113" spans="2:8" s="136" customFormat="1" x14ac:dyDescent="0.2">
      <c r="B113" s="152"/>
      <c r="C113" s="1810" t="s">
        <v>186</v>
      </c>
      <c r="D113" s="236" t="s">
        <v>149</v>
      </c>
      <c r="E113" s="232">
        <v>6</v>
      </c>
      <c r="F113" s="271">
        <v>0</v>
      </c>
      <c r="G113" s="272">
        <f t="shared" ref="G113" si="7">E113*F113</f>
        <v>0</v>
      </c>
      <c r="H113" s="565"/>
    </row>
    <row r="114" spans="2:8" s="136" customFormat="1" x14ac:dyDescent="0.2">
      <c r="B114" s="292" t="s">
        <v>188</v>
      </c>
      <c r="C114" s="238" t="s">
        <v>189</v>
      </c>
      <c r="D114" s="239"/>
      <c r="E114" s="240"/>
      <c r="F114" s="241">
        <v>0</v>
      </c>
      <c r="G114" s="242"/>
      <c r="H114" s="565"/>
    </row>
    <row r="115" spans="2:8" s="136" customFormat="1" x14ac:dyDescent="0.2">
      <c r="B115" s="135"/>
      <c r="C115" s="238" t="s">
        <v>190</v>
      </c>
      <c r="D115" s="239"/>
      <c r="E115" s="240"/>
      <c r="F115" s="241">
        <v>0</v>
      </c>
      <c r="G115" s="242"/>
      <c r="H115" s="565"/>
    </row>
    <row r="116" spans="2:8" s="136" customFormat="1" x14ac:dyDescent="0.2">
      <c r="B116" s="135"/>
      <c r="C116" s="243" t="s">
        <v>191</v>
      </c>
      <c r="D116" s="239" t="s">
        <v>149</v>
      </c>
      <c r="E116" s="240">
        <v>2</v>
      </c>
      <c r="F116" s="273">
        <v>0</v>
      </c>
      <c r="G116" s="274">
        <f t="shared" ref="G116:G123" si="8">E116*F116</f>
        <v>0</v>
      </c>
      <c r="H116" s="565"/>
    </row>
    <row r="117" spans="2:8" s="136" customFormat="1" ht="36" x14ac:dyDescent="0.2">
      <c r="B117" s="135"/>
      <c r="C117" s="244" t="s">
        <v>192</v>
      </c>
      <c r="D117" s="239" t="s">
        <v>149</v>
      </c>
      <c r="E117" s="240">
        <v>2</v>
      </c>
      <c r="F117" s="273">
        <v>0</v>
      </c>
      <c r="G117" s="274">
        <f t="shared" si="8"/>
        <v>0</v>
      </c>
      <c r="H117" s="565"/>
    </row>
    <row r="118" spans="2:8" s="136" customFormat="1" x14ac:dyDescent="0.2">
      <c r="B118" s="135"/>
      <c r="C118" s="244" t="s">
        <v>193</v>
      </c>
      <c r="D118" s="239" t="s">
        <v>149</v>
      </c>
      <c r="E118" s="240">
        <v>2</v>
      </c>
      <c r="F118" s="273">
        <v>0</v>
      </c>
      <c r="G118" s="274">
        <f t="shared" si="8"/>
        <v>0</v>
      </c>
      <c r="H118" s="565"/>
    </row>
    <row r="119" spans="2:8" s="136" customFormat="1" x14ac:dyDescent="0.2">
      <c r="B119" s="135"/>
      <c r="C119" s="244" t="s">
        <v>194</v>
      </c>
      <c r="D119" s="239" t="s">
        <v>149</v>
      </c>
      <c r="E119" s="240">
        <v>2</v>
      </c>
      <c r="F119" s="273">
        <v>0</v>
      </c>
      <c r="G119" s="274">
        <f t="shared" si="8"/>
        <v>0</v>
      </c>
      <c r="H119" s="565"/>
    </row>
    <row r="120" spans="2:8" s="136" customFormat="1" x14ac:dyDescent="0.2">
      <c r="B120" s="135"/>
      <c r="C120" s="244" t="s">
        <v>195</v>
      </c>
      <c r="D120" s="239" t="s">
        <v>149</v>
      </c>
      <c r="E120" s="240">
        <v>4</v>
      </c>
      <c r="F120" s="273">
        <v>0</v>
      </c>
      <c r="G120" s="274">
        <f t="shared" si="8"/>
        <v>0</v>
      </c>
      <c r="H120" s="565"/>
    </row>
    <row r="121" spans="2:8" s="136" customFormat="1" x14ac:dyDescent="0.2">
      <c r="B121" s="135"/>
      <c r="C121" s="244" t="s">
        <v>1722</v>
      </c>
      <c r="D121" s="239" t="s">
        <v>149</v>
      </c>
      <c r="E121" s="240">
        <v>4</v>
      </c>
      <c r="F121" s="273">
        <v>0</v>
      </c>
      <c r="G121" s="274">
        <f t="shared" si="8"/>
        <v>0</v>
      </c>
      <c r="H121" s="565"/>
    </row>
    <row r="122" spans="2:8" s="136" customFormat="1" x14ac:dyDescent="0.2">
      <c r="B122" s="135"/>
      <c r="C122" s="244" t="s">
        <v>197</v>
      </c>
      <c r="D122" s="239" t="s">
        <v>149</v>
      </c>
      <c r="E122" s="240">
        <v>2</v>
      </c>
      <c r="F122" s="273">
        <v>0</v>
      </c>
      <c r="G122" s="274">
        <f t="shared" si="8"/>
        <v>0</v>
      </c>
      <c r="H122" s="565"/>
    </row>
    <row r="123" spans="2:8" s="136" customFormat="1" x14ac:dyDescent="0.2">
      <c r="B123" s="135"/>
      <c r="C123" s="244" t="s">
        <v>198</v>
      </c>
      <c r="D123" s="239" t="s">
        <v>149</v>
      </c>
      <c r="E123" s="240">
        <v>2</v>
      </c>
      <c r="F123" s="273">
        <v>0</v>
      </c>
      <c r="G123" s="274">
        <f t="shared" si="8"/>
        <v>0</v>
      </c>
      <c r="H123" s="565"/>
    </row>
    <row r="124" spans="2:8" s="136" customFormat="1" x14ac:dyDescent="0.2">
      <c r="B124" s="292" t="s">
        <v>199</v>
      </c>
      <c r="C124" s="253" t="s">
        <v>205</v>
      </c>
      <c r="D124" s="254"/>
      <c r="E124" s="255"/>
      <c r="F124" s="256"/>
      <c r="G124" s="257"/>
      <c r="H124" s="565"/>
    </row>
    <row r="125" spans="2:8" s="136" customFormat="1" x14ac:dyDescent="0.2">
      <c r="B125" s="135"/>
      <c r="C125" s="253" t="s">
        <v>206</v>
      </c>
      <c r="D125" s="254"/>
      <c r="E125" s="255"/>
      <c r="F125" s="256">
        <v>0</v>
      </c>
      <c r="G125" s="257"/>
      <c r="H125" s="565"/>
    </row>
    <row r="126" spans="2:8" s="136" customFormat="1" x14ac:dyDescent="0.2">
      <c r="B126" s="135"/>
      <c r="C126" s="258" t="s">
        <v>207</v>
      </c>
      <c r="D126" s="254" t="s">
        <v>149</v>
      </c>
      <c r="E126" s="255">
        <v>2</v>
      </c>
      <c r="F126" s="277">
        <v>0</v>
      </c>
      <c r="G126" s="278">
        <f t="shared" ref="G126:G141" si="9">E126*F126</f>
        <v>0</v>
      </c>
      <c r="H126" s="565"/>
    </row>
    <row r="127" spans="2:8" s="136" customFormat="1" x14ac:dyDescent="0.2">
      <c r="B127" s="135"/>
      <c r="C127" s="258" t="s">
        <v>208</v>
      </c>
      <c r="D127" s="254" t="s">
        <v>149</v>
      </c>
      <c r="E127" s="255">
        <v>4</v>
      </c>
      <c r="F127" s="277">
        <v>0</v>
      </c>
      <c r="G127" s="278">
        <f t="shared" si="9"/>
        <v>0</v>
      </c>
      <c r="H127" s="565"/>
    </row>
    <row r="128" spans="2:8" s="136" customFormat="1" x14ac:dyDescent="0.2">
      <c r="B128" s="135"/>
      <c r="C128" s="259" t="s">
        <v>209</v>
      </c>
      <c r="D128" s="254" t="s">
        <v>149</v>
      </c>
      <c r="E128" s="255">
        <v>2</v>
      </c>
      <c r="F128" s="277">
        <v>0</v>
      </c>
      <c r="G128" s="278">
        <f t="shared" si="9"/>
        <v>0</v>
      </c>
      <c r="H128" s="565"/>
    </row>
    <row r="129" spans="2:8" s="136" customFormat="1" x14ac:dyDescent="0.2">
      <c r="B129" s="135"/>
      <c r="C129" s="259" t="s">
        <v>210</v>
      </c>
      <c r="D129" s="254" t="s">
        <v>149</v>
      </c>
      <c r="E129" s="255">
        <v>2</v>
      </c>
      <c r="F129" s="277">
        <v>0</v>
      </c>
      <c r="G129" s="278">
        <f t="shared" si="9"/>
        <v>0</v>
      </c>
      <c r="H129" s="565"/>
    </row>
    <row r="130" spans="2:8" s="136" customFormat="1" x14ac:dyDescent="0.2">
      <c r="B130" s="135"/>
      <c r="C130" s="259" t="s">
        <v>211</v>
      </c>
      <c r="D130" s="254" t="s">
        <v>149</v>
      </c>
      <c r="E130" s="255">
        <v>2</v>
      </c>
      <c r="F130" s="277">
        <v>0</v>
      </c>
      <c r="G130" s="278">
        <f t="shared" si="9"/>
        <v>0</v>
      </c>
      <c r="H130" s="565"/>
    </row>
    <row r="131" spans="2:8" s="136" customFormat="1" x14ac:dyDescent="0.2">
      <c r="B131" s="135"/>
      <c r="C131" s="259" t="s">
        <v>212</v>
      </c>
      <c r="D131" s="254" t="s">
        <v>149</v>
      </c>
      <c r="E131" s="255">
        <v>2</v>
      </c>
      <c r="F131" s="277">
        <v>0</v>
      </c>
      <c r="G131" s="278">
        <f t="shared" si="9"/>
        <v>0</v>
      </c>
      <c r="H131" s="565"/>
    </row>
    <row r="132" spans="2:8" s="136" customFormat="1" x14ac:dyDescent="0.2">
      <c r="B132" s="135"/>
      <c r="C132" s="259" t="s">
        <v>1104</v>
      </c>
      <c r="D132" s="254" t="s">
        <v>149</v>
      </c>
      <c r="E132" s="255">
        <v>2</v>
      </c>
      <c r="F132" s="277">
        <v>0</v>
      </c>
      <c r="G132" s="278">
        <f t="shared" si="9"/>
        <v>0</v>
      </c>
      <c r="H132" s="565"/>
    </row>
    <row r="133" spans="2:8" s="136" customFormat="1" x14ac:dyDescent="0.2">
      <c r="B133" s="135"/>
      <c r="C133" s="259" t="s">
        <v>214</v>
      </c>
      <c r="D133" s="254" t="s">
        <v>149</v>
      </c>
      <c r="E133" s="255">
        <v>2</v>
      </c>
      <c r="F133" s="277">
        <v>0</v>
      </c>
      <c r="G133" s="278">
        <f t="shared" si="9"/>
        <v>0</v>
      </c>
      <c r="H133" s="565"/>
    </row>
    <row r="134" spans="2:8" s="136" customFormat="1" x14ac:dyDescent="0.2">
      <c r="B134" s="135"/>
      <c r="C134" s="259" t="s">
        <v>215</v>
      </c>
      <c r="D134" s="254" t="s">
        <v>149</v>
      </c>
      <c r="E134" s="255">
        <v>2</v>
      </c>
      <c r="F134" s="277">
        <v>0</v>
      </c>
      <c r="G134" s="278">
        <f t="shared" si="9"/>
        <v>0</v>
      </c>
      <c r="H134" s="565"/>
    </row>
    <row r="135" spans="2:8" s="136" customFormat="1" x14ac:dyDescent="0.2">
      <c r="B135" s="135"/>
      <c r="C135" s="1816" t="s">
        <v>216</v>
      </c>
      <c r="D135" s="254" t="s">
        <v>149</v>
      </c>
      <c r="E135" s="255">
        <v>2</v>
      </c>
      <c r="F135" s="277">
        <v>0</v>
      </c>
      <c r="G135" s="278">
        <f t="shared" si="9"/>
        <v>0</v>
      </c>
      <c r="H135" s="565"/>
    </row>
    <row r="136" spans="2:8" s="136" customFormat="1" x14ac:dyDescent="0.2">
      <c r="B136" s="135"/>
      <c r="C136" s="1816" t="s">
        <v>217</v>
      </c>
      <c r="D136" s="254" t="s">
        <v>149</v>
      </c>
      <c r="E136" s="255">
        <v>2</v>
      </c>
      <c r="F136" s="277">
        <v>0</v>
      </c>
      <c r="G136" s="278">
        <f t="shared" si="9"/>
        <v>0</v>
      </c>
      <c r="H136" s="565"/>
    </row>
    <row r="137" spans="2:8" s="136" customFormat="1" x14ac:dyDescent="0.2">
      <c r="B137" s="135"/>
      <c r="C137" s="1819" t="s">
        <v>195</v>
      </c>
      <c r="D137" s="254" t="s">
        <v>149</v>
      </c>
      <c r="E137" s="255">
        <v>4</v>
      </c>
      <c r="F137" s="277">
        <v>0</v>
      </c>
      <c r="G137" s="278">
        <f t="shared" si="9"/>
        <v>0</v>
      </c>
      <c r="H137" s="565"/>
    </row>
    <row r="138" spans="2:8" s="136" customFormat="1" x14ac:dyDescent="0.2">
      <c r="B138" s="135"/>
      <c r="C138" s="1819" t="s">
        <v>1723</v>
      </c>
      <c r="D138" s="254" t="s">
        <v>149</v>
      </c>
      <c r="E138" s="255">
        <v>4</v>
      </c>
      <c r="F138" s="277">
        <v>0</v>
      </c>
      <c r="G138" s="278">
        <f t="shared" si="9"/>
        <v>0</v>
      </c>
      <c r="H138" s="565"/>
    </row>
    <row r="139" spans="2:8" s="136" customFormat="1" x14ac:dyDescent="0.2">
      <c r="B139" s="135"/>
      <c r="C139" s="1816" t="s">
        <v>219</v>
      </c>
      <c r="D139" s="254" t="s">
        <v>149</v>
      </c>
      <c r="E139" s="255">
        <v>2</v>
      </c>
      <c r="F139" s="277">
        <v>0</v>
      </c>
      <c r="G139" s="278">
        <f t="shared" si="9"/>
        <v>0</v>
      </c>
      <c r="H139" s="565"/>
    </row>
    <row r="140" spans="2:8" s="136" customFormat="1" x14ac:dyDescent="0.2">
      <c r="B140" s="135"/>
      <c r="C140" s="1816" t="s">
        <v>227</v>
      </c>
      <c r="D140" s="254" t="s">
        <v>149</v>
      </c>
      <c r="E140" s="255">
        <v>6</v>
      </c>
      <c r="F140" s="277">
        <v>0</v>
      </c>
      <c r="G140" s="278">
        <f t="shared" si="9"/>
        <v>0</v>
      </c>
      <c r="H140" s="565"/>
    </row>
    <row r="141" spans="2:8" s="136" customFormat="1" x14ac:dyDescent="0.2">
      <c r="B141" s="135"/>
      <c r="C141" s="1817" t="s">
        <v>198</v>
      </c>
      <c r="D141" s="254" t="s">
        <v>149</v>
      </c>
      <c r="E141" s="255">
        <v>2</v>
      </c>
      <c r="F141" s="277">
        <v>0</v>
      </c>
      <c r="G141" s="278">
        <f t="shared" si="9"/>
        <v>0</v>
      </c>
      <c r="H141" s="565"/>
    </row>
    <row r="142" spans="2:8" s="136" customFormat="1" x14ac:dyDescent="0.2">
      <c r="B142" s="292" t="s">
        <v>204</v>
      </c>
      <c r="C142" s="253" t="s">
        <v>231</v>
      </c>
      <c r="D142" s="254"/>
      <c r="E142" s="255"/>
      <c r="F142" s="256"/>
      <c r="G142" s="257"/>
      <c r="H142" s="565"/>
    </row>
    <row r="143" spans="2:8" s="136" customFormat="1" x14ac:dyDescent="0.2">
      <c r="B143" s="135"/>
      <c r="C143" s="253" t="s">
        <v>1724</v>
      </c>
      <c r="D143" s="254"/>
      <c r="E143" s="255"/>
      <c r="F143" s="256">
        <v>0</v>
      </c>
      <c r="G143" s="257"/>
      <c r="H143" s="565"/>
    </row>
    <row r="144" spans="2:8" s="136" customFormat="1" ht="24" x14ac:dyDescent="0.2">
      <c r="B144" s="135"/>
      <c r="C144" s="258" t="s">
        <v>1097</v>
      </c>
      <c r="D144" s="254" t="s">
        <v>149</v>
      </c>
      <c r="E144" s="255">
        <v>1</v>
      </c>
      <c r="F144" s="277">
        <v>0</v>
      </c>
      <c r="G144" s="278">
        <f t="shared" ref="G144:G149" si="10">E144*F144</f>
        <v>0</v>
      </c>
      <c r="H144" s="3285"/>
    </row>
    <row r="145" spans="2:8" s="136" customFormat="1" x14ac:dyDescent="0.2">
      <c r="B145" s="135"/>
      <c r="C145" s="1816" t="s">
        <v>354</v>
      </c>
      <c r="D145" s="254" t="s">
        <v>149</v>
      </c>
      <c r="E145" s="255">
        <v>2</v>
      </c>
      <c r="F145" s="277">
        <v>0</v>
      </c>
      <c r="G145" s="278">
        <f t="shared" si="10"/>
        <v>0</v>
      </c>
      <c r="H145" s="3285"/>
    </row>
    <row r="146" spans="2:8" s="136" customFormat="1" x14ac:dyDescent="0.2">
      <c r="B146" s="135"/>
      <c r="C146" s="1816" t="s">
        <v>195</v>
      </c>
      <c r="D146" s="254" t="s">
        <v>149</v>
      </c>
      <c r="E146" s="255">
        <v>1</v>
      </c>
      <c r="F146" s="277">
        <v>0</v>
      </c>
      <c r="G146" s="278">
        <f t="shared" si="10"/>
        <v>0</v>
      </c>
      <c r="H146" s="3285"/>
    </row>
    <row r="147" spans="2:8" s="136" customFormat="1" x14ac:dyDescent="0.2">
      <c r="B147" s="135"/>
      <c r="C147" s="1816" t="s">
        <v>218</v>
      </c>
      <c r="D147" s="254" t="s">
        <v>149</v>
      </c>
      <c r="E147" s="255">
        <v>1</v>
      </c>
      <c r="F147" s="277">
        <v>0</v>
      </c>
      <c r="G147" s="278">
        <f t="shared" si="10"/>
        <v>0</v>
      </c>
      <c r="H147" s="3285"/>
    </row>
    <row r="148" spans="2:8" s="136" customFormat="1" x14ac:dyDescent="0.2">
      <c r="B148" s="135"/>
      <c r="C148" s="1816" t="s">
        <v>227</v>
      </c>
      <c r="D148" s="254" t="s">
        <v>149</v>
      </c>
      <c r="E148" s="255">
        <v>1</v>
      </c>
      <c r="F148" s="277">
        <v>0</v>
      </c>
      <c r="G148" s="278">
        <f t="shared" si="10"/>
        <v>0</v>
      </c>
      <c r="H148" s="3285"/>
    </row>
    <row r="149" spans="2:8" s="136" customFormat="1" x14ac:dyDescent="0.2">
      <c r="B149" s="135"/>
      <c r="C149" s="1817" t="s">
        <v>198</v>
      </c>
      <c r="D149" s="254" t="s">
        <v>149</v>
      </c>
      <c r="E149" s="255">
        <v>1</v>
      </c>
      <c r="F149" s="277">
        <v>0</v>
      </c>
      <c r="G149" s="278">
        <f t="shared" si="10"/>
        <v>0</v>
      </c>
      <c r="H149" s="3285"/>
    </row>
    <row r="150" spans="2:8" s="136" customFormat="1" x14ac:dyDescent="0.2">
      <c r="B150" s="135"/>
      <c r="C150" s="253" t="s">
        <v>232</v>
      </c>
      <c r="D150" s="254"/>
      <c r="E150" s="255"/>
      <c r="F150" s="256">
        <v>0</v>
      </c>
      <c r="G150" s="257"/>
      <c r="H150" s="3285"/>
    </row>
    <row r="151" spans="2:8" s="136" customFormat="1" ht="24" x14ac:dyDescent="0.2">
      <c r="B151" s="135"/>
      <c r="C151" s="258" t="s">
        <v>233</v>
      </c>
      <c r="D151" s="254" t="s">
        <v>149</v>
      </c>
      <c r="E151" s="255">
        <v>3</v>
      </c>
      <c r="F151" s="277">
        <v>0</v>
      </c>
      <c r="G151" s="278">
        <f t="shared" ref="G151:G155" si="11">E151*F151</f>
        <v>0</v>
      </c>
      <c r="H151" s="3285"/>
    </row>
    <row r="152" spans="2:8" s="136" customFormat="1" x14ac:dyDescent="0.2">
      <c r="B152" s="135"/>
      <c r="C152" s="1819" t="s">
        <v>195</v>
      </c>
      <c r="D152" s="254" t="s">
        <v>149</v>
      </c>
      <c r="E152" s="255">
        <v>9</v>
      </c>
      <c r="F152" s="277">
        <v>0</v>
      </c>
      <c r="G152" s="278">
        <f t="shared" si="11"/>
        <v>0</v>
      </c>
      <c r="H152" s="3285"/>
    </row>
    <row r="153" spans="2:8" s="136" customFormat="1" x14ac:dyDescent="0.2">
      <c r="B153" s="135"/>
      <c r="C153" s="1819" t="s">
        <v>1723</v>
      </c>
      <c r="D153" s="254" t="s">
        <v>149</v>
      </c>
      <c r="E153" s="255">
        <v>9</v>
      </c>
      <c r="F153" s="277">
        <v>0</v>
      </c>
      <c r="G153" s="278">
        <f t="shared" si="11"/>
        <v>0</v>
      </c>
      <c r="H153" s="3285"/>
    </row>
    <row r="154" spans="2:8" s="136" customFormat="1" x14ac:dyDescent="0.2">
      <c r="B154" s="135"/>
      <c r="C154" s="1819" t="s">
        <v>227</v>
      </c>
      <c r="D154" s="254" t="s">
        <v>149</v>
      </c>
      <c r="E154" s="255">
        <v>3</v>
      </c>
      <c r="F154" s="277">
        <v>0</v>
      </c>
      <c r="G154" s="278">
        <f t="shared" si="11"/>
        <v>0</v>
      </c>
      <c r="H154" s="3285"/>
    </row>
    <row r="155" spans="2:8" s="136" customFormat="1" x14ac:dyDescent="0.2">
      <c r="B155" s="135"/>
      <c r="C155" s="1820" t="s">
        <v>1725</v>
      </c>
      <c r="D155" s="254" t="s">
        <v>149</v>
      </c>
      <c r="E155" s="255">
        <v>3</v>
      </c>
      <c r="F155" s="277">
        <v>0</v>
      </c>
      <c r="G155" s="278">
        <f t="shared" si="11"/>
        <v>0</v>
      </c>
      <c r="H155" s="3285"/>
    </row>
    <row r="156" spans="2:8" s="136" customFormat="1" x14ac:dyDescent="0.2">
      <c r="B156" s="135"/>
      <c r="C156" s="253" t="s">
        <v>237</v>
      </c>
      <c r="D156" s="254"/>
      <c r="E156" s="255"/>
      <c r="F156" s="256">
        <v>0</v>
      </c>
      <c r="G156" s="257"/>
      <c r="H156" s="565"/>
    </row>
    <row r="157" spans="2:8" s="136" customFormat="1" ht="24" x14ac:dyDescent="0.2">
      <c r="B157" s="135"/>
      <c r="C157" s="258" t="s">
        <v>238</v>
      </c>
      <c r="D157" s="254" t="s">
        <v>149</v>
      </c>
      <c r="E157" s="255">
        <v>1</v>
      </c>
      <c r="F157" s="277">
        <v>0</v>
      </c>
      <c r="G157" s="278">
        <f t="shared" ref="G157:G165" si="12">E157*F157</f>
        <v>0</v>
      </c>
      <c r="H157" s="565"/>
    </row>
    <row r="158" spans="2:8" s="136" customFormat="1" x14ac:dyDescent="0.2">
      <c r="B158" s="135"/>
      <c r="C158" s="1816" t="s">
        <v>195</v>
      </c>
      <c r="D158" s="254" t="s">
        <v>149</v>
      </c>
      <c r="E158" s="255">
        <v>2</v>
      </c>
      <c r="F158" s="277">
        <v>0</v>
      </c>
      <c r="G158" s="278">
        <f t="shared" si="12"/>
        <v>0</v>
      </c>
      <c r="H158" s="565"/>
    </row>
    <row r="159" spans="2:8" s="136" customFormat="1" x14ac:dyDescent="0.2">
      <c r="B159" s="135"/>
      <c r="C159" s="1816" t="s">
        <v>239</v>
      </c>
      <c r="D159" s="254" t="s">
        <v>149</v>
      </c>
      <c r="E159" s="255">
        <v>1</v>
      </c>
      <c r="F159" s="277">
        <v>0</v>
      </c>
      <c r="G159" s="278">
        <f t="shared" si="12"/>
        <v>0</v>
      </c>
      <c r="H159" s="565"/>
    </row>
    <row r="160" spans="2:8" s="136" customFormat="1" x14ac:dyDescent="0.2">
      <c r="B160" s="135"/>
      <c r="C160" s="1816" t="s">
        <v>218</v>
      </c>
      <c r="D160" s="254" t="s">
        <v>149</v>
      </c>
      <c r="E160" s="255">
        <v>2</v>
      </c>
      <c r="F160" s="277">
        <v>0</v>
      </c>
      <c r="G160" s="278">
        <f t="shared" si="12"/>
        <v>0</v>
      </c>
      <c r="H160" s="565"/>
    </row>
    <row r="161" spans="2:8" s="136" customFormat="1" x14ac:dyDescent="0.2">
      <c r="B161" s="135"/>
      <c r="C161" s="1816" t="s">
        <v>240</v>
      </c>
      <c r="D161" s="254" t="s">
        <v>149</v>
      </c>
      <c r="E161" s="255">
        <v>1</v>
      </c>
      <c r="F161" s="277">
        <v>0</v>
      </c>
      <c r="G161" s="278">
        <f t="shared" si="12"/>
        <v>0</v>
      </c>
      <c r="H161" s="565"/>
    </row>
    <row r="162" spans="2:8" s="136" customFormat="1" x14ac:dyDescent="0.2">
      <c r="B162" s="135"/>
      <c r="C162" s="1816" t="s">
        <v>241</v>
      </c>
      <c r="D162" s="254" t="s">
        <v>149</v>
      </c>
      <c r="E162" s="255">
        <v>1</v>
      </c>
      <c r="F162" s="277">
        <v>0</v>
      </c>
      <c r="G162" s="278">
        <f t="shared" si="12"/>
        <v>0</v>
      </c>
      <c r="H162" s="565"/>
    </row>
    <row r="163" spans="2:8" s="136" customFormat="1" x14ac:dyDescent="0.2">
      <c r="B163" s="135"/>
      <c r="C163" s="1816" t="s">
        <v>242</v>
      </c>
      <c r="D163" s="254" t="s">
        <v>149</v>
      </c>
      <c r="E163" s="255">
        <v>1</v>
      </c>
      <c r="F163" s="277">
        <v>0</v>
      </c>
      <c r="G163" s="278">
        <f t="shared" si="12"/>
        <v>0</v>
      </c>
      <c r="H163" s="565"/>
    </row>
    <row r="164" spans="2:8" s="136" customFormat="1" x14ac:dyDescent="0.2">
      <c r="B164" s="135"/>
      <c r="C164" s="1816" t="s">
        <v>227</v>
      </c>
      <c r="D164" s="254" t="s">
        <v>149</v>
      </c>
      <c r="E164" s="255">
        <v>1</v>
      </c>
      <c r="F164" s="277">
        <v>0</v>
      </c>
      <c r="G164" s="278">
        <f t="shared" si="12"/>
        <v>0</v>
      </c>
      <c r="H164" s="565"/>
    </row>
    <row r="165" spans="2:8" s="136" customFormat="1" x14ac:dyDescent="0.2">
      <c r="B165" s="135"/>
      <c r="C165" s="1817" t="s">
        <v>198</v>
      </c>
      <c r="D165" s="254" t="s">
        <v>149</v>
      </c>
      <c r="E165" s="255">
        <v>1</v>
      </c>
      <c r="F165" s="277">
        <v>0</v>
      </c>
      <c r="G165" s="278">
        <f t="shared" si="12"/>
        <v>0</v>
      </c>
      <c r="H165" s="565"/>
    </row>
    <row r="166" spans="2:8" s="136" customFormat="1" x14ac:dyDescent="0.2">
      <c r="B166" s="292" t="s">
        <v>220</v>
      </c>
      <c r="C166" s="247" t="s">
        <v>244</v>
      </c>
      <c r="D166" s="202"/>
      <c r="E166" s="248"/>
      <c r="F166" s="249"/>
      <c r="G166" s="205"/>
      <c r="H166" s="565"/>
    </row>
    <row r="167" spans="2:8" s="136" customFormat="1" x14ac:dyDescent="0.2">
      <c r="B167" s="135"/>
      <c r="C167" s="247" t="s">
        <v>245</v>
      </c>
      <c r="D167" s="202"/>
      <c r="E167" s="248"/>
      <c r="F167" s="249">
        <v>0</v>
      </c>
      <c r="G167" s="205"/>
      <c r="H167" s="565"/>
    </row>
    <row r="168" spans="2:8" s="136" customFormat="1" ht="36" x14ac:dyDescent="0.2">
      <c r="B168" s="135"/>
      <c r="C168" s="262" t="s">
        <v>246</v>
      </c>
      <c r="D168" s="202" t="s">
        <v>149</v>
      </c>
      <c r="E168" s="248">
        <v>1</v>
      </c>
      <c r="F168" s="275">
        <v>0</v>
      </c>
      <c r="G168" s="276">
        <f t="shared" ref="G168:G170" si="13">E168*F168</f>
        <v>0</v>
      </c>
      <c r="H168" s="565"/>
    </row>
    <row r="169" spans="2:8" s="136" customFormat="1" x14ac:dyDescent="0.2">
      <c r="B169" s="135"/>
      <c r="C169" s="1814" t="s">
        <v>247</v>
      </c>
      <c r="D169" s="202" t="s">
        <v>149</v>
      </c>
      <c r="E169" s="248">
        <v>1</v>
      </c>
      <c r="F169" s="275">
        <v>0</v>
      </c>
      <c r="G169" s="276">
        <f t="shared" si="13"/>
        <v>0</v>
      </c>
      <c r="H169" s="565"/>
    </row>
    <row r="170" spans="2:8" s="136" customFormat="1" x14ac:dyDescent="0.2">
      <c r="B170" s="135"/>
      <c r="C170" s="1821" t="s">
        <v>248</v>
      </c>
      <c r="D170" s="202" t="s">
        <v>149</v>
      </c>
      <c r="E170" s="248">
        <v>1</v>
      </c>
      <c r="F170" s="275">
        <v>0</v>
      </c>
      <c r="G170" s="276">
        <f t="shared" si="13"/>
        <v>0</v>
      </c>
      <c r="H170" s="565"/>
    </row>
    <row r="171" spans="2:8" s="136" customFormat="1" x14ac:dyDescent="0.2">
      <c r="B171" s="135"/>
      <c r="C171" s="247" t="s">
        <v>249</v>
      </c>
      <c r="D171" s="202"/>
      <c r="E171" s="248"/>
      <c r="F171" s="249">
        <v>0</v>
      </c>
      <c r="G171" s="205"/>
      <c r="H171" s="565"/>
    </row>
    <row r="172" spans="2:8" s="136" customFormat="1" ht="36" x14ac:dyDescent="0.2">
      <c r="B172" s="135"/>
      <c r="C172" s="262" t="s">
        <v>250</v>
      </c>
      <c r="D172" s="202" t="s">
        <v>149</v>
      </c>
      <c r="E172" s="248">
        <v>5</v>
      </c>
      <c r="F172" s="275">
        <v>0</v>
      </c>
      <c r="G172" s="276">
        <f t="shared" ref="G172:G174" si="14">E172*F172</f>
        <v>0</v>
      </c>
      <c r="H172" s="565"/>
    </row>
    <row r="173" spans="2:8" s="136" customFormat="1" x14ac:dyDescent="0.2">
      <c r="B173" s="135"/>
      <c r="C173" s="1814" t="s">
        <v>247</v>
      </c>
      <c r="D173" s="202" t="s">
        <v>149</v>
      </c>
      <c r="E173" s="248">
        <v>5</v>
      </c>
      <c r="F173" s="275">
        <v>0</v>
      </c>
      <c r="G173" s="276">
        <f t="shared" si="14"/>
        <v>0</v>
      </c>
      <c r="H173" s="565"/>
    </row>
    <row r="174" spans="2:8" s="136" customFormat="1" x14ac:dyDescent="0.2">
      <c r="B174" s="135"/>
      <c r="C174" s="1815" t="s">
        <v>198</v>
      </c>
      <c r="D174" s="202" t="s">
        <v>149</v>
      </c>
      <c r="E174" s="248">
        <v>5</v>
      </c>
      <c r="F174" s="275">
        <v>0</v>
      </c>
      <c r="G174" s="276">
        <f t="shared" si="14"/>
        <v>0</v>
      </c>
      <c r="H174" s="565"/>
    </row>
    <row r="175" spans="2:8" s="136" customFormat="1" x14ac:dyDescent="0.2">
      <c r="B175" s="135"/>
      <c r="C175" s="247" t="s">
        <v>828</v>
      </c>
      <c r="D175" s="202"/>
      <c r="E175" s="248"/>
      <c r="F175" s="249">
        <v>0</v>
      </c>
      <c r="G175" s="205"/>
      <c r="H175" s="565"/>
    </row>
    <row r="176" spans="2:8" s="136" customFormat="1" ht="36" x14ac:dyDescent="0.2">
      <c r="B176" s="135"/>
      <c r="C176" s="262" t="s">
        <v>829</v>
      </c>
      <c r="D176" s="202" t="s">
        <v>149</v>
      </c>
      <c r="E176" s="248">
        <v>3</v>
      </c>
      <c r="F176" s="275">
        <v>0</v>
      </c>
      <c r="G176" s="276">
        <f t="shared" ref="G176:G180" si="15">E176*F176</f>
        <v>0</v>
      </c>
      <c r="H176" s="565"/>
    </row>
    <row r="177" spans="2:8" s="136" customFormat="1" x14ac:dyDescent="0.2">
      <c r="B177" s="135"/>
      <c r="C177" s="1814" t="s">
        <v>247</v>
      </c>
      <c r="D177" s="202" t="s">
        <v>149</v>
      </c>
      <c r="E177" s="248">
        <v>3</v>
      </c>
      <c r="F177" s="275">
        <v>0</v>
      </c>
      <c r="G177" s="276">
        <f t="shared" si="15"/>
        <v>0</v>
      </c>
      <c r="H177" s="565"/>
    </row>
    <row r="178" spans="2:8" s="136" customFormat="1" x14ac:dyDescent="0.2">
      <c r="B178" s="135"/>
      <c r="C178" s="1815" t="s">
        <v>198</v>
      </c>
      <c r="D178" s="202" t="s">
        <v>149</v>
      </c>
      <c r="E178" s="248">
        <v>3</v>
      </c>
      <c r="F178" s="275">
        <v>0</v>
      </c>
      <c r="G178" s="276">
        <f t="shared" si="15"/>
        <v>0</v>
      </c>
      <c r="H178" s="565"/>
    </row>
    <row r="179" spans="2:8" x14ac:dyDescent="0.2">
      <c r="B179" s="135"/>
      <c r="C179" s="1818" t="s">
        <v>1726</v>
      </c>
      <c r="D179" s="202" t="s">
        <v>149</v>
      </c>
      <c r="E179" s="248">
        <v>2</v>
      </c>
      <c r="F179" s="275">
        <v>0</v>
      </c>
      <c r="G179" s="276">
        <f t="shared" si="15"/>
        <v>0</v>
      </c>
    </row>
    <row r="180" spans="2:8" s="136" customFormat="1" x14ac:dyDescent="0.2">
      <c r="B180" s="135"/>
      <c r="C180" s="1818" t="s">
        <v>1727</v>
      </c>
      <c r="D180" s="202" t="s">
        <v>149</v>
      </c>
      <c r="E180" s="248">
        <v>2</v>
      </c>
      <c r="F180" s="275">
        <v>0</v>
      </c>
      <c r="G180" s="276">
        <f t="shared" si="15"/>
        <v>0</v>
      </c>
      <c r="H180" s="565"/>
    </row>
    <row r="181" spans="2:8" s="136" customFormat="1" x14ac:dyDescent="0.2">
      <c r="B181" s="292" t="s">
        <v>330</v>
      </c>
      <c r="C181" s="280" t="s">
        <v>300</v>
      </c>
      <c r="D181" s="281"/>
      <c r="E181" s="282"/>
      <c r="F181" s="283"/>
      <c r="G181" s="284"/>
      <c r="H181" s="565"/>
    </row>
    <row r="182" spans="2:8" s="136" customFormat="1" ht="60" x14ac:dyDescent="0.2">
      <c r="B182" s="135"/>
      <c r="C182" s="285" t="s">
        <v>301</v>
      </c>
      <c r="D182" s="286" t="s">
        <v>149</v>
      </c>
      <c r="E182" s="287">
        <v>9</v>
      </c>
      <c r="F182" s="288">
        <v>0</v>
      </c>
      <c r="G182" s="289">
        <f t="shared" ref="G182" si="16">E182*F182</f>
        <v>0</v>
      </c>
      <c r="H182" s="565"/>
    </row>
    <row r="183" spans="2:8" s="136" customFormat="1" ht="25.5" customHeight="1" x14ac:dyDescent="0.2">
      <c r="B183" s="293" t="s">
        <v>17</v>
      </c>
      <c r="C183" s="294" t="s">
        <v>302</v>
      </c>
      <c r="D183" s="218"/>
      <c r="E183" s="203"/>
      <c r="F183" s="204"/>
      <c r="G183" s="290">
        <f>SUM(G91:G182)</f>
        <v>0</v>
      </c>
      <c r="H183" s="565"/>
    </row>
  </sheetData>
  <mergeCells count="8">
    <mergeCell ref="B100:B102"/>
    <mergeCell ref="H144:H155"/>
    <mergeCell ref="B41:G41"/>
    <mergeCell ref="B52:B54"/>
    <mergeCell ref="B67:B68"/>
    <mergeCell ref="B88:G88"/>
    <mergeCell ref="B89:G89"/>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A766-A5B5-47A4-A57D-2D61F44016C9}">
  <sheetPr>
    <tabColor theme="0" tint="-0.14999847407452621"/>
  </sheetPr>
  <dimension ref="A2:M221"/>
  <sheetViews>
    <sheetView showZeros="0" topLeftCell="A57" zoomScaleNormal="100" zoomScaleSheetLayoutView="100" workbookViewId="0">
      <selection activeCell="C66" sqref="C66"/>
    </sheetView>
  </sheetViews>
  <sheetFormatPr defaultColWidth="10.42578125" defaultRowHeight="12.75" x14ac:dyDescent="0.2"/>
  <cols>
    <col min="1" max="1" width="2.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7.140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3" ht="24.75" customHeight="1" x14ac:dyDescent="0.2">
      <c r="B2" s="137"/>
      <c r="C2" s="354" t="s">
        <v>59</v>
      </c>
      <c r="D2" s="155"/>
      <c r="E2" s="156"/>
      <c r="F2" s="157"/>
      <c r="G2" s="355" t="s">
        <v>60</v>
      </c>
      <c r="H2" s="122"/>
    </row>
    <row r="4" spans="1:13" s="1737" customFormat="1" ht="15" x14ac:dyDescent="0.25">
      <c r="B4" s="1738" t="s">
        <v>7</v>
      </c>
      <c r="C4" s="1775" t="s">
        <v>1697</v>
      </c>
      <c r="D4" s="1740"/>
      <c r="E4" s="1741"/>
      <c r="F4" s="1742"/>
      <c r="G4" s="1743"/>
      <c r="H4" s="566"/>
    </row>
    <row r="5" spans="1:13" s="1737" customFormat="1" ht="12" customHeight="1" x14ac:dyDescent="0.25">
      <c r="B5" s="1744"/>
      <c r="C5" s="1752"/>
      <c r="D5" s="1746"/>
      <c r="E5" s="1747"/>
      <c r="F5" s="1748"/>
      <c r="G5" s="1749"/>
      <c r="H5" s="566"/>
    </row>
    <row r="6" spans="1:13" s="1750" customFormat="1" ht="21" customHeight="1" x14ac:dyDescent="0.2">
      <c r="B6" s="1776" t="s">
        <v>80</v>
      </c>
      <c r="C6" s="1739" t="s">
        <v>1728</v>
      </c>
      <c r="D6" s="1777"/>
      <c r="E6" s="1777"/>
      <c r="F6" s="1777"/>
      <c r="G6" s="1778"/>
      <c r="H6" s="567"/>
      <c r="I6" s="1751"/>
      <c r="J6" s="1751"/>
      <c r="K6" s="1737"/>
      <c r="L6" s="1737"/>
      <c r="M6" s="1737"/>
    </row>
    <row r="7" spans="1:13" s="1750" customFormat="1" ht="14.25" x14ac:dyDescent="0.2">
      <c r="B7" s="1744"/>
      <c r="C7" s="1752"/>
      <c r="D7" s="1746"/>
      <c r="E7" s="1747"/>
      <c r="F7" s="1748"/>
      <c r="G7" s="1753"/>
      <c r="H7" s="567"/>
      <c r="I7" s="1751"/>
      <c r="J7" s="1751"/>
      <c r="K7" s="1737"/>
      <c r="L7" s="1737"/>
      <c r="M7" s="1737"/>
    </row>
    <row r="8" spans="1:13" s="139" customFormat="1" ht="18" customHeight="1" x14ac:dyDescent="0.2">
      <c r="A8" s="140"/>
      <c r="B8" s="143" t="s">
        <v>1</v>
      </c>
      <c r="C8" s="168"/>
      <c r="D8" s="170"/>
      <c r="E8" s="170"/>
      <c r="F8" s="170"/>
      <c r="G8" s="169"/>
      <c r="K8" s="1737"/>
      <c r="L8" s="1737"/>
      <c r="M8" s="1737"/>
    </row>
    <row r="9" spans="1:13" s="139" customFormat="1" ht="18" customHeight="1" x14ac:dyDescent="0.25">
      <c r="A9" s="141"/>
      <c r="B9" s="144" t="s">
        <v>2</v>
      </c>
      <c r="C9" s="171"/>
      <c r="D9" s="172"/>
      <c r="E9" s="173"/>
      <c r="F9" s="173"/>
      <c r="G9" s="172"/>
      <c r="K9" s="1737"/>
      <c r="L9" s="1737"/>
      <c r="M9" s="1737"/>
    </row>
    <row r="10" spans="1:13" s="139" customFormat="1" ht="18" customHeight="1" x14ac:dyDescent="0.2">
      <c r="A10" s="140"/>
      <c r="B10" s="143" t="s">
        <v>3</v>
      </c>
      <c r="C10" s="168"/>
      <c r="D10" s="170"/>
      <c r="E10" s="170"/>
      <c r="F10" s="170"/>
      <c r="G10" s="169"/>
      <c r="K10" s="1737"/>
      <c r="L10" s="1737"/>
      <c r="M10" s="1737"/>
    </row>
    <row r="11" spans="1:13" s="139" customFormat="1" ht="18" customHeight="1" x14ac:dyDescent="0.25">
      <c r="A11" s="141"/>
      <c r="B11" s="144" t="s">
        <v>4</v>
      </c>
      <c r="C11" s="171"/>
      <c r="D11" s="173"/>
      <c r="E11" s="173"/>
      <c r="F11" s="173"/>
      <c r="G11" s="172"/>
      <c r="K11" s="1737"/>
      <c r="L11" s="1737"/>
      <c r="M11" s="1737"/>
    </row>
    <row r="12" spans="1:13" s="1750" customFormat="1" ht="14.25" x14ac:dyDescent="0.2">
      <c r="B12" s="1754"/>
      <c r="C12" s="1755"/>
      <c r="D12" s="1756"/>
      <c r="E12" s="1779"/>
      <c r="F12" s="1780"/>
      <c r="G12" s="1759"/>
      <c r="H12" s="567"/>
      <c r="I12" s="1751"/>
      <c r="J12" s="1751"/>
      <c r="K12" s="1763"/>
      <c r="L12" s="1737"/>
      <c r="M12" s="1737"/>
    </row>
    <row r="13" spans="1:13" s="1750" customFormat="1" ht="18.75" customHeight="1" x14ac:dyDescent="0.2">
      <c r="B13" s="1781"/>
      <c r="C13" s="1782" t="s">
        <v>82</v>
      </c>
      <c r="D13" s="1783"/>
      <c r="E13" s="1784"/>
      <c r="F13" s="1785"/>
      <c r="G13" s="1786"/>
      <c r="H13" s="567"/>
      <c r="I13" s="1751"/>
      <c r="J13" s="1751"/>
      <c r="K13" s="1763"/>
      <c r="L13" s="1737"/>
      <c r="M13" s="1737"/>
    </row>
    <row r="14" spans="1:13" s="1763" customFormat="1" ht="18.75" customHeight="1" x14ac:dyDescent="0.2">
      <c r="B14" s="1764" t="s">
        <v>83</v>
      </c>
      <c r="C14" s="1787" t="s">
        <v>84</v>
      </c>
      <c r="D14" s="1788"/>
      <c r="E14" s="1789"/>
      <c r="F14" s="1790"/>
      <c r="G14" s="1791" t="s">
        <v>64</v>
      </c>
      <c r="H14" s="568"/>
      <c r="K14" s="1737"/>
      <c r="L14" s="1737"/>
      <c r="M14" s="1737"/>
    </row>
    <row r="15" spans="1:13" s="1792" customFormat="1" ht="18.75" customHeight="1" x14ac:dyDescent="0.2">
      <c r="B15" s="1793" t="s">
        <v>10</v>
      </c>
      <c r="C15" s="1794" t="s">
        <v>85</v>
      </c>
      <c r="D15" s="1795"/>
      <c r="E15" s="1796"/>
      <c r="F15" s="1797"/>
      <c r="G15" s="474">
        <f>G35</f>
        <v>0</v>
      </c>
      <c r="H15" s="569"/>
      <c r="K15" s="1737"/>
      <c r="L15" s="1737"/>
      <c r="M15" s="1737"/>
    </row>
    <row r="16" spans="1:13" s="1792" customFormat="1" ht="18.75" customHeight="1" x14ac:dyDescent="0.2">
      <c r="B16" s="1793" t="s">
        <v>12</v>
      </c>
      <c r="C16" s="1794" t="s">
        <v>86</v>
      </c>
      <c r="D16" s="1795"/>
      <c r="E16" s="1796"/>
      <c r="F16" s="1797"/>
      <c r="G16" s="474">
        <f>G78</f>
        <v>0</v>
      </c>
      <c r="H16" s="569"/>
      <c r="K16" s="1737"/>
      <c r="L16" s="1737"/>
      <c r="M16" s="1737"/>
    </row>
    <row r="17" spans="2:13" s="1792" customFormat="1" ht="18.75" customHeight="1" x14ac:dyDescent="0.2">
      <c r="B17" s="1793" t="s">
        <v>17</v>
      </c>
      <c r="C17" s="1794" t="s">
        <v>87</v>
      </c>
      <c r="D17" s="1795"/>
      <c r="E17" s="1796"/>
      <c r="F17" s="1797"/>
      <c r="G17" s="474">
        <f>G221</f>
        <v>0</v>
      </c>
      <c r="H17" s="569"/>
      <c r="K17" s="1763"/>
      <c r="L17" s="1798"/>
      <c r="M17" s="1737"/>
    </row>
    <row r="18" spans="2:13" s="1792" customFormat="1" ht="18.75" customHeight="1" x14ac:dyDescent="0.2">
      <c r="B18" s="1799"/>
      <c r="C18" s="1800" t="s">
        <v>88</v>
      </c>
      <c r="D18" s="1801"/>
      <c r="E18" s="1802"/>
      <c r="F18" s="1803"/>
      <c r="G18" s="475">
        <f>SUM(G15:G17)</f>
        <v>0</v>
      </c>
      <c r="H18" s="569"/>
      <c r="K18" s="1737"/>
      <c r="L18" s="1798"/>
      <c r="M18" s="1737"/>
    </row>
    <row r="19" spans="2:13" x14ac:dyDescent="0.2">
      <c r="B19" s="127"/>
      <c r="C19" s="183"/>
      <c r="D19" s="184"/>
      <c r="E19" s="461"/>
      <c r="F19" s="462"/>
      <c r="K19" s="1737"/>
      <c r="L19" s="1804"/>
      <c r="M19" s="1804"/>
    </row>
    <row r="20" spans="2:13" x14ac:dyDescent="0.2">
      <c r="G20" s="466"/>
      <c r="K20" s="1763"/>
      <c r="L20" s="1798"/>
      <c r="M20" s="1798"/>
    </row>
    <row r="21" spans="2:13" ht="24" x14ac:dyDescent="0.2">
      <c r="B21" s="128" t="s">
        <v>83</v>
      </c>
      <c r="C21" s="192" t="s">
        <v>89</v>
      </c>
      <c r="D21" s="193" t="s">
        <v>90</v>
      </c>
      <c r="E21" s="194" t="s">
        <v>91</v>
      </c>
      <c r="F21" s="195" t="s">
        <v>92</v>
      </c>
      <c r="G21" s="196" t="s">
        <v>93</v>
      </c>
    </row>
    <row r="22" spans="2:13" x14ac:dyDescent="0.2">
      <c r="B22" s="129"/>
      <c r="C22" s="197"/>
      <c r="D22" s="198"/>
      <c r="E22" s="353"/>
      <c r="F22" s="358"/>
      <c r="G22" s="350"/>
    </row>
    <row r="23" spans="2:13" s="295" customFormat="1" ht="20.25" x14ac:dyDescent="0.3">
      <c r="B23" s="303" t="s">
        <v>10</v>
      </c>
      <c r="C23" s="306" t="s">
        <v>85</v>
      </c>
      <c r="D23" s="305"/>
      <c r="E23" s="299"/>
      <c r="F23" s="300"/>
      <c r="G23" s="301"/>
      <c r="H23" s="570"/>
    </row>
    <row r="24" spans="2:13" ht="27.75" customHeight="1" x14ac:dyDescent="0.2">
      <c r="B24" s="129">
        <v>1</v>
      </c>
      <c r="C24" s="206" t="s">
        <v>94</v>
      </c>
      <c r="D24" s="207" t="s">
        <v>95</v>
      </c>
      <c r="E24" s="353">
        <v>4881</v>
      </c>
      <c r="F24" s="467">
        <v>0</v>
      </c>
      <c r="G24" s="352">
        <f t="shared" ref="G24" si="0">E24*F24</f>
        <v>0</v>
      </c>
    </row>
    <row r="25" spans="2:13" x14ac:dyDescent="0.2">
      <c r="B25" s="129">
        <v>2</v>
      </c>
      <c r="C25" s="206" t="s">
        <v>96</v>
      </c>
      <c r="D25" s="207" t="s">
        <v>95</v>
      </c>
      <c r="E25" s="353">
        <v>4881</v>
      </c>
      <c r="F25" s="467">
        <v>0</v>
      </c>
      <c r="G25" s="352">
        <f>E25*F25</f>
        <v>0</v>
      </c>
    </row>
    <row r="26" spans="2:13" ht="53.25" customHeight="1" x14ac:dyDescent="0.2">
      <c r="B26" s="129">
        <v>3</v>
      </c>
      <c r="C26" s="206" t="s">
        <v>97</v>
      </c>
      <c r="D26" s="207" t="s">
        <v>98</v>
      </c>
      <c r="E26" s="353">
        <v>1</v>
      </c>
      <c r="F26" s="467">
        <v>0</v>
      </c>
      <c r="G26" s="352">
        <f t="shared" ref="G26:G34" si="1">E26*F26</f>
        <v>0</v>
      </c>
      <c r="H26" s="571"/>
    </row>
    <row r="27" spans="2:13" ht="132" x14ac:dyDescent="0.2">
      <c r="B27" s="129">
        <v>4</v>
      </c>
      <c r="C27" s="208" t="s">
        <v>1719</v>
      </c>
      <c r="D27" s="209" t="s">
        <v>98</v>
      </c>
      <c r="E27" s="353">
        <v>1</v>
      </c>
      <c r="F27" s="467">
        <v>0</v>
      </c>
      <c r="G27" s="352">
        <f t="shared" si="1"/>
        <v>0</v>
      </c>
    </row>
    <row r="28" spans="2:13" ht="30.75" customHeight="1" x14ac:dyDescent="0.2">
      <c r="B28" s="129">
        <v>5</v>
      </c>
      <c r="C28" s="208" t="s">
        <v>100</v>
      </c>
      <c r="D28" s="210" t="s">
        <v>98</v>
      </c>
      <c r="E28" s="353">
        <v>1</v>
      </c>
      <c r="F28" s="467">
        <v>0</v>
      </c>
      <c r="G28" s="352">
        <f t="shared" si="1"/>
        <v>0</v>
      </c>
    </row>
    <row r="29" spans="2:13" ht="52.5" customHeight="1" x14ac:dyDescent="0.2">
      <c r="B29" s="129">
        <v>6</v>
      </c>
      <c r="C29" s="1805" t="s">
        <v>102</v>
      </c>
      <c r="D29" s="210" t="s">
        <v>98</v>
      </c>
      <c r="E29" s="353">
        <v>2</v>
      </c>
      <c r="F29" s="467">
        <v>0</v>
      </c>
      <c r="G29" s="352">
        <f t="shared" si="1"/>
        <v>0</v>
      </c>
    </row>
    <row r="30" spans="2:13" ht="36" x14ac:dyDescent="0.2">
      <c r="B30" s="129">
        <v>7</v>
      </c>
      <c r="C30" s="3165" t="s">
        <v>2590</v>
      </c>
      <c r="D30" s="210" t="s">
        <v>95</v>
      </c>
      <c r="E30" s="353">
        <v>5319</v>
      </c>
      <c r="F30" s="467">
        <v>0</v>
      </c>
      <c r="G30" s="352">
        <f t="shared" si="1"/>
        <v>0</v>
      </c>
      <c r="H30" s="571"/>
    </row>
    <row r="31" spans="2:13" ht="27.75" customHeight="1" x14ac:dyDescent="0.2">
      <c r="B31" s="129">
        <v>8</v>
      </c>
      <c r="C31" s="3165" t="s">
        <v>2591</v>
      </c>
      <c r="D31" s="210" t="s">
        <v>95</v>
      </c>
      <c r="E31" s="353">
        <v>5319</v>
      </c>
      <c r="F31" s="467">
        <v>0</v>
      </c>
      <c r="G31" s="352">
        <f t="shared" si="1"/>
        <v>0</v>
      </c>
    </row>
    <row r="32" spans="2:13" ht="14.25" customHeight="1" x14ac:dyDescent="0.2">
      <c r="B32" s="129">
        <v>9</v>
      </c>
      <c r="C32" s="1805"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4" x14ac:dyDescent="0.2">
      <c r="B41" s="131">
        <v>1</v>
      </c>
      <c r="C41" s="206" t="s">
        <v>111</v>
      </c>
      <c r="D41" s="207" t="s">
        <v>112</v>
      </c>
      <c r="E41" s="353">
        <v>146</v>
      </c>
      <c r="F41" s="467">
        <v>0</v>
      </c>
      <c r="G41" s="352">
        <f t="shared" ref="G41:G77" si="2">E41*F41</f>
        <v>0</v>
      </c>
      <c r="I41" s="132"/>
    </row>
    <row r="42" spans="2:12" ht="36" x14ac:dyDescent="0.2">
      <c r="B42" s="131">
        <v>2</v>
      </c>
      <c r="C42" s="206" t="s">
        <v>1729</v>
      </c>
      <c r="D42" s="207" t="s">
        <v>95</v>
      </c>
      <c r="E42" s="353">
        <f>0.6*5319</f>
        <v>3191.4</v>
      </c>
      <c r="F42" s="467">
        <v>0</v>
      </c>
      <c r="G42" s="352">
        <f t="shared" si="2"/>
        <v>0</v>
      </c>
      <c r="I42" s="1364"/>
    </row>
    <row r="43" spans="2:12" ht="36" x14ac:dyDescent="0.2">
      <c r="B43" s="131">
        <v>3</v>
      </c>
      <c r="C43" s="206" t="s">
        <v>114</v>
      </c>
      <c r="D43" s="209" t="s">
        <v>112</v>
      </c>
      <c r="E43" s="353">
        <v>584</v>
      </c>
      <c r="F43" s="467">
        <v>0</v>
      </c>
      <c r="G43" s="352">
        <f t="shared" si="2"/>
        <v>0</v>
      </c>
      <c r="I43" s="132"/>
      <c r="J43" s="1365"/>
      <c r="K43" s="134"/>
      <c r="L43" s="134"/>
    </row>
    <row r="44" spans="2:12" ht="36" x14ac:dyDescent="0.2">
      <c r="B44" s="131">
        <v>4</v>
      </c>
      <c r="C44" s="206" t="s">
        <v>115</v>
      </c>
      <c r="D44" s="209" t="s">
        <v>112</v>
      </c>
      <c r="E44" s="353">
        <v>5261</v>
      </c>
      <c r="F44" s="467">
        <v>0</v>
      </c>
      <c r="G44" s="352">
        <f t="shared" si="2"/>
        <v>0</v>
      </c>
      <c r="I44" s="133"/>
    </row>
    <row r="45" spans="2:12" ht="24" x14ac:dyDescent="0.2">
      <c r="B45" s="131">
        <v>5</v>
      </c>
      <c r="C45" s="311" t="s">
        <v>116</v>
      </c>
      <c r="D45" s="219" t="s">
        <v>117</v>
      </c>
      <c r="E45" s="471">
        <f>5319*1.4</f>
        <v>7446.5999999999995</v>
      </c>
      <c r="F45" s="467">
        <v>0</v>
      </c>
      <c r="G45" s="352">
        <f t="shared" si="2"/>
        <v>0</v>
      </c>
      <c r="I45" s="1364"/>
    </row>
    <row r="46" spans="2:12" ht="36" x14ac:dyDescent="0.2">
      <c r="B46" s="131">
        <v>6</v>
      </c>
      <c r="C46" s="206" t="s">
        <v>118</v>
      </c>
      <c r="D46" s="209" t="s">
        <v>117</v>
      </c>
      <c r="E46" s="353">
        <f>5319*1</f>
        <v>5319</v>
      </c>
      <c r="F46" s="467">
        <v>0</v>
      </c>
      <c r="G46" s="352">
        <f t="shared" si="2"/>
        <v>0</v>
      </c>
      <c r="I46" s="132"/>
    </row>
    <row r="47" spans="2:12" ht="24" x14ac:dyDescent="0.2">
      <c r="B47" s="131">
        <v>7</v>
      </c>
      <c r="C47" s="206" t="s">
        <v>304</v>
      </c>
      <c r="D47" s="209" t="s">
        <v>112</v>
      </c>
      <c r="E47" s="353">
        <v>1211.5</v>
      </c>
      <c r="F47" s="467">
        <v>0</v>
      </c>
      <c r="G47" s="352">
        <f t="shared" si="2"/>
        <v>0</v>
      </c>
      <c r="I47" s="133"/>
    </row>
    <row r="48" spans="2:12" ht="24" x14ac:dyDescent="0.2">
      <c r="B48" s="131">
        <v>8</v>
      </c>
      <c r="C48" s="206" t="s">
        <v>119</v>
      </c>
      <c r="D48" s="209" t="s">
        <v>112</v>
      </c>
      <c r="E48" s="353">
        <f>((5319*1*1.4)*0.157)*0.75</f>
        <v>876.83714999999995</v>
      </c>
      <c r="F48" s="467">
        <v>0</v>
      </c>
      <c r="G48" s="352">
        <f t="shared" si="2"/>
        <v>0</v>
      </c>
      <c r="I48" s="133"/>
    </row>
    <row r="49" spans="2:10" ht="36" x14ac:dyDescent="0.2">
      <c r="B49" s="131">
        <v>9</v>
      </c>
      <c r="C49" s="208" t="s">
        <v>120</v>
      </c>
      <c r="D49" s="209" t="s">
        <v>112</v>
      </c>
      <c r="E49" s="353">
        <v>1305.1500000000001</v>
      </c>
      <c r="F49" s="467">
        <v>0</v>
      </c>
      <c r="G49" s="352">
        <f t="shared" si="2"/>
        <v>0</v>
      </c>
      <c r="I49" s="133"/>
    </row>
    <row r="50" spans="2:10" s="130" customFormat="1" ht="36" x14ac:dyDescent="0.2">
      <c r="B50" s="131">
        <v>10</v>
      </c>
      <c r="C50" s="314" t="s">
        <v>121</v>
      </c>
      <c r="D50" s="210" t="s">
        <v>112</v>
      </c>
      <c r="E50" s="353">
        <v>877.13</v>
      </c>
      <c r="F50" s="467">
        <v>0</v>
      </c>
      <c r="G50" s="352">
        <f t="shared" si="2"/>
        <v>0</v>
      </c>
      <c r="H50" s="565"/>
      <c r="I50" s="133"/>
    </row>
    <row r="51" spans="2:10" s="147" customFormat="1" ht="48" x14ac:dyDescent="0.25">
      <c r="B51" s="3187">
        <v>11</v>
      </c>
      <c r="C51" s="308" t="s">
        <v>122</v>
      </c>
      <c r="D51" s="210"/>
      <c r="E51" s="353"/>
      <c r="F51" s="467"/>
      <c r="G51" s="352"/>
      <c r="H51" s="572"/>
    </row>
    <row r="52" spans="2:10" s="147" customFormat="1" x14ac:dyDescent="0.25">
      <c r="B52" s="3188"/>
      <c r="C52" s="308" t="s">
        <v>124</v>
      </c>
      <c r="D52" s="207" t="s">
        <v>95</v>
      </c>
      <c r="E52" s="353">
        <v>55</v>
      </c>
      <c r="F52" s="467">
        <v>0</v>
      </c>
      <c r="G52" s="352">
        <f t="shared" si="2"/>
        <v>0</v>
      </c>
      <c r="H52" s="572"/>
    </row>
    <row r="53" spans="2:10" s="147" customFormat="1" x14ac:dyDescent="0.25">
      <c r="B53" s="3189"/>
      <c r="C53" s="308" t="s">
        <v>305</v>
      </c>
      <c r="D53" s="207" t="s">
        <v>95</v>
      </c>
      <c r="E53" s="353">
        <v>10</v>
      </c>
      <c r="F53" s="467">
        <v>0</v>
      </c>
      <c r="G53" s="352">
        <f t="shared" si="2"/>
        <v>0</v>
      </c>
      <c r="H53" s="572"/>
    </row>
    <row r="54" spans="2:10" ht="24" x14ac:dyDescent="0.2">
      <c r="B54" s="131">
        <v>12</v>
      </c>
      <c r="C54" s="206" t="s">
        <v>1730</v>
      </c>
      <c r="D54" s="209" t="s">
        <v>95</v>
      </c>
      <c r="E54" s="353">
        <v>1636</v>
      </c>
      <c r="F54" s="467">
        <v>0</v>
      </c>
      <c r="G54" s="352">
        <f t="shared" si="2"/>
        <v>0</v>
      </c>
      <c r="H54" s="571"/>
      <c r="I54" s="1365"/>
    </row>
    <row r="55" spans="2:10" ht="24" x14ac:dyDescent="0.2">
      <c r="B55" s="131">
        <v>13</v>
      </c>
      <c r="C55" s="206" t="s">
        <v>126</v>
      </c>
      <c r="D55" s="207" t="s">
        <v>117</v>
      </c>
      <c r="E55" s="353">
        <v>1975</v>
      </c>
      <c r="F55" s="467">
        <v>0</v>
      </c>
      <c r="G55" s="352">
        <f t="shared" si="2"/>
        <v>0</v>
      </c>
      <c r="H55" s="571"/>
    </row>
    <row r="56" spans="2:10" ht="48" x14ac:dyDescent="0.2">
      <c r="B56" s="131">
        <v>14</v>
      </c>
      <c r="C56" s="206" t="s">
        <v>127</v>
      </c>
      <c r="D56" s="207" t="s">
        <v>117</v>
      </c>
      <c r="E56" s="353">
        <f>E55</f>
        <v>1975</v>
      </c>
      <c r="F56" s="467">
        <v>0</v>
      </c>
      <c r="G56" s="352">
        <f t="shared" si="2"/>
        <v>0</v>
      </c>
      <c r="H56" s="571"/>
      <c r="I56" s="1370"/>
      <c r="J56" s="1365"/>
    </row>
    <row r="57" spans="2:10" ht="60" x14ac:dyDescent="0.2">
      <c r="B57" s="131">
        <v>15</v>
      </c>
      <c r="C57" s="314" t="s">
        <v>706</v>
      </c>
      <c r="D57" s="209" t="s">
        <v>117</v>
      </c>
      <c r="E57" s="353">
        <v>1306.5</v>
      </c>
      <c r="F57" s="467">
        <v>0</v>
      </c>
      <c r="G57" s="352">
        <f t="shared" si="2"/>
        <v>0</v>
      </c>
      <c r="H57" s="571"/>
      <c r="I57" s="1365"/>
    </row>
    <row r="58" spans="2:10" ht="48" x14ac:dyDescent="0.2">
      <c r="B58" s="312" t="s">
        <v>576</v>
      </c>
      <c r="C58" s="208" t="s">
        <v>129</v>
      </c>
      <c r="D58" s="209" t="s">
        <v>117</v>
      </c>
      <c r="E58" s="353">
        <v>383.9</v>
      </c>
      <c r="F58" s="467">
        <v>0</v>
      </c>
      <c r="G58" s="352">
        <f t="shared" si="2"/>
        <v>0</v>
      </c>
      <c r="H58" s="571"/>
      <c r="I58" s="1365"/>
    </row>
    <row r="59" spans="2:10" ht="60" x14ac:dyDescent="0.2">
      <c r="B59" s="312" t="s">
        <v>578</v>
      </c>
      <c r="C59" s="208" t="s">
        <v>708</v>
      </c>
      <c r="D59" s="209" t="s">
        <v>117</v>
      </c>
      <c r="E59" s="353">
        <v>383.9</v>
      </c>
      <c r="F59" s="467">
        <v>0</v>
      </c>
      <c r="G59" s="352">
        <f t="shared" si="2"/>
        <v>0</v>
      </c>
      <c r="H59" s="571"/>
    </row>
    <row r="60" spans="2:10" ht="72" x14ac:dyDescent="0.2">
      <c r="B60" s="312" t="s">
        <v>580</v>
      </c>
      <c r="C60" s="208" t="s">
        <v>711</v>
      </c>
      <c r="D60" s="209" t="s">
        <v>117</v>
      </c>
      <c r="E60" s="353">
        <v>284.60000000000002</v>
      </c>
      <c r="F60" s="467">
        <v>0</v>
      </c>
      <c r="G60" s="352">
        <f>E60*F60</f>
        <v>0</v>
      </c>
      <c r="H60" s="571"/>
    </row>
    <row r="61" spans="2:10" ht="36" x14ac:dyDescent="0.2">
      <c r="B61" s="131">
        <v>19</v>
      </c>
      <c r="C61" s="206" t="s">
        <v>132</v>
      </c>
      <c r="D61" s="207" t="s">
        <v>117</v>
      </c>
      <c r="E61" s="353">
        <v>84</v>
      </c>
      <c r="F61" s="467">
        <v>0</v>
      </c>
      <c r="G61" s="352">
        <f t="shared" si="2"/>
        <v>0</v>
      </c>
    </row>
    <row r="62" spans="2:10" x14ac:dyDescent="0.2">
      <c r="B62" s="131">
        <v>20</v>
      </c>
      <c r="C62" s="206" t="s">
        <v>1731</v>
      </c>
      <c r="D62" s="209" t="s">
        <v>112</v>
      </c>
      <c r="E62" s="353">
        <v>3393.78</v>
      </c>
      <c r="F62" s="467">
        <v>0</v>
      </c>
      <c r="G62" s="352">
        <f t="shared" si="2"/>
        <v>0</v>
      </c>
    </row>
    <row r="63" spans="2:10" x14ac:dyDescent="0.2">
      <c r="B63" s="131">
        <v>21</v>
      </c>
      <c r="C63" s="206" t="s">
        <v>135</v>
      </c>
      <c r="D63" s="209" t="s">
        <v>112</v>
      </c>
      <c r="E63" s="353">
        <v>3393.78</v>
      </c>
      <c r="F63" s="467">
        <v>0</v>
      </c>
      <c r="G63" s="352">
        <f t="shared" si="2"/>
        <v>0</v>
      </c>
    </row>
    <row r="64" spans="2:10" ht="24" x14ac:dyDescent="0.2">
      <c r="B64" s="131">
        <v>22</v>
      </c>
      <c r="C64" s="206" t="s">
        <v>136</v>
      </c>
      <c r="D64" s="209" t="s">
        <v>117</v>
      </c>
      <c r="E64" s="353">
        <v>1914.84</v>
      </c>
      <c r="F64" s="467">
        <v>0</v>
      </c>
      <c r="G64" s="352">
        <f t="shared" si="2"/>
        <v>0</v>
      </c>
    </row>
    <row r="65" spans="2:8" ht="24" x14ac:dyDescent="0.2">
      <c r="B65" s="131">
        <v>23</v>
      </c>
      <c r="C65" s="206" t="s">
        <v>138</v>
      </c>
      <c r="D65" s="207" t="s">
        <v>117</v>
      </c>
      <c r="E65" s="353">
        <v>1755</v>
      </c>
      <c r="F65" s="467">
        <v>0</v>
      </c>
      <c r="G65" s="352">
        <f t="shared" si="2"/>
        <v>0</v>
      </c>
    </row>
    <row r="66" spans="2:8" s="130" customFormat="1" ht="48" x14ac:dyDescent="0.2">
      <c r="B66" s="3187">
        <v>24</v>
      </c>
      <c r="C66" s="408" t="s">
        <v>139</v>
      </c>
      <c r="D66" s="221"/>
      <c r="E66" s="353"/>
      <c r="F66" s="467"/>
      <c r="G66" s="352"/>
      <c r="H66" s="565"/>
    </row>
    <row r="67" spans="2:8" s="130" customFormat="1" x14ac:dyDescent="0.2">
      <c r="B67" s="3188"/>
      <c r="C67" s="291" t="s">
        <v>140</v>
      </c>
      <c r="D67" s="221" t="s">
        <v>95</v>
      </c>
      <c r="E67" s="353">
        <v>8</v>
      </c>
      <c r="F67" s="467">
        <v>0</v>
      </c>
      <c r="G67" s="352">
        <f t="shared" si="2"/>
        <v>0</v>
      </c>
      <c r="H67" s="565"/>
    </row>
    <row r="68" spans="2:8" s="130" customFormat="1" x14ac:dyDescent="0.2">
      <c r="B68" s="3188"/>
      <c r="C68" s="291" t="s">
        <v>713</v>
      </c>
      <c r="D68" s="221" t="s">
        <v>95</v>
      </c>
      <c r="E68" s="353">
        <v>141</v>
      </c>
      <c r="F68" s="467">
        <v>0</v>
      </c>
      <c r="G68" s="352">
        <f t="shared" si="2"/>
        <v>0</v>
      </c>
      <c r="H68" s="565"/>
    </row>
    <row r="69" spans="2:8" ht="48" x14ac:dyDescent="0.2">
      <c r="B69" s="3187">
        <v>25</v>
      </c>
      <c r="C69" s="409" t="s">
        <v>309</v>
      </c>
      <c r="D69" s="207"/>
      <c r="E69" s="353"/>
      <c r="F69" s="467"/>
      <c r="G69" s="352"/>
    </row>
    <row r="70" spans="2:8" s="130" customFormat="1" x14ac:dyDescent="0.2">
      <c r="B70" s="3188"/>
      <c r="C70" s="291" t="s">
        <v>1732</v>
      </c>
      <c r="D70" s="221" t="s">
        <v>95</v>
      </c>
      <c r="E70" s="353">
        <v>28</v>
      </c>
      <c r="F70" s="467">
        <v>0</v>
      </c>
      <c r="G70" s="352">
        <f t="shared" ref="G70" si="3">E70*F70</f>
        <v>0</v>
      </c>
      <c r="H70" s="565"/>
    </row>
    <row r="71" spans="2:8" ht="48" x14ac:dyDescent="0.2">
      <c r="B71" s="131">
        <v>26</v>
      </c>
      <c r="C71" s="409" t="s">
        <v>142</v>
      </c>
      <c r="D71" s="207" t="s">
        <v>117</v>
      </c>
      <c r="E71" s="353">
        <v>35</v>
      </c>
      <c r="F71" s="467">
        <v>0</v>
      </c>
      <c r="G71" s="352">
        <f t="shared" si="2"/>
        <v>0</v>
      </c>
    </row>
    <row r="72" spans="2:8" ht="24" x14ac:dyDescent="0.2">
      <c r="B72" s="131">
        <v>27</v>
      </c>
      <c r="C72" s="409" t="s">
        <v>143</v>
      </c>
      <c r="D72" s="207" t="s">
        <v>95</v>
      </c>
      <c r="E72" s="353">
        <v>82</v>
      </c>
      <c r="F72" s="467">
        <v>0</v>
      </c>
      <c r="G72" s="352">
        <f t="shared" si="2"/>
        <v>0</v>
      </c>
      <c r="H72" s="571"/>
    </row>
    <row r="73" spans="2:8" ht="24" x14ac:dyDescent="0.2">
      <c r="B73" s="131">
        <v>28</v>
      </c>
      <c r="C73" s="409" t="s">
        <v>718</v>
      </c>
      <c r="D73" s="207" t="s">
        <v>95</v>
      </c>
      <c r="E73" s="353">
        <v>46</v>
      </c>
      <c r="F73" s="467">
        <v>0</v>
      </c>
      <c r="G73" s="352">
        <f t="shared" si="2"/>
        <v>0</v>
      </c>
      <c r="H73" s="571"/>
    </row>
    <row r="74" spans="2:8" ht="36" x14ac:dyDescent="0.2">
      <c r="B74" s="131">
        <v>29</v>
      </c>
      <c r="C74" s="410" t="s">
        <v>151</v>
      </c>
      <c r="D74" s="222" t="s">
        <v>112</v>
      </c>
      <c r="E74" s="472">
        <v>18</v>
      </c>
      <c r="F74" s="467">
        <v>0</v>
      </c>
      <c r="G74" s="352">
        <f t="shared" si="2"/>
        <v>0</v>
      </c>
    </row>
    <row r="75" spans="2:8" ht="36" x14ac:dyDescent="0.2">
      <c r="B75" s="131">
        <v>30</v>
      </c>
      <c r="C75" s="1366" t="s">
        <v>152</v>
      </c>
      <c r="D75" s="1367" t="s">
        <v>149</v>
      </c>
      <c r="E75" s="1359">
        <v>46</v>
      </c>
      <c r="F75" s="467">
        <v>0</v>
      </c>
      <c r="G75" s="1361">
        <f t="shared" si="2"/>
        <v>0</v>
      </c>
    </row>
    <row r="76" spans="2:8" ht="36" x14ac:dyDescent="0.2">
      <c r="B76" s="131">
        <v>31</v>
      </c>
      <c r="C76" s="223" t="s">
        <v>153</v>
      </c>
      <c r="D76" s="222" t="s">
        <v>112</v>
      </c>
      <c r="E76" s="472">
        <v>24</v>
      </c>
      <c r="F76" s="467">
        <v>0</v>
      </c>
      <c r="G76" s="352">
        <f t="shared" si="2"/>
        <v>0</v>
      </c>
    </row>
    <row r="77" spans="2:8" ht="24" x14ac:dyDescent="0.2">
      <c r="B77" s="131">
        <v>32</v>
      </c>
      <c r="C77" s="223" t="s">
        <v>155</v>
      </c>
      <c r="D77" s="222" t="s">
        <v>156</v>
      </c>
      <c r="E77" s="472">
        <v>45</v>
      </c>
      <c r="F77" s="467">
        <v>0</v>
      </c>
      <c r="G77" s="352">
        <f t="shared" si="2"/>
        <v>0</v>
      </c>
    </row>
    <row r="78" spans="2:8" s="147" customFormat="1" ht="21.75" customHeight="1" x14ac:dyDescent="0.25">
      <c r="B78" s="327" t="s">
        <v>12</v>
      </c>
      <c r="C78" s="214" t="s">
        <v>157</v>
      </c>
      <c r="D78" s="224"/>
      <c r="E78" s="215"/>
      <c r="F78" s="216"/>
      <c r="G78" s="290">
        <f>SUM(G41:G77)</f>
        <v>0</v>
      </c>
      <c r="H78" s="150"/>
    </row>
    <row r="79" spans="2:8" x14ac:dyDescent="0.2">
      <c r="B79" s="129"/>
      <c r="C79" s="197"/>
      <c r="D79" s="198"/>
      <c r="E79" s="353"/>
      <c r="F79" s="358"/>
      <c r="G79" s="350"/>
    </row>
    <row r="80" spans="2:8"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07" t="s">
        <v>722</v>
      </c>
      <c r="D91" s="226" t="s">
        <v>95</v>
      </c>
      <c r="E91" s="353">
        <v>139</v>
      </c>
      <c r="F91" s="467">
        <v>0</v>
      </c>
      <c r="G91" s="352">
        <f t="shared" ref="G91:G98" si="4">E91*F91</f>
        <v>0</v>
      </c>
      <c r="H91" s="150"/>
      <c r="I91" s="490"/>
    </row>
    <row r="92" spans="1:9" s="147" customFormat="1" ht="18.75" customHeight="1" x14ac:dyDescent="0.25">
      <c r="B92" s="148"/>
      <c r="C92" s="1807" t="s">
        <v>1244</v>
      </c>
      <c r="D92" s="226" t="s">
        <v>95</v>
      </c>
      <c r="E92" s="353">
        <v>4482</v>
      </c>
      <c r="F92" s="467">
        <v>0</v>
      </c>
      <c r="G92" s="352">
        <f t="shared" si="4"/>
        <v>0</v>
      </c>
      <c r="H92" s="150"/>
      <c r="I92" s="490"/>
    </row>
    <row r="93" spans="1:9" s="147" customFormat="1" ht="18.75" customHeight="1" x14ac:dyDescent="0.25">
      <c r="B93" s="148"/>
      <c r="C93" s="1807" t="s">
        <v>723</v>
      </c>
      <c r="D93" s="226" t="s">
        <v>95</v>
      </c>
      <c r="E93" s="353">
        <v>127</v>
      </c>
      <c r="F93" s="467">
        <v>0</v>
      </c>
      <c r="G93" s="352">
        <f t="shared" si="4"/>
        <v>0</v>
      </c>
      <c r="H93" s="150"/>
      <c r="I93" s="490"/>
    </row>
    <row r="94" spans="1:9" s="147" customFormat="1" ht="27" customHeight="1" x14ac:dyDescent="0.25">
      <c r="B94" s="148"/>
      <c r="C94" s="1807" t="s">
        <v>835</v>
      </c>
      <c r="D94" s="226" t="s">
        <v>95</v>
      </c>
      <c r="E94" s="353">
        <v>14</v>
      </c>
      <c r="F94" s="467">
        <v>0</v>
      </c>
      <c r="G94" s="352">
        <f t="shared" si="4"/>
        <v>0</v>
      </c>
      <c r="H94" s="150"/>
      <c r="I94" s="490"/>
    </row>
    <row r="95" spans="1:9" s="147" customFormat="1" ht="18.75" customHeight="1" x14ac:dyDescent="0.25">
      <c r="B95" s="148"/>
      <c r="C95" s="1807" t="s">
        <v>1733</v>
      </c>
      <c r="D95" s="226" t="s">
        <v>95</v>
      </c>
      <c r="E95" s="353">
        <v>107</v>
      </c>
      <c r="F95" s="467">
        <v>0</v>
      </c>
      <c r="G95" s="352">
        <f t="shared" si="4"/>
        <v>0</v>
      </c>
      <c r="H95" s="150"/>
      <c r="I95" s="490"/>
    </row>
    <row r="96" spans="1:9" s="147" customFormat="1" ht="27" customHeight="1" x14ac:dyDescent="0.25">
      <c r="B96" s="148"/>
      <c r="C96" s="1807" t="s">
        <v>1734</v>
      </c>
      <c r="D96" s="226" t="s">
        <v>95</v>
      </c>
      <c r="E96" s="353">
        <v>12</v>
      </c>
      <c r="F96" s="467">
        <v>0</v>
      </c>
      <c r="G96" s="352">
        <f t="shared" si="4"/>
        <v>0</v>
      </c>
      <c r="H96" s="150"/>
      <c r="I96" s="490"/>
    </row>
    <row r="97" spans="1:9" s="147" customFormat="1" ht="18.75" customHeight="1" x14ac:dyDescent="0.25">
      <c r="B97" s="148"/>
      <c r="C97" s="1807" t="s">
        <v>165</v>
      </c>
      <c r="D97" s="226" t="s">
        <v>95</v>
      </c>
      <c r="E97" s="353">
        <v>394</v>
      </c>
      <c r="F97" s="467">
        <v>0</v>
      </c>
      <c r="G97" s="352">
        <f t="shared" si="4"/>
        <v>0</v>
      </c>
      <c r="H97" s="150"/>
      <c r="I97" s="490"/>
    </row>
    <row r="98" spans="1:9" s="147" customFormat="1" ht="27" customHeight="1" x14ac:dyDescent="0.25">
      <c r="B98" s="148"/>
      <c r="C98" s="1807" t="s">
        <v>166</v>
      </c>
      <c r="D98" s="226" t="s">
        <v>95</v>
      </c>
      <c r="E98" s="353">
        <v>44</v>
      </c>
      <c r="F98" s="467">
        <v>0</v>
      </c>
      <c r="G98" s="352">
        <f t="shared" si="4"/>
        <v>0</v>
      </c>
      <c r="H98" s="150"/>
      <c r="I98" s="490"/>
    </row>
    <row r="99" spans="1:9" ht="40.5" customHeight="1" x14ac:dyDescent="0.2">
      <c r="A99" s="130"/>
      <c r="B99" s="3181" t="s">
        <v>167</v>
      </c>
      <c r="C99" s="310" t="s">
        <v>168</v>
      </c>
      <c r="D99" s="221"/>
      <c r="E99" s="353"/>
      <c r="F99" s="467"/>
      <c r="G99" s="352"/>
    </row>
    <row r="100" spans="1:9" ht="12.75" customHeight="1" x14ac:dyDescent="0.2">
      <c r="A100" s="130"/>
      <c r="B100" s="3182"/>
      <c r="C100" s="291" t="s">
        <v>169</v>
      </c>
      <c r="D100" s="221" t="s">
        <v>95</v>
      </c>
      <c r="E100" s="353">
        <v>10</v>
      </c>
      <c r="F100" s="467">
        <v>0</v>
      </c>
      <c r="G100" s="352">
        <f>E100*F100</f>
        <v>0</v>
      </c>
    </row>
    <row r="101" spans="1:9" ht="12.75" customHeight="1" x14ac:dyDescent="0.2">
      <c r="A101" s="130"/>
      <c r="B101" s="3183"/>
      <c r="C101" s="291" t="s">
        <v>171</v>
      </c>
      <c r="D101" s="221" t="s">
        <v>95</v>
      </c>
      <c r="E101" s="353">
        <v>40</v>
      </c>
      <c r="F101" s="467">
        <v>0</v>
      </c>
      <c r="G101" s="352">
        <f t="shared" ref="G101:G102" si="5">E101*F101</f>
        <v>0</v>
      </c>
    </row>
    <row r="102" spans="1:9" s="136" customFormat="1" ht="36" x14ac:dyDescent="0.2">
      <c r="B102" s="153">
        <v>2</v>
      </c>
      <c r="C102" s="1712" t="s">
        <v>172</v>
      </c>
      <c r="D102" s="1495" t="s">
        <v>95</v>
      </c>
      <c r="E102" s="1496">
        <f>E91+E92+E93+E94+E95+E96+E97+E98</f>
        <v>5319</v>
      </c>
      <c r="F102" s="467">
        <v>0</v>
      </c>
      <c r="G102" s="352">
        <f t="shared" si="5"/>
        <v>0</v>
      </c>
      <c r="H102" s="565"/>
    </row>
    <row r="103" spans="1:9" s="136" customFormat="1" ht="36" x14ac:dyDescent="0.2">
      <c r="B103" s="153" t="s">
        <v>173</v>
      </c>
      <c r="C103" s="1712" t="s">
        <v>174</v>
      </c>
      <c r="D103" s="1495" t="s">
        <v>95</v>
      </c>
      <c r="E103" s="1496">
        <f>E102</f>
        <v>5319</v>
      </c>
      <c r="F103" s="467">
        <v>0</v>
      </c>
      <c r="G103" s="352">
        <f>E103*F103</f>
        <v>0</v>
      </c>
      <c r="H103" s="565"/>
    </row>
    <row r="104" spans="1:9" s="136" customFormat="1" ht="24" x14ac:dyDescent="0.2">
      <c r="B104" s="153" t="s">
        <v>175</v>
      </c>
      <c r="C104" s="1712" t="s">
        <v>176</v>
      </c>
      <c r="D104" s="1495" t="s">
        <v>95</v>
      </c>
      <c r="E104" s="1496">
        <f>E102</f>
        <v>5319</v>
      </c>
      <c r="F104" s="467">
        <v>0</v>
      </c>
      <c r="G104" s="352">
        <f>E104*F104</f>
        <v>0</v>
      </c>
      <c r="H104" s="565"/>
    </row>
    <row r="105" spans="1:9" s="136" customFormat="1" ht="36" x14ac:dyDescent="0.2">
      <c r="B105" s="153" t="s">
        <v>177</v>
      </c>
      <c r="C105" s="1712" t="s">
        <v>178</v>
      </c>
      <c r="D105" s="1495" t="s">
        <v>95</v>
      </c>
      <c r="E105" s="1496">
        <f>E102</f>
        <v>5319</v>
      </c>
      <c r="F105" s="467">
        <v>0</v>
      </c>
      <c r="G105" s="352">
        <f>E105*F105</f>
        <v>0</v>
      </c>
      <c r="H105" s="565"/>
    </row>
    <row r="106" spans="1:9" s="136" customFormat="1" ht="24" x14ac:dyDescent="0.2">
      <c r="B106" s="153">
        <v>3</v>
      </c>
      <c r="C106" s="1713" t="s">
        <v>179</v>
      </c>
      <c r="D106" s="236"/>
      <c r="E106" s="232"/>
      <c r="F106" s="233">
        <v>0</v>
      </c>
      <c r="G106" s="489"/>
      <c r="H106" s="565"/>
    </row>
    <row r="107" spans="1:9" s="136" customFormat="1" x14ac:dyDescent="0.2">
      <c r="A107" s="121"/>
      <c r="B107" s="292" t="s">
        <v>180</v>
      </c>
      <c r="C107" s="1808" t="s">
        <v>181</v>
      </c>
      <c r="D107" s="231"/>
      <c r="E107" s="232"/>
      <c r="F107" s="233"/>
      <c r="G107" s="234"/>
      <c r="H107" s="565"/>
    </row>
    <row r="108" spans="1:9" s="136" customFormat="1" x14ac:dyDescent="0.2">
      <c r="A108" s="147"/>
      <c r="B108" s="129"/>
      <c r="C108" s="1808" t="s">
        <v>1735</v>
      </c>
      <c r="D108" s="231"/>
      <c r="E108" s="232"/>
      <c r="F108" s="233"/>
      <c r="G108" s="234"/>
      <c r="H108" s="565"/>
    </row>
    <row r="109" spans="1:9" s="136" customFormat="1" x14ac:dyDescent="0.2">
      <c r="A109" s="147"/>
      <c r="B109" s="129"/>
      <c r="C109" s="1809" t="s">
        <v>1272</v>
      </c>
      <c r="D109" s="236" t="s">
        <v>149</v>
      </c>
      <c r="E109" s="232">
        <v>60</v>
      </c>
      <c r="F109" s="271">
        <v>0</v>
      </c>
      <c r="G109" s="272">
        <f t="shared" ref="G109:G113" si="6">E109*F109</f>
        <v>0</v>
      </c>
      <c r="H109" s="565"/>
    </row>
    <row r="110" spans="1:9" s="136" customFormat="1" x14ac:dyDescent="0.2">
      <c r="A110" s="147"/>
      <c r="B110" s="129"/>
      <c r="C110" s="1809" t="s">
        <v>1273</v>
      </c>
      <c r="D110" s="236" t="s">
        <v>149</v>
      </c>
      <c r="E110" s="232">
        <v>62</v>
      </c>
      <c r="F110" s="271">
        <v>0</v>
      </c>
      <c r="G110" s="272">
        <f t="shared" si="6"/>
        <v>0</v>
      </c>
      <c r="H110" s="565"/>
    </row>
    <row r="111" spans="1:9" s="136" customFormat="1" x14ac:dyDescent="0.2">
      <c r="A111" s="147"/>
      <c r="B111" s="129"/>
      <c r="C111" s="1809" t="s">
        <v>1263</v>
      </c>
      <c r="D111" s="236" t="s">
        <v>149</v>
      </c>
      <c r="E111" s="232">
        <v>32</v>
      </c>
      <c r="F111" s="271">
        <v>0</v>
      </c>
      <c r="G111" s="272">
        <f t="shared" si="6"/>
        <v>0</v>
      </c>
      <c r="H111" s="565"/>
    </row>
    <row r="112" spans="1:9" s="136" customFormat="1" x14ac:dyDescent="0.2">
      <c r="A112" s="147"/>
      <c r="B112" s="129"/>
      <c r="C112" s="1809" t="s">
        <v>341</v>
      </c>
      <c r="D112" s="236" t="s">
        <v>149</v>
      </c>
      <c r="E112" s="232">
        <v>59</v>
      </c>
      <c r="F112" s="271">
        <v>0</v>
      </c>
      <c r="G112" s="272">
        <f t="shared" si="6"/>
        <v>0</v>
      </c>
      <c r="H112" s="565"/>
    </row>
    <row r="113" spans="1:8" s="136" customFormat="1" x14ac:dyDescent="0.2">
      <c r="A113" s="147"/>
      <c r="B113" s="152"/>
      <c r="C113" s="1810" t="s">
        <v>1274</v>
      </c>
      <c r="D113" s="236" t="s">
        <v>149</v>
      </c>
      <c r="E113" s="232">
        <v>128</v>
      </c>
      <c r="F113" s="271">
        <v>0</v>
      </c>
      <c r="G113" s="272">
        <f t="shared" si="6"/>
        <v>0</v>
      </c>
      <c r="H113" s="565"/>
    </row>
    <row r="114" spans="1:8" s="136" customFormat="1" x14ac:dyDescent="0.2">
      <c r="A114" s="147"/>
      <c r="B114" s="129"/>
      <c r="C114" s="1808" t="s">
        <v>836</v>
      </c>
      <c r="D114" s="231"/>
      <c r="E114" s="232"/>
      <c r="F114" s="233"/>
      <c r="G114" s="234"/>
      <c r="H114" s="565"/>
    </row>
    <row r="115" spans="1:8" s="136" customFormat="1" x14ac:dyDescent="0.2">
      <c r="A115" s="147"/>
      <c r="B115" s="152"/>
      <c r="C115" s="1810" t="s">
        <v>837</v>
      </c>
      <c r="D115" s="236" t="s">
        <v>149</v>
      </c>
      <c r="E115" s="232">
        <v>6</v>
      </c>
      <c r="F115" s="271">
        <v>0</v>
      </c>
      <c r="G115" s="272">
        <f t="shared" ref="G115" si="7">E115*F115</f>
        <v>0</v>
      </c>
      <c r="H115" s="565"/>
    </row>
    <row r="116" spans="1:8" s="136" customFormat="1" x14ac:dyDescent="0.2">
      <c r="B116" s="292" t="s">
        <v>188</v>
      </c>
      <c r="C116" s="238" t="s">
        <v>189</v>
      </c>
      <c r="D116" s="239"/>
      <c r="E116" s="240"/>
      <c r="F116" s="241">
        <v>0</v>
      </c>
      <c r="G116" s="242"/>
      <c r="H116" s="565"/>
    </row>
    <row r="117" spans="1:8" s="136" customFormat="1" x14ac:dyDescent="0.2">
      <c r="B117" s="135"/>
      <c r="C117" s="238" t="s">
        <v>1736</v>
      </c>
      <c r="D117" s="239"/>
      <c r="E117" s="240"/>
      <c r="F117" s="241">
        <v>0</v>
      </c>
      <c r="G117" s="242"/>
      <c r="H117" s="565"/>
    </row>
    <row r="118" spans="1:8" s="136" customFormat="1" x14ac:dyDescent="0.2">
      <c r="B118" s="135"/>
      <c r="C118" s="243" t="s">
        <v>1258</v>
      </c>
      <c r="D118" s="239" t="s">
        <v>149</v>
      </c>
      <c r="E118" s="240">
        <v>12</v>
      </c>
      <c r="F118" s="273">
        <v>0</v>
      </c>
      <c r="G118" s="274">
        <f t="shared" ref="G118:G124" si="8">E118*F118</f>
        <v>0</v>
      </c>
      <c r="H118" s="565"/>
    </row>
    <row r="119" spans="1:8" s="136" customFormat="1" ht="36" x14ac:dyDescent="0.2">
      <c r="B119" s="135"/>
      <c r="C119" s="244" t="s">
        <v>192</v>
      </c>
      <c r="D119" s="239" t="s">
        <v>149</v>
      </c>
      <c r="E119" s="240">
        <v>12</v>
      </c>
      <c r="F119" s="273">
        <v>0</v>
      </c>
      <c r="G119" s="274">
        <f t="shared" si="8"/>
        <v>0</v>
      </c>
      <c r="H119" s="565"/>
    </row>
    <row r="120" spans="1:8" s="136" customFormat="1" x14ac:dyDescent="0.2">
      <c r="B120" s="135"/>
      <c r="C120" s="244" t="s">
        <v>193</v>
      </c>
      <c r="D120" s="239" t="s">
        <v>149</v>
      </c>
      <c r="E120" s="240">
        <v>12</v>
      </c>
      <c r="F120" s="273">
        <v>0</v>
      </c>
      <c r="G120" s="274">
        <f t="shared" si="8"/>
        <v>0</v>
      </c>
      <c r="H120" s="565"/>
    </row>
    <row r="121" spans="1:8" s="136" customFormat="1" x14ac:dyDescent="0.2">
      <c r="B121" s="135"/>
      <c r="C121" s="244" t="s">
        <v>194</v>
      </c>
      <c r="D121" s="239" t="s">
        <v>149</v>
      </c>
      <c r="E121" s="240">
        <v>12</v>
      </c>
      <c r="F121" s="273">
        <v>0</v>
      </c>
      <c r="G121" s="274">
        <f t="shared" si="8"/>
        <v>0</v>
      </c>
      <c r="H121" s="565"/>
    </row>
    <row r="122" spans="1:8" s="136" customFormat="1" x14ac:dyDescent="0.2">
      <c r="B122" s="135"/>
      <c r="C122" s="1811" t="s">
        <v>354</v>
      </c>
      <c r="D122" s="239" t="s">
        <v>149</v>
      </c>
      <c r="E122" s="240">
        <v>24</v>
      </c>
      <c r="F122" s="273">
        <v>0</v>
      </c>
      <c r="G122" s="274">
        <f t="shared" si="8"/>
        <v>0</v>
      </c>
      <c r="H122" s="565"/>
    </row>
    <row r="123" spans="1:8" s="136" customFormat="1" x14ac:dyDescent="0.2">
      <c r="B123" s="135"/>
      <c r="C123" s="1811" t="s">
        <v>197</v>
      </c>
      <c r="D123" s="239" t="s">
        <v>149</v>
      </c>
      <c r="E123" s="240">
        <v>12</v>
      </c>
      <c r="F123" s="273">
        <v>0</v>
      </c>
      <c r="G123" s="274">
        <f t="shared" si="8"/>
        <v>0</v>
      </c>
      <c r="H123" s="565"/>
    </row>
    <row r="124" spans="1:8" s="136" customFormat="1" x14ac:dyDescent="0.2">
      <c r="B124" s="135"/>
      <c r="C124" s="1812" t="s">
        <v>198</v>
      </c>
      <c r="D124" s="239" t="s">
        <v>149</v>
      </c>
      <c r="E124" s="240">
        <v>12</v>
      </c>
      <c r="F124" s="273">
        <v>0</v>
      </c>
      <c r="G124" s="274">
        <f t="shared" si="8"/>
        <v>0</v>
      </c>
      <c r="H124" s="565"/>
    </row>
    <row r="125" spans="1:8" s="136" customFormat="1" x14ac:dyDescent="0.2">
      <c r="B125" s="292" t="s">
        <v>199</v>
      </c>
      <c r="C125" s="247" t="s">
        <v>200</v>
      </c>
      <c r="D125" s="202"/>
      <c r="E125" s="248"/>
      <c r="F125" s="249"/>
      <c r="G125" s="205"/>
      <c r="H125" s="565"/>
    </row>
    <row r="126" spans="1:8" s="136" customFormat="1" x14ac:dyDescent="0.2">
      <c r="B126" s="135"/>
      <c r="C126" s="247" t="s">
        <v>1737</v>
      </c>
      <c r="D126" s="202"/>
      <c r="E126" s="248"/>
      <c r="F126" s="249">
        <v>0</v>
      </c>
      <c r="G126" s="205"/>
      <c r="H126" s="565"/>
    </row>
    <row r="127" spans="1:8" s="136" customFormat="1" ht="12.75" customHeight="1" x14ac:dyDescent="0.2">
      <c r="B127" s="135"/>
      <c r="C127" s="250" t="s">
        <v>202</v>
      </c>
      <c r="D127" s="202" t="s">
        <v>149</v>
      </c>
      <c r="E127" s="248">
        <v>1</v>
      </c>
      <c r="F127" s="275">
        <v>0</v>
      </c>
      <c r="G127" s="276">
        <f t="shared" ref="G127:G131" si="9">E127*F127</f>
        <v>0</v>
      </c>
      <c r="H127" s="565"/>
    </row>
    <row r="128" spans="1:8" s="136" customFormat="1" x14ac:dyDescent="0.2">
      <c r="B128" s="135"/>
      <c r="C128" s="1813" t="s">
        <v>1738</v>
      </c>
      <c r="D128" s="202" t="s">
        <v>149</v>
      </c>
      <c r="E128" s="248">
        <v>2</v>
      </c>
      <c r="F128" s="275">
        <v>0</v>
      </c>
      <c r="G128" s="276">
        <f t="shared" si="9"/>
        <v>0</v>
      </c>
      <c r="H128" s="565"/>
    </row>
    <row r="129" spans="2:8" s="136" customFormat="1" x14ac:dyDescent="0.2">
      <c r="B129" s="135"/>
      <c r="C129" s="1813" t="s">
        <v>1739</v>
      </c>
      <c r="D129" s="202" t="s">
        <v>149</v>
      </c>
      <c r="E129" s="248">
        <v>2</v>
      </c>
      <c r="F129" s="275">
        <v>0</v>
      </c>
      <c r="G129" s="276">
        <f t="shared" si="9"/>
        <v>0</v>
      </c>
      <c r="H129" s="565"/>
    </row>
    <row r="130" spans="2:8" s="136" customFormat="1" x14ac:dyDescent="0.2">
      <c r="B130" s="135"/>
      <c r="C130" s="1814" t="s">
        <v>203</v>
      </c>
      <c r="D130" s="202" t="s">
        <v>149</v>
      </c>
      <c r="E130" s="248">
        <v>1</v>
      </c>
      <c r="F130" s="275">
        <v>0</v>
      </c>
      <c r="G130" s="276">
        <f t="shared" si="9"/>
        <v>0</v>
      </c>
      <c r="H130" s="565"/>
    </row>
    <row r="131" spans="2:8" s="136" customFormat="1" x14ac:dyDescent="0.2">
      <c r="B131" s="135"/>
      <c r="C131" s="1815" t="s">
        <v>198</v>
      </c>
      <c r="D131" s="202" t="s">
        <v>149</v>
      </c>
      <c r="E131" s="248">
        <v>1</v>
      </c>
      <c r="F131" s="275">
        <v>0</v>
      </c>
      <c r="G131" s="276">
        <f t="shared" si="9"/>
        <v>0</v>
      </c>
      <c r="H131" s="565"/>
    </row>
    <row r="132" spans="2:8" s="136" customFormat="1" x14ac:dyDescent="0.2">
      <c r="B132" s="292" t="s">
        <v>204</v>
      </c>
      <c r="C132" s="253" t="s">
        <v>205</v>
      </c>
      <c r="D132" s="254"/>
      <c r="E132" s="255"/>
      <c r="F132" s="256"/>
      <c r="G132" s="257"/>
      <c r="H132" s="565"/>
    </row>
    <row r="133" spans="2:8" s="136" customFormat="1" x14ac:dyDescent="0.2">
      <c r="B133" s="135"/>
      <c r="C133" s="253" t="s">
        <v>1740</v>
      </c>
      <c r="D133" s="254"/>
      <c r="E133" s="255"/>
      <c r="F133" s="256">
        <v>0</v>
      </c>
      <c r="G133" s="257"/>
      <c r="H133" s="565"/>
    </row>
    <row r="134" spans="2:8" s="136" customFormat="1" x14ac:dyDescent="0.2">
      <c r="B134" s="135"/>
      <c r="C134" s="258" t="s">
        <v>1255</v>
      </c>
      <c r="D134" s="254" t="s">
        <v>149</v>
      </c>
      <c r="E134" s="255">
        <v>13</v>
      </c>
      <c r="F134" s="277">
        <v>0</v>
      </c>
      <c r="G134" s="278">
        <f t="shared" ref="G134:G148" si="10">E134*F134</f>
        <v>0</v>
      </c>
      <c r="H134" s="565"/>
    </row>
    <row r="135" spans="2:8" s="136" customFormat="1" x14ac:dyDescent="0.2">
      <c r="B135" s="135"/>
      <c r="C135" s="258" t="s">
        <v>342</v>
      </c>
      <c r="D135" s="254" t="s">
        <v>149</v>
      </c>
      <c r="E135" s="255">
        <v>26</v>
      </c>
      <c r="F135" s="277">
        <v>0</v>
      </c>
      <c r="G135" s="278">
        <f t="shared" si="10"/>
        <v>0</v>
      </c>
      <c r="H135" s="565"/>
    </row>
    <row r="136" spans="2:8" s="136" customFormat="1" x14ac:dyDescent="0.2">
      <c r="B136" s="135"/>
      <c r="C136" s="259" t="s">
        <v>843</v>
      </c>
      <c r="D136" s="254" t="s">
        <v>149</v>
      </c>
      <c r="E136" s="255">
        <v>13</v>
      </c>
      <c r="F136" s="277">
        <v>0</v>
      </c>
      <c r="G136" s="278">
        <f t="shared" si="10"/>
        <v>0</v>
      </c>
      <c r="H136" s="565"/>
    </row>
    <row r="137" spans="2:8" s="136" customFormat="1" x14ac:dyDescent="0.2">
      <c r="B137" s="135"/>
      <c r="C137" s="259" t="s">
        <v>210</v>
      </c>
      <c r="D137" s="254" t="s">
        <v>149</v>
      </c>
      <c r="E137" s="255">
        <v>13</v>
      </c>
      <c r="F137" s="277">
        <v>0</v>
      </c>
      <c r="G137" s="278">
        <f t="shared" si="10"/>
        <v>0</v>
      </c>
      <c r="H137" s="565"/>
    </row>
    <row r="138" spans="2:8" s="136" customFormat="1" x14ac:dyDescent="0.2">
      <c r="B138" s="135"/>
      <c r="C138" s="259" t="s">
        <v>211</v>
      </c>
      <c r="D138" s="254" t="s">
        <v>149</v>
      </c>
      <c r="E138" s="255">
        <v>13</v>
      </c>
      <c r="F138" s="277">
        <v>0</v>
      </c>
      <c r="G138" s="278">
        <f t="shared" si="10"/>
        <v>0</v>
      </c>
      <c r="H138" s="565"/>
    </row>
    <row r="139" spans="2:8" s="136" customFormat="1" x14ac:dyDescent="0.2">
      <c r="B139" s="135"/>
      <c r="C139" s="259" t="s">
        <v>212</v>
      </c>
      <c r="D139" s="254" t="s">
        <v>149</v>
      </c>
      <c r="E139" s="255">
        <v>13</v>
      </c>
      <c r="F139" s="277">
        <v>0</v>
      </c>
      <c r="G139" s="278">
        <f t="shared" si="10"/>
        <v>0</v>
      </c>
      <c r="H139" s="565"/>
    </row>
    <row r="140" spans="2:8" s="136" customFormat="1" x14ac:dyDescent="0.2">
      <c r="B140" s="135"/>
      <c r="C140" s="259" t="s">
        <v>213</v>
      </c>
      <c r="D140" s="254" t="s">
        <v>149</v>
      </c>
      <c r="E140" s="255">
        <v>13</v>
      </c>
      <c r="F140" s="277">
        <v>0</v>
      </c>
      <c r="G140" s="278">
        <f t="shared" si="10"/>
        <v>0</v>
      </c>
      <c r="H140" s="565"/>
    </row>
    <row r="141" spans="2:8" s="136" customFormat="1" x14ac:dyDescent="0.2">
      <c r="B141" s="135"/>
      <c r="C141" s="259" t="s">
        <v>214</v>
      </c>
      <c r="D141" s="254" t="s">
        <v>149</v>
      </c>
      <c r="E141" s="255">
        <v>13</v>
      </c>
      <c r="F141" s="277">
        <v>0</v>
      </c>
      <c r="G141" s="278">
        <f t="shared" si="10"/>
        <v>0</v>
      </c>
      <c r="H141" s="565"/>
    </row>
    <row r="142" spans="2:8" s="136" customFormat="1" x14ac:dyDescent="0.2">
      <c r="B142" s="135"/>
      <c r="C142" s="259" t="s">
        <v>215</v>
      </c>
      <c r="D142" s="254" t="s">
        <v>149</v>
      </c>
      <c r="E142" s="255">
        <v>13</v>
      </c>
      <c r="F142" s="277">
        <v>0</v>
      </c>
      <c r="G142" s="278">
        <f t="shared" si="10"/>
        <v>0</v>
      </c>
      <c r="H142" s="565"/>
    </row>
    <row r="143" spans="2:8" s="136" customFormat="1" x14ac:dyDescent="0.2">
      <c r="B143" s="135"/>
      <c r="C143" s="1816" t="s">
        <v>216</v>
      </c>
      <c r="D143" s="254" t="s">
        <v>149</v>
      </c>
      <c r="E143" s="255">
        <v>13</v>
      </c>
      <c r="F143" s="277">
        <v>0</v>
      </c>
      <c r="G143" s="278">
        <f t="shared" si="10"/>
        <v>0</v>
      </c>
      <c r="H143" s="565"/>
    </row>
    <row r="144" spans="2:8" s="136" customFormat="1" x14ac:dyDescent="0.2">
      <c r="B144" s="135"/>
      <c r="C144" s="1816" t="s">
        <v>329</v>
      </c>
      <c r="D144" s="254" t="s">
        <v>149</v>
      </c>
      <c r="E144" s="255">
        <v>13</v>
      </c>
      <c r="F144" s="277">
        <v>0</v>
      </c>
      <c r="G144" s="278">
        <f t="shared" si="10"/>
        <v>0</v>
      </c>
      <c r="H144" s="565"/>
    </row>
    <row r="145" spans="2:8" s="136" customFormat="1" x14ac:dyDescent="0.2">
      <c r="B145" s="135"/>
      <c r="C145" s="1816" t="s">
        <v>354</v>
      </c>
      <c r="D145" s="254" t="s">
        <v>149</v>
      </c>
      <c r="E145" s="255">
        <v>26</v>
      </c>
      <c r="F145" s="277">
        <v>0</v>
      </c>
      <c r="G145" s="278">
        <f t="shared" si="10"/>
        <v>0</v>
      </c>
      <c r="H145" s="565"/>
    </row>
    <row r="146" spans="2:8" s="136" customFormat="1" x14ac:dyDescent="0.2">
      <c r="B146" s="135"/>
      <c r="C146" s="1816" t="s">
        <v>219</v>
      </c>
      <c r="D146" s="254" t="s">
        <v>149</v>
      </c>
      <c r="E146" s="255">
        <v>13</v>
      </c>
      <c r="F146" s="277">
        <v>0</v>
      </c>
      <c r="G146" s="278">
        <f t="shared" si="10"/>
        <v>0</v>
      </c>
      <c r="H146" s="565"/>
    </row>
    <row r="147" spans="2:8" s="136" customFormat="1" x14ac:dyDescent="0.2">
      <c r="B147" s="135"/>
      <c r="C147" s="1816" t="s">
        <v>227</v>
      </c>
      <c r="D147" s="254" t="s">
        <v>149</v>
      </c>
      <c r="E147" s="255">
        <v>39</v>
      </c>
      <c r="F147" s="277">
        <v>0</v>
      </c>
      <c r="G147" s="278">
        <f t="shared" si="10"/>
        <v>0</v>
      </c>
      <c r="H147" s="565"/>
    </row>
    <row r="148" spans="2:8" s="136" customFormat="1" x14ac:dyDescent="0.2">
      <c r="B148" s="135"/>
      <c r="C148" s="1817" t="s">
        <v>198</v>
      </c>
      <c r="D148" s="254" t="s">
        <v>149</v>
      </c>
      <c r="E148" s="255">
        <v>13</v>
      </c>
      <c r="F148" s="277">
        <v>0</v>
      </c>
      <c r="G148" s="278">
        <f t="shared" si="10"/>
        <v>0</v>
      </c>
      <c r="H148" s="565"/>
    </row>
    <row r="149" spans="2:8" s="136" customFormat="1" x14ac:dyDescent="0.2">
      <c r="B149" s="292" t="s">
        <v>220</v>
      </c>
      <c r="C149" s="238" t="s">
        <v>221</v>
      </c>
      <c r="D149" s="239"/>
      <c r="E149" s="240"/>
      <c r="F149" s="241"/>
      <c r="G149" s="242"/>
      <c r="H149" s="565"/>
    </row>
    <row r="150" spans="2:8" s="136" customFormat="1" x14ac:dyDescent="0.2">
      <c r="B150" s="135"/>
      <c r="C150" s="238" t="s">
        <v>1741</v>
      </c>
      <c r="D150" s="239"/>
      <c r="E150" s="240"/>
      <c r="F150" s="241">
        <v>0</v>
      </c>
      <c r="G150" s="242"/>
      <c r="H150" s="565"/>
    </row>
    <row r="151" spans="2:8" s="136" customFormat="1" x14ac:dyDescent="0.2">
      <c r="B151" s="135"/>
      <c r="C151" s="243" t="s">
        <v>1255</v>
      </c>
      <c r="D151" s="239" t="s">
        <v>149</v>
      </c>
      <c r="E151" s="240">
        <v>16</v>
      </c>
      <c r="F151" s="273">
        <v>0</v>
      </c>
      <c r="G151" s="274">
        <f t="shared" ref="G151:G161" si="11">E151*F151</f>
        <v>0</v>
      </c>
      <c r="H151" s="565"/>
    </row>
    <row r="152" spans="2:8" s="136" customFormat="1" ht="24" x14ac:dyDescent="0.2">
      <c r="B152" s="135"/>
      <c r="C152" s="244" t="s">
        <v>223</v>
      </c>
      <c r="D152" s="239" t="s">
        <v>149</v>
      </c>
      <c r="E152" s="240">
        <v>16</v>
      </c>
      <c r="F152" s="273">
        <v>0</v>
      </c>
      <c r="G152" s="274">
        <f t="shared" si="11"/>
        <v>0</v>
      </c>
      <c r="H152" s="565"/>
    </row>
    <row r="153" spans="2:8" s="136" customFormat="1" x14ac:dyDescent="0.2">
      <c r="B153" s="135"/>
      <c r="C153" s="244" t="s">
        <v>213</v>
      </c>
      <c r="D153" s="239" t="s">
        <v>149</v>
      </c>
      <c r="E153" s="240">
        <v>16</v>
      </c>
      <c r="F153" s="273">
        <v>0</v>
      </c>
      <c r="G153" s="274">
        <f t="shared" si="11"/>
        <v>0</v>
      </c>
      <c r="H153" s="565"/>
    </row>
    <row r="154" spans="2:8" s="136" customFormat="1" x14ac:dyDescent="0.2">
      <c r="B154" s="135"/>
      <c r="C154" s="244" t="s">
        <v>224</v>
      </c>
      <c r="D154" s="239" t="s">
        <v>149</v>
      </c>
      <c r="E154" s="240">
        <v>16</v>
      </c>
      <c r="F154" s="273">
        <v>0</v>
      </c>
      <c r="G154" s="274">
        <f t="shared" si="11"/>
        <v>0</v>
      </c>
      <c r="H154" s="565"/>
    </row>
    <row r="155" spans="2:8" s="136" customFormat="1" x14ac:dyDescent="0.2">
      <c r="B155" s="135"/>
      <c r="C155" s="244" t="s">
        <v>225</v>
      </c>
      <c r="D155" s="239" t="s">
        <v>149</v>
      </c>
      <c r="E155" s="240">
        <v>16</v>
      </c>
      <c r="F155" s="273">
        <v>0</v>
      </c>
      <c r="G155" s="274">
        <f t="shared" si="11"/>
        <v>0</v>
      </c>
      <c r="H155" s="565"/>
    </row>
    <row r="156" spans="2:8" s="136" customFormat="1" x14ac:dyDescent="0.2">
      <c r="B156" s="135"/>
      <c r="C156" s="1811" t="s">
        <v>226</v>
      </c>
      <c r="D156" s="239" t="s">
        <v>149</v>
      </c>
      <c r="E156" s="240">
        <v>16</v>
      </c>
      <c r="F156" s="273">
        <v>0</v>
      </c>
      <c r="G156" s="274">
        <f t="shared" si="11"/>
        <v>0</v>
      </c>
      <c r="H156" s="565"/>
    </row>
    <row r="157" spans="2:8" s="136" customFormat="1" x14ac:dyDescent="0.2">
      <c r="B157" s="135"/>
      <c r="C157" s="1811" t="s">
        <v>217</v>
      </c>
      <c r="D157" s="239" t="s">
        <v>149</v>
      </c>
      <c r="E157" s="240">
        <v>16</v>
      </c>
      <c r="F157" s="273">
        <v>0</v>
      </c>
      <c r="G157" s="274">
        <f t="shared" si="11"/>
        <v>0</v>
      </c>
      <c r="H157" s="565"/>
    </row>
    <row r="158" spans="2:8" s="136" customFormat="1" x14ac:dyDescent="0.2">
      <c r="B158" s="135"/>
      <c r="C158" s="1811" t="s">
        <v>354</v>
      </c>
      <c r="D158" s="239" t="s">
        <v>149</v>
      </c>
      <c r="E158" s="240">
        <v>32</v>
      </c>
      <c r="F158" s="273">
        <v>0</v>
      </c>
      <c r="G158" s="274">
        <f t="shared" si="11"/>
        <v>0</v>
      </c>
      <c r="H158" s="565"/>
    </row>
    <row r="159" spans="2:8" s="136" customFormat="1" x14ac:dyDescent="0.2">
      <c r="B159" s="135"/>
      <c r="C159" s="1811" t="s">
        <v>227</v>
      </c>
      <c r="D159" s="239" t="s">
        <v>149</v>
      </c>
      <c r="E159" s="240">
        <v>16</v>
      </c>
      <c r="F159" s="273">
        <v>0</v>
      </c>
      <c r="G159" s="274">
        <f t="shared" si="11"/>
        <v>0</v>
      </c>
      <c r="H159" s="565"/>
    </row>
    <row r="160" spans="2:8" s="136" customFormat="1" x14ac:dyDescent="0.2">
      <c r="B160" s="135"/>
      <c r="C160" s="1812" t="s">
        <v>198</v>
      </c>
      <c r="D160" s="239" t="s">
        <v>149</v>
      </c>
      <c r="E160" s="240">
        <v>16</v>
      </c>
      <c r="F160" s="273">
        <v>0</v>
      </c>
      <c r="G160" s="274">
        <f t="shared" si="11"/>
        <v>0</v>
      </c>
      <c r="H160" s="565"/>
    </row>
    <row r="161" spans="1:8" s="136" customFormat="1" ht="24" x14ac:dyDescent="0.2">
      <c r="A161" s="121"/>
      <c r="B161" s="309" t="s">
        <v>228</v>
      </c>
      <c r="C161" s="238" t="s">
        <v>229</v>
      </c>
      <c r="D161" s="239" t="s">
        <v>149</v>
      </c>
      <c r="E161" s="240">
        <v>16</v>
      </c>
      <c r="F161" s="273">
        <v>0</v>
      </c>
      <c r="G161" s="274">
        <f t="shared" si="11"/>
        <v>0</v>
      </c>
      <c r="H161" s="565"/>
    </row>
    <row r="162" spans="1:8" s="136" customFormat="1" x14ac:dyDescent="0.2">
      <c r="B162" s="292" t="s">
        <v>330</v>
      </c>
      <c r="C162" s="247" t="s">
        <v>331</v>
      </c>
      <c r="D162" s="247"/>
      <c r="E162" s="247"/>
      <c r="F162" s="247"/>
      <c r="G162" s="247"/>
      <c r="H162" s="565"/>
    </row>
    <row r="163" spans="1:8" s="136" customFormat="1" x14ac:dyDescent="0.2">
      <c r="B163" s="135"/>
      <c r="C163" s="247" t="s">
        <v>1742</v>
      </c>
      <c r="D163" s="202"/>
      <c r="E163" s="248"/>
      <c r="F163" s="249">
        <v>0</v>
      </c>
      <c r="G163" s="205"/>
      <c r="H163" s="565"/>
    </row>
    <row r="164" spans="1:8" s="136" customFormat="1" ht="27" customHeight="1" x14ac:dyDescent="0.2">
      <c r="B164" s="135"/>
      <c r="C164" s="262" t="s">
        <v>1743</v>
      </c>
      <c r="D164" s="202" t="s">
        <v>149</v>
      </c>
      <c r="E164" s="248">
        <v>1</v>
      </c>
      <c r="F164" s="275">
        <v>0</v>
      </c>
      <c r="G164" s="276">
        <f t="shared" ref="G164:G168" si="12">E164*F164</f>
        <v>0</v>
      </c>
      <c r="H164" s="565"/>
    </row>
    <row r="165" spans="1:8" s="136" customFormat="1" x14ac:dyDescent="0.2">
      <c r="B165" s="135"/>
      <c r="C165" s="1814" t="s">
        <v>354</v>
      </c>
      <c r="D165" s="202" t="s">
        <v>149</v>
      </c>
      <c r="E165" s="248">
        <v>2</v>
      </c>
      <c r="F165" s="275">
        <v>0</v>
      </c>
      <c r="G165" s="276">
        <f t="shared" si="12"/>
        <v>0</v>
      </c>
      <c r="H165" s="565"/>
    </row>
    <row r="166" spans="1:8" s="136" customFormat="1" x14ac:dyDescent="0.2">
      <c r="B166" s="135"/>
      <c r="C166" s="1814" t="s">
        <v>227</v>
      </c>
      <c r="D166" s="202" t="s">
        <v>149</v>
      </c>
      <c r="E166" s="248">
        <v>1</v>
      </c>
      <c r="F166" s="275">
        <v>0</v>
      </c>
      <c r="G166" s="276">
        <f t="shared" si="12"/>
        <v>0</v>
      </c>
      <c r="H166" s="565"/>
    </row>
    <row r="167" spans="1:8" s="136" customFormat="1" x14ac:dyDescent="0.2">
      <c r="B167" s="135"/>
      <c r="C167" s="1815" t="s">
        <v>198</v>
      </c>
      <c r="D167" s="202" t="s">
        <v>149</v>
      </c>
      <c r="E167" s="248">
        <v>1</v>
      </c>
      <c r="F167" s="275">
        <v>0</v>
      </c>
      <c r="G167" s="276">
        <f t="shared" si="12"/>
        <v>0</v>
      </c>
      <c r="H167" s="565"/>
    </row>
    <row r="168" spans="1:8" s="136" customFormat="1" x14ac:dyDescent="0.2">
      <c r="B168" s="135"/>
      <c r="C168" s="1818" t="s">
        <v>1725</v>
      </c>
      <c r="D168" s="202" t="s">
        <v>149</v>
      </c>
      <c r="E168" s="248">
        <v>3</v>
      </c>
      <c r="F168" s="275">
        <v>0</v>
      </c>
      <c r="G168" s="276">
        <f t="shared" si="12"/>
        <v>0</v>
      </c>
      <c r="H168" s="565"/>
    </row>
    <row r="169" spans="1:8" s="136" customFormat="1" x14ac:dyDescent="0.2">
      <c r="B169" s="292" t="s">
        <v>230</v>
      </c>
      <c r="C169" s="253" t="s">
        <v>231</v>
      </c>
      <c r="D169" s="254"/>
      <c r="E169" s="255"/>
      <c r="F169" s="256"/>
      <c r="G169" s="257"/>
      <c r="H169" s="565"/>
    </row>
    <row r="170" spans="1:8" s="136" customFormat="1" ht="14.25" customHeight="1" x14ac:dyDescent="0.2">
      <c r="B170" s="135"/>
      <c r="C170" s="253" t="s">
        <v>1744</v>
      </c>
      <c r="D170" s="254"/>
      <c r="E170" s="255"/>
      <c r="F170" s="256">
        <v>0</v>
      </c>
      <c r="G170" s="257"/>
      <c r="H170" s="565"/>
    </row>
    <row r="171" spans="1:8" s="136" customFormat="1" ht="24" x14ac:dyDescent="0.2">
      <c r="B171" s="135"/>
      <c r="C171" s="258" t="s">
        <v>1745</v>
      </c>
      <c r="D171" s="254" t="s">
        <v>149</v>
      </c>
      <c r="E171" s="255">
        <v>3</v>
      </c>
      <c r="F171" s="277">
        <v>0</v>
      </c>
      <c r="G171" s="278">
        <f t="shared" ref="G171:G174" si="13">E171*F171</f>
        <v>0</v>
      </c>
      <c r="H171" s="565"/>
    </row>
    <row r="172" spans="1:8" s="136" customFormat="1" x14ac:dyDescent="0.2">
      <c r="B172" s="135"/>
      <c r="C172" s="1816" t="s">
        <v>354</v>
      </c>
      <c r="D172" s="254" t="s">
        <v>149</v>
      </c>
      <c r="E172" s="255">
        <v>6</v>
      </c>
      <c r="F172" s="277">
        <v>0</v>
      </c>
      <c r="G172" s="278">
        <f t="shared" si="13"/>
        <v>0</v>
      </c>
      <c r="H172" s="565"/>
    </row>
    <row r="173" spans="1:8" s="136" customFormat="1" x14ac:dyDescent="0.2">
      <c r="B173" s="135"/>
      <c r="C173" s="1816" t="s">
        <v>227</v>
      </c>
      <c r="D173" s="254" t="s">
        <v>149</v>
      </c>
      <c r="E173" s="255">
        <v>3</v>
      </c>
      <c r="F173" s="277">
        <v>0</v>
      </c>
      <c r="G173" s="278">
        <f t="shared" si="13"/>
        <v>0</v>
      </c>
      <c r="H173" s="565"/>
    </row>
    <row r="174" spans="1:8" s="136" customFormat="1" x14ac:dyDescent="0.2">
      <c r="B174" s="135"/>
      <c r="C174" s="1817" t="s">
        <v>198</v>
      </c>
      <c r="D174" s="254" t="s">
        <v>149</v>
      </c>
      <c r="E174" s="255">
        <v>3</v>
      </c>
      <c r="F174" s="277">
        <v>0</v>
      </c>
      <c r="G174" s="278">
        <f t="shared" si="13"/>
        <v>0</v>
      </c>
      <c r="H174" s="565"/>
    </row>
    <row r="175" spans="1:8" s="136" customFormat="1" x14ac:dyDescent="0.2">
      <c r="B175" s="135"/>
      <c r="C175" s="253" t="s">
        <v>1724</v>
      </c>
      <c r="D175" s="254"/>
      <c r="E175" s="255"/>
      <c r="F175" s="256">
        <v>0</v>
      </c>
      <c r="G175" s="257"/>
      <c r="H175" s="565"/>
    </row>
    <row r="176" spans="1:8" s="136" customFormat="1" ht="24" x14ac:dyDescent="0.2">
      <c r="B176" s="135"/>
      <c r="C176" s="258" t="s">
        <v>1097</v>
      </c>
      <c r="D176" s="254" t="s">
        <v>149</v>
      </c>
      <c r="E176" s="255">
        <v>4</v>
      </c>
      <c r="F176" s="277">
        <v>0</v>
      </c>
      <c r="G176" s="278">
        <f t="shared" ref="G176:G181" si="14">E176*F176</f>
        <v>0</v>
      </c>
      <c r="H176" s="565"/>
    </row>
    <row r="177" spans="1:8" s="136" customFormat="1" x14ac:dyDescent="0.2">
      <c r="B177" s="135"/>
      <c r="C177" s="1819" t="s">
        <v>354</v>
      </c>
      <c r="D177" s="254" t="s">
        <v>149</v>
      </c>
      <c r="E177" s="255">
        <v>8</v>
      </c>
      <c r="F177" s="277">
        <v>0</v>
      </c>
      <c r="G177" s="278">
        <f t="shared" si="14"/>
        <v>0</v>
      </c>
      <c r="H177" s="565"/>
    </row>
    <row r="178" spans="1:8" s="136" customFormat="1" x14ac:dyDescent="0.2">
      <c r="B178" s="135"/>
      <c r="C178" s="1819" t="s">
        <v>195</v>
      </c>
      <c r="D178" s="254" t="s">
        <v>149</v>
      </c>
      <c r="E178" s="255">
        <v>4</v>
      </c>
      <c r="F178" s="277">
        <v>0</v>
      </c>
      <c r="G178" s="278">
        <f t="shared" si="14"/>
        <v>0</v>
      </c>
      <c r="H178" s="565"/>
    </row>
    <row r="179" spans="1:8" s="136" customFormat="1" x14ac:dyDescent="0.2">
      <c r="B179" s="135"/>
      <c r="C179" s="1819" t="s">
        <v>1723</v>
      </c>
      <c r="D179" s="254" t="s">
        <v>149</v>
      </c>
      <c r="E179" s="255">
        <v>4</v>
      </c>
      <c r="F179" s="277">
        <v>0</v>
      </c>
      <c r="G179" s="278">
        <f t="shared" si="14"/>
        <v>0</v>
      </c>
      <c r="H179" s="565"/>
    </row>
    <row r="180" spans="1:8" s="136" customFormat="1" x14ac:dyDescent="0.2">
      <c r="B180" s="135"/>
      <c r="C180" s="1819" t="s">
        <v>227</v>
      </c>
      <c r="D180" s="254" t="s">
        <v>149</v>
      </c>
      <c r="E180" s="255">
        <v>4</v>
      </c>
      <c r="F180" s="277">
        <v>0</v>
      </c>
      <c r="G180" s="278">
        <f t="shared" si="14"/>
        <v>0</v>
      </c>
      <c r="H180" s="565"/>
    </row>
    <row r="181" spans="1:8" s="136" customFormat="1" x14ac:dyDescent="0.2">
      <c r="B181" s="135"/>
      <c r="C181" s="1820" t="s">
        <v>1725</v>
      </c>
      <c r="D181" s="254" t="s">
        <v>149</v>
      </c>
      <c r="E181" s="255">
        <v>4</v>
      </c>
      <c r="F181" s="277">
        <v>0</v>
      </c>
      <c r="G181" s="278">
        <f t="shared" si="14"/>
        <v>0</v>
      </c>
      <c r="H181" s="565"/>
    </row>
    <row r="182" spans="1:8" s="136" customFormat="1" x14ac:dyDescent="0.2">
      <c r="B182" s="135"/>
      <c r="C182" s="253" t="s">
        <v>1746</v>
      </c>
      <c r="D182" s="254"/>
      <c r="E182" s="255"/>
      <c r="F182" s="256">
        <v>0</v>
      </c>
      <c r="G182" s="257"/>
      <c r="H182" s="565"/>
    </row>
    <row r="183" spans="1:8" s="136" customFormat="1" ht="24" x14ac:dyDescent="0.2">
      <c r="B183" s="135"/>
      <c r="C183" s="1819" t="s">
        <v>1097</v>
      </c>
      <c r="D183" s="254" t="s">
        <v>149</v>
      </c>
      <c r="E183" s="255">
        <v>4</v>
      </c>
      <c r="F183" s="277">
        <v>0</v>
      </c>
      <c r="G183" s="278">
        <f t="shared" ref="G183:G188" si="15">E183*F183</f>
        <v>0</v>
      </c>
      <c r="H183" s="565"/>
    </row>
    <row r="184" spans="1:8" s="136" customFormat="1" x14ac:dyDescent="0.2">
      <c r="B184" s="135"/>
      <c r="C184" s="1816" t="s">
        <v>354</v>
      </c>
      <c r="D184" s="254" t="s">
        <v>149</v>
      </c>
      <c r="E184" s="255">
        <v>8</v>
      </c>
      <c r="F184" s="277">
        <v>0</v>
      </c>
      <c r="G184" s="278">
        <f t="shared" si="15"/>
        <v>0</v>
      </c>
      <c r="H184" s="565"/>
    </row>
    <row r="185" spans="1:8" s="136" customFormat="1" x14ac:dyDescent="0.2">
      <c r="B185" s="135"/>
      <c r="C185" s="1816" t="s">
        <v>235</v>
      </c>
      <c r="D185" s="254" t="s">
        <v>149</v>
      </c>
      <c r="E185" s="255">
        <v>4</v>
      </c>
      <c r="F185" s="277">
        <v>0</v>
      </c>
      <c r="G185" s="278">
        <f t="shared" si="15"/>
        <v>0</v>
      </c>
      <c r="H185" s="565"/>
    </row>
    <row r="186" spans="1:8" s="136" customFormat="1" x14ac:dyDescent="0.2">
      <c r="B186" s="135"/>
      <c r="C186" s="1816" t="s">
        <v>236</v>
      </c>
      <c r="D186" s="254" t="s">
        <v>149</v>
      </c>
      <c r="E186" s="255">
        <v>4</v>
      </c>
      <c r="F186" s="277">
        <v>0</v>
      </c>
      <c r="G186" s="278">
        <f t="shared" si="15"/>
        <v>0</v>
      </c>
      <c r="H186" s="565"/>
    </row>
    <row r="187" spans="1:8" s="136" customFormat="1" x14ac:dyDescent="0.2">
      <c r="B187" s="135"/>
      <c r="C187" s="1816" t="s">
        <v>227</v>
      </c>
      <c r="D187" s="254" t="s">
        <v>149</v>
      </c>
      <c r="E187" s="255">
        <v>4</v>
      </c>
      <c r="F187" s="277">
        <v>0</v>
      </c>
      <c r="G187" s="278">
        <f t="shared" si="15"/>
        <v>0</v>
      </c>
      <c r="H187" s="565"/>
    </row>
    <row r="188" spans="1:8" s="136" customFormat="1" x14ac:dyDescent="0.2">
      <c r="B188" s="135"/>
      <c r="C188" s="1817" t="s">
        <v>198</v>
      </c>
      <c r="D188" s="254" t="s">
        <v>149</v>
      </c>
      <c r="E188" s="255">
        <v>4</v>
      </c>
      <c r="F188" s="277">
        <v>0</v>
      </c>
      <c r="G188" s="278">
        <f t="shared" si="15"/>
        <v>0</v>
      </c>
      <c r="H188" s="565"/>
    </row>
    <row r="189" spans="1:8" s="136" customFormat="1" x14ac:dyDescent="0.2">
      <c r="B189" s="135"/>
      <c r="C189" s="253" t="s">
        <v>1747</v>
      </c>
      <c r="D189" s="254"/>
      <c r="E189" s="255"/>
      <c r="F189" s="256">
        <v>0</v>
      </c>
      <c r="G189" s="257"/>
      <c r="H189" s="565"/>
    </row>
    <row r="190" spans="1:8" s="136" customFormat="1" ht="24" x14ac:dyDescent="0.2">
      <c r="B190" s="135"/>
      <c r="C190" s="258" t="s">
        <v>1266</v>
      </c>
      <c r="D190" s="254" t="s">
        <v>149</v>
      </c>
      <c r="E190" s="255">
        <v>1</v>
      </c>
      <c r="F190" s="277">
        <v>0</v>
      </c>
      <c r="G190" s="278">
        <f t="shared" ref="G190:G197" si="16">E190*F190</f>
        <v>0</v>
      </c>
      <c r="H190" s="565"/>
    </row>
    <row r="191" spans="1:8" s="136" customFormat="1" x14ac:dyDescent="0.2">
      <c r="B191" s="135"/>
      <c r="C191" s="1816" t="s">
        <v>354</v>
      </c>
      <c r="D191" s="254" t="s">
        <v>149</v>
      </c>
      <c r="E191" s="255">
        <v>2</v>
      </c>
      <c r="F191" s="277">
        <v>0</v>
      </c>
      <c r="G191" s="278">
        <f t="shared" si="16"/>
        <v>0</v>
      </c>
      <c r="H191" s="565"/>
    </row>
    <row r="192" spans="1:8" x14ac:dyDescent="0.2">
      <c r="A192" s="136"/>
      <c r="B192" s="135"/>
      <c r="C192" s="1816" t="s">
        <v>239</v>
      </c>
      <c r="D192" s="254" t="s">
        <v>149</v>
      </c>
      <c r="E192" s="255">
        <v>1</v>
      </c>
      <c r="F192" s="277">
        <v>0</v>
      </c>
      <c r="G192" s="278">
        <f t="shared" si="16"/>
        <v>0</v>
      </c>
    </row>
    <row r="193" spans="1:8" s="136" customFormat="1" x14ac:dyDescent="0.2">
      <c r="B193" s="135"/>
      <c r="C193" s="1816" t="s">
        <v>240</v>
      </c>
      <c r="D193" s="254" t="s">
        <v>149</v>
      </c>
      <c r="E193" s="255">
        <v>1</v>
      </c>
      <c r="F193" s="277">
        <v>0</v>
      </c>
      <c r="G193" s="278">
        <f t="shared" si="16"/>
        <v>0</v>
      </c>
      <c r="H193" s="565"/>
    </row>
    <row r="194" spans="1:8" s="136" customFormat="1" x14ac:dyDescent="0.2">
      <c r="B194" s="135"/>
      <c r="C194" s="1816" t="s">
        <v>241</v>
      </c>
      <c r="D194" s="254" t="s">
        <v>149</v>
      </c>
      <c r="E194" s="255">
        <v>1</v>
      </c>
      <c r="F194" s="277">
        <v>0</v>
      </c>
      <c r="G194" s="278">
        <f t="shared" si="16"/>
        <v>0</v>
      </c>
      <c r="H194" s="565"/>
    </row>
    <row r="195" spans="1:8" x14ac:dyDescent="0.2">
      <c r="A195" s="136"/>
      <c r="B195" s="135"/>
      <c r="C195" s="1816" t="s">
        <v>242</v>
      </c>
      <c r="D195" s="254" t="s">
        <v>149</v>
      </c>
      <c r="E195" s="255">
        <v>1</v>
      </c>
      <c r="F195" s="277">
        <v>0</v>
      </c>
      <c r="G195" s="278">
        <f t="shared" si="16"/>
        <v>0</v>
      </c>
    </row>
    <row r="196" spans="1:8" x14ac:dyDescent="0.2">
      <c r="A196" s="136"/>
      <c r="B196" s="135"/>
      <c r="C196" s="1816" t="s">
        <v>227</v>
      </c>
      <c r="D196" s="254" t="s">
        <v>149</v>
      </c>
      <c r="E196" s="255">
        <v>1</v>
      </c>
      <c r="F196" s="277">
        <v>0</v>
      </c>
      <c r="G196" s="278">
        <f t="shared" si="16"/>
        <v>0</v>
      </c>
    </row>
    <row r="197" spans="1:8" x14ac:dyDescent="0.2">
      <c r="A197" s="136"/>
      <c r="B197" s="135"/>
      <c r="C197" s="1817" t="s">
        <v>198</v>
      </c>
      <c r="D197" s="254" t="s">
        <v>149</v>
      </c>
      <c r="E197" s="255">
        <v>1</v>
      </c>
      <c r="F197" s="277">
        <v>0</v>
      </c>
      <c r="G197" s="278">
        <f t="shared" si="16"/>
        <v>0</v>
      </c>
    </row>
    <row r="198" spans="1:8" x14ac:dyDescent="0.2">
      <c r="A198" s="136"/>
      <c r="B198" s="135"/>
      <c r="C198" s="253" t="s">
        <v>1748</v>
      </c>
      <c r="D198" s="254"/>
      <c r="E198" s="255"/>
      <c r="F198" s="256">
        <v>0</v>
      </c>
      <c r="G198" s="257"/>
    </row>
    <row r="199" spans="1:8" ht="24" x14ac:dyDescent="0.2">
      <c r="A199" s="136"/>
      <c r="B199" s="135"/>
      <c r="C199" s="258" t="s">
        <v>238</v>
      </c>
      <c r="D199" s="254" t="s">
        <v>149</v>
      </c>
      <c r="E199" s="255">
        <v>1</v>
      </c>
      <c r="F199" s="277">
        <v>0</v>
      </c>
      <c r="G199" s="278">
        <f t="shared" ref="G199:G205" si="17">E199*F199</f>
        <v>0</v>
      </c>
    </row>
    <row r="200" spans="1:8" x14ac:dyDescent="0.2">
      <c r="A200" s="136"/>
      <c r="B200" s="135"/>
      <c r="C200" s="1816" t="s">
        <v>235</v>
      </c>
      <c r="D200" s="254" t="s">
        <v>149</v>
      </c>
      <c r="E200" s="255">
        <v>2</v>
      </c>
      <c r="F200" s="277">
        <v>0</v>
      </c>
      <c r="G200" s="278">
        <f t="shared" si="17"/>
        <v>0</v>
      </c>
    </row>
    <row r="201" spans="1:8" x14ac:dyDescent="0.2">
      <c r="A201" s="136"/>
      <c r="B201" s="135"/>
      <c r="C201" s="1816" t="s">
        <v>239</v>
      </c>
      <c r="D201" s="254" t="s">
        <v>149</v>
      </c>
      <c r="E201" s="255">
        <v>1</v>
      </c>
      <c r="F201" s="277">
        <v>0</v>
      </c>
      <c r="G201" s="278">
        <f t="shared" si="17"/>
        <v>0</v>
      </c>
    </row>
    <row r="202" spans="1:8" x14ac:dyDescent="0.2">
      <c r="A202" s="136"/>
      <c r="B202" s="135"/>
      <c r="C202" s="1816" t="s">
        <v>236</v>
      </c>
      <c r="D202" s="254" t="s">
        <v>149</v>
      </c>
      <c r="E202" s="255">
        <v>2</v>
      </c>
      <c r="F202" s="277">
        <v>0</v>
      </c>
      <c r="G202" s="278">
        <f t="shared" si="17"/>
        <v>0</v>
      </c>
    </row>
    <row r="203" spans="1:8" x14ac:dyDescent="0.2">
      <c r="A203" s="136"/>
      <c r="B203" s="135"/>
      <c r="C203" s="1816" t="s">
        <v>240</v>
      </c>
      <c r="D203" s="254" t="s">
        <v>149</v>
      </c>
      <c r="E203" s="255">
        <v>1</v>
      </c>
      <c r="F203" s="277">
        <v>0</v>
      </c>
      <c r="G203" s="278">
        <f t="shared" si="17"/>
        <v>0</v>
      </c>
    </row>
    <row r="204" spans="1:8" x14ac:dyDescent="0.2">
      <c r="A204" s="136"/>
      <c r="B204" s="135"/>
      <c r="C204" s="1816" t="s">
        <v>227</v>
      </c>
      <c r="D204" s="254" t="s">
        <v>149</v>
      </c>
      <c r="E204" s="255">
        <v>1</v>
      </c>
      <c r="F204" s="277">
        <v>0</v>
      </c>
      <c r="G204" s="278">
        <f t="shared" si="17"/>
        <v>0</v>
      </c>
    </row>
    <row r="205" spans="1:8" x14ac:dyDescent="0.2">
      <c r="A205" s="136"/>
      <c r="B205" s="135"/>
      <c r="C205" s="1817" t="s">
        <v>198</v>
      </c>
      <c r="D205" s="254" t="s">
        <v>149</v>
      </c>
      <c r="E205" s="255">
        <v>1</v>
      </c>
      <c r="F205" s="277">
        <v>0</v>
      </c>
      <c r="G205" s="278">
        <f t="shared" si="17"/>
        <v>0</v>
      </c>
    </row>
    <row r="206" spans="1:8" x14ac:dyDescent="0.2">
      <c r="A206" s="136"/>
      <c r="B206" s="292" t="s">
        <v>243</v>
      </c>
      <c r="C206" s="247" t="s">
        <v>244</v>
      </c>
      <c r="D206" s="202"/>
      <c r="E206" s="248"/>
      <c r="F206" s="249"/>
      <c r="G206" s="205"/>
    </row>
    <row r="207" spans="1:8" x14ac:dyDescent="0.2">
      <c r="A207" s="136"/>
      <c r="B207" s="135"/>
      <c r="C207" s="247" t="s">
        <v>1749</v>
      </c>
      <c r="D207" s="202"/>
      <c r="E207" s="248"/>
      <c r="F207" s="249">
        <v>0</v>
      </c>
      <c r="G207" s="205"/>
    </row>
    <row r="208" spans="1:8" ht="36" x14ac:dyDescent="0.2">
      <c r="A208" s="136"/>
      <c r="B208" s="135"/>
      <c r="C208" s="262" t="s">
        <v>1750</v>
      </c>
      <c r="D208" s="202" t="s">
        <v>149</v>
      </c>
      <c r="E208" s="248">
        <v>1</v>
      </c>
      <c r="F208" s="275">
        <v>0</v>
      </c>
      <c r="G208" s="276">
        <f t="shared" ref="G208:G210" si="18">E208*F208</f>
        <v>0</v>
      </c>
    </row>
    <row r="209" spans="1:8" x14ac:dyDescent="0.2">
      <c r="A209" s="136"/>
      <c r="B209" s="135"/>
      <c r="C209" s="1814" t="s">
        <v>247</v>
      </c>
      <c r="D209" s="202" t="s">
        <v>149</v>
      </c>
      <c r="E209" s="248">
        <v>1</v>
      </c>
      <c r="F209" s="275">
        <v>0</v>
      </c>
      <c r="G209" s="276">
        <f t="shared" si="18"/>
        <v>0</v>
      </c>
    </row>
    <row r="210" spans="1:8" x14ac:dyDescent="0.2">
      <c r="A210" s="136"/>
      <c r="B210" s="135"/>
      <c r="C210" s="1821" t="s">
        <v>248</v>
      </c>
      <c r="D210" s="202" t="s">
        <v>149</v>
      </c>
      <c r="E210" s="248">
        <v>1</v>
      </c>
      <c r="F210" s="275">
        <v>0</v>
      </c>
      <c r="G210" s="276">
        <f t="shared" si="18"/>
        <v>0</v>
      </c>
    </row>
    <row r="211" spans="1:8" x14ac:dyDescent="0.2">
      <c r="A211" s="136"/>
      <c r="B211" s="135"/>
      <c r="C211" s="247" t="s">
        <v>1108</v>
      </c>
      <c r="D211" s="202"/>
      <c r="E211" s="248"/>
      <c r="F211" s="249">
        <v>0</v>
      </c>
      <c r="G211" s="205"/>
    </row>
    <row r="212" spans="1:8" ht="36" x14ac:dyDescent="0.2">
      <c r="A212" s="136"/>
      <c r="B212" s="135"/>
      <c r="C212" s="262" t="s">
        <v>1109</v>
      </c>
      <c r="D212" s="202" t="s">
        <v>149</v>
      </c>
      <c r="E212" s="248">
        <v>43</v>
      </c>
      <c r="F212" s="275">
        <v>0</v>
      </c>
      <c r="G212" s="276">
        <f t="shared" ref="G212:G214" si="19">E212*F212</f>
        <v>0</v>
      </c>
    </row>
    <row r="213" spans="1:8" x14ac:dyDescent="0.2">
      <c r="A213" s="136"/>
      <c r="B213" s="135"/>
      <c r="C213" s="1814" t="s">
        <v>247</v>
      </c>
      <c r="D213" s="202" t="s">
        <v>149</v>
      </c>
      <c r="E213" s="248">
        <v>43</v>
      </c>
      <c r="F213" s="275">
        <v>0</v>
      </c>
      <c r="G213" s="276">
        <f t="shared" si="19"/>
        <v>0</v>
      </c>
    </row>
    <row r="214" spans="1:8" x14ac:dyDescent="0.2">
      <c r="A214" s="136"/>
      <c r="B214" s="135"/>
      <c r="C214" s="1815" t="s">
        <v>198</v>
      </c>
      <c r="D214" s="202" t="s">
        <v>149</v>
      </c>
      <c r="E214" s="248">
        <v>43</v>
      </c>
      <c r="F214" s="275">
        <v>0</v>
      </c>
      <c r="G214" s="276">
        <f t="shared" si="19"/>
        <v>0</v>
      </c>
    </row>
    <row r="215" spans="1:8" x14ac:dyDescent="0.2">
      <c r="A215" s="136"/>
      <c r="B215" s="135"/>
      <c r="C215" s="247" t="s">
        <v>849</v>
      </c>
      <c r="D215" s="202"/>
      <c r="E215" s="248"/>
      <c r="F215" s="249">
        <v>0</v>
      </c>
      <c r="G215" s="205"/>
    </row>
    <row r="216" spans="1:8" ht="36" x14ac:dyDescent="0.2">
      <c r="A216" s="136"/>
      <c r="B216" s="135"/>
      <c r="C216" s="262" t="s">
        <v>1109</v>
      </c>
      <c r="D216" s="202" t="s">
        <v>149</v>
      </c>
      <c r="E216" s="248">
        <v>2</v>
      </c>
      <c r="F216" s="275">
        <v>0</v>
      </c>
      <c r="G216" s="276">
        <f t="shared" ref="G216:G218" si="20">E216*F216</f>
        <v>0</v>
      </c>
    </row>
    <row r="217" spans="1:8" x14ac:dyDescent="0.2">
      <c r="B217" s="135"/>
      <c r="C217" s="1814" t="s">
        <v>247</v>
      </c>
      <c r="D217" s="202" t="s">
        <v>149</v>
      </c>
      <c r="E217" s="248">
        <v>2</v>
      </c>
      <c r="F217" s="275">
        <v>0</v>
      </c>
      <c r="G217" s="276">
        <f t="shared" si="20"/>
        <v>0</v>
      </c>
    </row>
    <row r="218" spans="1:8" x14ac:dyDescent="0.2">
      <c r="A218" s="136"/>
      <c r="B218" s="135"/>
      <c r="C218" s="1815" t="s">
        <v>198</v>
      </c>
      <c r="D218" s="202" t="s">
        <v>149</v>
      </c>
      <c r="E218" s="248">
        <v>2</v>
      </c>
      <c r="F218" s="275">
        <v>0</v>
      </c>
      <c r="G218" s="276">
        <f t="shared" si="20"/>
        <v>0</v>
      </c>
    </row>
    <row r="219" spans="1:8" x14ac:dyDescent="0.2">
      <c r="B219" s="292" t="s">
        <v>251</v>
      </c>
      <c r="C219" s="280" t="s">
        <v>300</v>
      </c>
      <c r="D219" s="281"/>
      <c r="E219" s="282"/>
      <c r="F219" s="283"/>
      <c r="G219" s="284"/>
    </row>
    <row r="220" spans="1:8" ht="60" x14ac:dyDescent="0.2">
      <c r="B220" s="135"/>
      <c r="C220" s="285" t="s">
        <v>301</v>
      </c>
      <c r="D220" s="286" t="s">
        <v>149</v>
      </c>
      <c r="E220" s="287">
        <v>46</v>
      </c>
      <c r="F220" s="288">
        <v>0</v>
      </c>
      <c r="G220" s="289">
        <f t="shared" ref="G220" si="21">E220*F220</f>
        <v>0</v>
      </c>
    </row>
    <row r="221" spans="1:8" s="136" customFormat="1" ht="25.5" customHeight="1" x14ac:dyDescent="0.2">
      <c r="B221" s="293" t="s">
        <v>17</v>
      </c>
      <c r="C221" s="294" t="s">
        <v>302</v>
      </c>
      <c r="D221" s="218"/>
      <c r="E221" s="203"/>
      <c r="F221" s="204"/>
      <c r="G221" s="290">
        <f>SUM(G90:G220)</f>
        <v>0</v>
      </c>
      <c r="H221" s="565"/>
    </row>
  </sheetData>
  <mergeCells count="8">
    <mergeCell ref="B89:G89"/>
    <mergeCell ref="B99:B101"/>
    <mergeCell ref="B40:G40"/>
    <mergeCell ref="B51:B53"/>
    <mergeCell ref="B66:B68"/>
    <mergeCell ref="B69:B70"/>
    <mergeCell ref="B87:G87"/>
    <mergeCell ref="B88:G88"/>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9" max="16383" man="1"/>
    <brk id="124"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2422-CB6C-41FD-BC6E-77A11838F77F}">
  <sheetPr>
    <tabColor theme="0" tint="-0.14999847407452621"/>
  </sheetPr>
  <dimension ref="A2:L188"/>
  <sheetViews>
    <sheetView showZeros="0" topLeftCell="A62" zoomScaleNormal="10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1" customHeight="1" x14ac:dyDescent="0.2">
      <c r="B6" s="1776" t="s">
        <v>80</v>
      </c>
      <c r="C6" s="1739" t="s">
        <v>1751</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G188</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1716</v>
      </c>
      <c r="F24" s="467">
        <v>0</v>
      </c>
      <c r="G24" s="352">
        <f t="shared" ref="G24" si="0">E24*F24</f>
        <v>0</v>
      </c>
    </row>
    <row r="25" spans="2:8" x14ac:dyDescent="0.2">
      <c r="B25" s="129">
        <v>2</v>
      </c>
      <c r="C25" s="206" t="s">
        <v>96</v>
      </c>
      <c r="D25" s="207" t="s">
        <v>95</v>
      </c>
      <c r="E25" s="353">
        <v>1716</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39" customHeight="1" x14ac:dyDescent="0.2">
      <c r="B31" s="129">
        <v>8</v>
      </c>
      <c r="C31" s="3165" t="s">
        <v>2590</v>
      </c>
      <c r="D31" s="1358" t="s">
        <v>95</v>
      </c>
      <c r="E31" s="1359">
        <v>1788</v>
      </c>
      <c r="F31" s="467">
        <v>0</v>
      </c>
      <c r="G31" s="1361">
        <f t="shared" si="1"/>
        <v>0</v>
      </c>
      <c r="H31" s="571"/>
    </row>
    <row r="32" spans="2:8" ht="27.75" customHeight="1" x14ac:dyDescent="0.2">
      <c r="B32" s="129">
        <v>9</v>
      </c>
      <c r="C32" s="3165" t="s">
        <v>2591</v>
      </c>
      <c r="D32" s="1358" t="s">
        <v>95</v>
      </c>
      <c r="E32" s="1359">
        <v>1788</v>
      </c>
      <c r="F32" s="467">
        <v>0</v>
      </c>
      <c r="G32" s="1361">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4" x14ac:dyDescent="0.2">
      <c r="B42" s="131">
        <v>1</v>
      </c>
      <c r="C42" s="206" t="s">
        <v>111</v>
      </c>
      <c r="D42" s="207" t="s">
        <v>112</v>
      </c>
      <c r="E42" s="353">
        <f>((1783*1*1.4*0.07))*0.75</f>
        <v>131.0505</v>
      </c>
      <c r="F42" s="467">
        <v>0</v>
      </c>
      <c r="G42" s="352">
        <f t="shared" ref="G42:G79" si="2">E42*F42</f>
        <v>0</v>
      </c>
      <c r="I42" s="132"/>
    </row>
    <row r="43" spans="2:12" ht="36" x14ac:dyDescent="0.2">
      <c r="B43" s="131">
        <v>2</v>
      </c>
      <c r="C43" s="1362" t="s">
        <v>113</v>
      </c>
      <c r="D43" s="1363" t="s">
        <v>95</v>
      </c>
      <c r="E43" s="1359">
        <v>1236.8</v>
      </c>
      <c r="F43" s="467">
        <v>0</v>
      </c>
      <c r="G43" s="1361">
        <f t="shared" si="2"/>
        <v>0</v>
      </c>
      <c r="I43" s="132"/>
    </row>
    <row r="44" spans="2:12" ht="36" x14ac:dyDescent="0.2">
      <c r="B44" s="131">
        <v>3</v>
      </c>
      <c r="C44" s="206" t="s">
        <v>114</v>
      </c>
      <c r="D44" s="209" t="s">
        <v>112</v>
      </c>
      <c r="E44" s="353">
        <f>(((1783*1*1.4)-E42)*0.1)*0.75</f>
        <v>177.3862125</v>
      </c>
      <c r="F44" s="467">
        <v>0</v>
      </c>
      <c r="G44" s="352">
        <f t="shared" si="2"/>
        <v>0</v>
      </c>
      <c r="I44" s="133"/>
      <c r="K44" s="134"/>
      <c r="L44" s="134"/>
    </row>
    <row r="45" spans="2:12" ht="36" x14ac:dyDescent="0.2">
      <c r="B45" s="131">
        <v>4</v>
      </c>
      <c r="C45" s="206" t="s">
        <v>115</v>
      </c>
      <c r="D45" s="209" t="s">
        <v>112</v>
      </c>
      <c r="E45" s="353">
        <f>(((1783*1*1.4)-E42)*0.9)*0.75</f>
        <v>1596.4759125</v>
      </c>
      <c r="F45" s="467">
        <v>0</v>
      </c>
      <c r="G45" s="352">
        <f t="shared" si="2"/>
        <v>0</v>
      </c>
      <c r="I45" s="133"/>
    </row>
    <row r="46" spans="2:12" ht="24" x14ac:dyDescent="0.2">
      <c r="B46" s="131">
        <v>5</v>
      </c>
      <c r="C46" s="311" t="s">
        <v>116</v>
      </c>
      <c r="D46" s="219" t="s">
        <v>117</v>
      </c>
      <c r="E46" s="471">
        <f>1783*1.4</f>
        <v>2496.1999999999998</v>
      </c>
      <c r="F46" s="467">
        <v>0</v>
      </c>
      <c r="G46" s="352">
        <f t="shared" si="2"/>
        <v>0</v>
      </c>
      <c r="I46" s="132"/>
    </row>
    <row r="47" spans="2:12" ht="36" x14ac:dyDescent="0.2">
      <c r="B47" s="131">
        <v>6</v>
      </c>
      <c r="C47" s="206" t="s">
        <v>118</v>
      </c>
      <c r="D47" s="209" t="s">
        <v>117</v>
      </c>
      <c r="E47" s="353">
        <f>1783*1</f>
        <v>1783</v>
      </c>
      <c r="F47" s="467">
        <v>0</v>
      </c>
      <c r="G47" s="352">
        <f t="shared" si="2"/>
        <v>0</v>
      </c>
      <c r="I47" s="1364"/>
    </row>
    <row r="48" spans="2:12" ht="24" x14ac:dyDescent="0.2">
      <c r="B48" s="131">
        <v>7</v>
      </c>
      <c r="C48" s="206" t="s">
        <v>304</v>
      </c>
      <c r="D48" s="209" t="s">
        <v>112</v>
      </c>
      <c r="E48" s="353">
        <f>(1783*1*0.3)*0.75</f>
        <v>401.17499999999995</v>
      </c>
      <c r="F48" s="467">
        <v>0</v>
      </c>
      <c r="G48" s="352">
        <f t="shared" si="2"/>
        <v>0</v>
      </c>
      <c r="I48" s="133"/>
    </row>
    <row r="49" spans="2:11" ht="24" x14ac:dyDescent="0.2">
      <c r="B49" s="131">
        <v>8</v>
      </c>
      <c r="C49" s="206" t="s">
        <v>119</v>
      </c>
      <c r="D49" s="209" t="s">
        <v>112</v>
      </c>
      <c r="E49" s="353">
        <v>771.91</v>
      </c>
      <c r="F49" s="467">
        <v>0</v>
      </c>
      <c r="G49" s="352">
        <f t="shared" si="2"/>
        <v>0</v>
      </c>
      <c r="I49" s="134"/>
    </row>
    <row r="50" spans="2:11" ht="36" x14ac:dyDescent="0.2">
      <c r="B50" s="131">
        <v>9</v>
      </c>
      <c r="C50" s="208" t="s">
        <v>120</v>
      </c>
      <c r="D50" s="209" t="s">
        <v>112</v>
      </c>
      <c r="E50" s="353">
        <v>467.39</v>
      </c>
      <c r="F50" s="467">
        <v>0</v>
      </c>
      <c r="G50" s="352">
        <f t="shared" si="2"/>
        <v>0</v>
      </c>
      <c r="I50" s="134"/>
    </row>
    <row r="51" spans="2:11" s="130" customFormat="1" ht="36" x14ac:dyDescent="0.2">
      <c r="B51" s="131">
        <v>10</v>
      </c>
      <c r="C51" s="314" t="s">
        <v>121</v>
      </c>
      <c r="D51" s="210" t="s">
        <v>112</v>
      </c>
      <c r="E51" s="353">
        <v>322.02999999999997</v>
      </c>
      <c r="F51" s="467">
        <v>0</v>
      </c>
      <c r="G51" s="352">
        <f t="shared" si="2"/>
        <v>0</v>
      </c>
      <c r="H51" s="565"/>
    </row>
    <row r="52" spans="2:11" s="147" customFormat="1" ht="48" x14ac:dyDescent="0.25">
      <c r="B52" s="3187">
        <v>11</v>
      </c>
      <c r="C52" s="308" t="s">
        <v>122</v>
      </c>
      <c r="D52" s="210"/>
      <c r="E52" s="353"/>
      <c r="F52" s="467"/>
      <c r="G52" s="352"/>
      <c r="H52" s="572"/>
      <c r="I52" s="490"/>
    </row>
    <row r="53" spans="2:11" s="147" customFormat="1" x14ac:dyDescent="0.25">
      <c r="B53" s="3188"/>
      <c r="C53" s="308" t="s">
        <v>124</v>
      </c>
      <c r="D53" s="207" t="s">
        <v>95</v>
      </c>
      <c r="E53" s="353">
        <v>25</v>
      </c>
      <c r="F53" s="467">
        <v>0</v>
      </c>
      <c r="G53" s="352">
        <f t="shared" si="2"/>
        <v>0</v>
      </c>
      <c r="H53" s="572"/>
    </row>
    <row r="54" spans="2:11" s="147" customFormat="1" x14ac:dyDescent="0.25">
      <c r="B54" s="3189"/>
      <c r="C54" s="308" t="s">
        <v>305</v>
      </c>
      <c r="D54" s="207" t="s">
        <v>95</v>
      </c>
      <c r="E54" s="353">
        <v>10</v>
      </c>
      <c r="F54" s="467">
        <v>0</v>
      </c>
      <c r="G54" s="352">
        <f t="shared" si="2"/>
        <v>0</v>
      </c>
      <c r="H54" s="572"/>
    </row>
    <row r="55" spans="2:11" ht="24" x14ac:dyDescent="0.2">
      <c r="B55" s="131">
        <v>12</v>
      </c>
      <c r="C55" s="206" t="s">
        <v>125</v>
      </c>
      <c r="D55" s="209" t="s">
        <v>95</v>
      </c>
      <c r="E55" s="353">
        <v>534.9</v>
      </c>
      <c r="F55" s="467">
        <v>0</v>
      </c>
      <c r="G55" s="352">
        <f t="shared" si="2"/>
        <v>0</v>
      </c>
      <c r="H55" s="571"/>
      <c r="I55" s="1365"/>
    </row>
    <row r="56" spans="2:11" ht="24" x14ac:dyDescent="0.2">
      <c r="B56" s="131">
        <v>13</v>
      </c>
      <c r="C56" s="206" t="s">
        <v>126</v>
      </c>
      <c r="D56" s="207" t="s">
        <v>117</v>
      </c>
      <c r="E56" s="353">
        <f>E55*1.25</f>
        <v>668.625</v>
      </c>
      <c r="F56" s="467">
        <v>0</v>
      </c>
      <c r="G56" s="352">
        <f t="shared" si="2"/>
        <v>0</v>
      </c>
      <c r="H56" s="571"/>
    </row>
    <row r="57" spans="2:11" ht="48" x14ac:dyDescent="0.2">
      <c r="B57" s="131">
        <v>14</v>
      </c>
      <c r="C57" s="206" t="s">
        <v>127</v>
      </c>
      <c r="D57" s="207" t="s">
        <v>117</v>
      </c>
      <c r="E57" s="353">
        <f>E56</f>
        <v>668.625</v>
      </c>
      <c r="F57" s="467">
        <v>0</v>
      </c>
      <c r="G57" s="352">
        <f t="shared" si="2"/>
        <v>0</v>
      </c>
      <c r="H57" s="571"/>
      <c r="I57" s="1365"/>
    </row>
    <row r="58" spans="2:11" ht="60" x14ac:dyDescent="0.2">
      <c r="B58" s="131">
        <v>15</v>
      </c>
      <c r="C58" s="314" t="s">
        <v>706</v>
      </c>
      <c r="D58" s="209" t="s">
        <v>117</v>
      </c>
      <c r="E58" s="353">
        <v>430.88</v>
      </c>
      <c r="F58" s="467">
        <v>0</v>
      </c>
      <c r="G58" s="352">
        <f t="shared" si="2"/>
        <v>0</v>
      </c>
      <c r="H58" s="571"/>
      <c r="I58" s="1365"/>
    </row>
    <row r="59" spans="2:11" ht="48" x14ac:dyDescent="0.2">
      <c r="B59" s="312" t="s">
        <v>576</v>
      </c>
      <c r="C59" s="208" t="s">
        <v>129</v>
      </c>
      <c r="D59" s="209" t="s">
        <v>117</v>
      </c>
      <c r="E59" s="353">
        <v>153.24</v>
      </c>
      <c r="F59" s="467">
        <v>0</v>
      </c>
      <c r="G59" s="352">
        <f t="shared" si="2"/>
        <v>0</v>
      </c>
      <c r="H59" s="571"/>
      <c r="I59" s="1365"/>
      <c r="K59" s="1365"/>
    </row>
    <row r="60" spans="2:11" ht="60" x14ac:dyDescent="0.2">
      <c r="B60" s="312" t="s">
        <v>578</v>
      </c>
      <c r="C60" s="208" t="s">
        <v>708</v>
      </c>
      <c r="D60" s="209" t="s">
        <v>117</v>
      </c>
      <c r="E60" s="353">
        <v>153.24</v>
      </c>
      <c r="F60" s="467">
        <v>0</v>
      </c>
      <c r="G60" s="352">
        <f t="shared" si="2"/>
        <v>0</v>
      </c>
      <c r="H60" s="571"/>
      <c r="I60" s="1365"/>
      <c r="J60" s="1365"/>
    </row>
    <row r="61" spans="2:11" ht="72" x14ac:dyDescent="0.2">
      <c r="B61" s="312" t="s">
        <v>580</v>
      </c>
      <c r="C61" s="208" t="s">
        <v>711</v>
      </c>
      <c r="D61" s="209" t="s">
        <v>117</v>
      </c>
      <c r="E61" s="353">
        <v>84.5</v>
      </c>
      <c r="F61" s="467">
        <v>0</v>
      </c>
      <c r="G61" s="352">
        <f>E61*F61</f>
        <v>0</v>
      </c>
      <c r="H61" s="571"/>
    </row>
    <row r="62" spans="2:11" ht="36" x14ac:dyDescent="0.2">
      <c r="B62" s="312" t="s">
        <v>582</v>
      </c>
      <c r="C62" s="206" t="s">
        <v>132</v>
      </c>
      <c r="D62" s="207" t="s">
        <v>117</v>
      </c>
      <c r="E62" s="353">
        <v>65</v>
      </c>
      <c r="F62" s="467">
        <v>0</v>
      </c>
      <c r="G62" s="352">
        <f t="shared" si="2"/>
        <v>0</v>
      </c>
    </row>
    <row r="63" spans="2:11" ht="24" x14ac:dyDescent="0.2">
      <c r="B63" s="312" t="s">
        <v>584</v>
      </c>
      <c r="C63" s="206" t="s">
        <v>133</v>
      </c>
      <c r="D63" s="209" t="s">
        <v>112</v>
      </c>
      <c r="E63" s="353">
        <v>17.8</v>
      </c>
      <c r="F63" s="467">
        <v>0</v>
      </c>
      <c r="G63" s="352">
        <f t="shared" si="2"/>
        <v>0</v>
      </c>
      <c r="I63" s="134"/>
    </row>
    <row r="64" spans="2:11" x14ac:dyDescent="0.2">
      <c r="B64" s="312" t="s">
        <v>586</v>
      </c>
      <c r="C64" s="206" t="s">
        <v>134</v>
      </c>
      <c r="D64" s="209" t="s">
        <v>112</v>
      </c>
      <c r="E64" s="353">
        <v>1847.33</v>
      </c>
      <c r="F64" s="467">
        <v>0</v>
      </c>
      <c r="G64" s="352">
        <f t="shared" si="2"/>
        <v>0</v>
      </c>
    </row>
    <row r="65" spans="2:9" x14ac:dyDescent="0.2">
      <c r="B65" s="312" t="s">
        <v>588</v>
      </c>
      <c r="C65" s="206" t="s">
        <v>135</v>
      </c>
      <c r="D65" s="209" t="s">
        <v>112</v>
      </c>
      <c r="E65" s="353">
        <f>E64</f>
        <v>1847.33</v>
      </c>
      <c r="F65" s="467">
        <v>0</v>
      </c>
      <c r="G65" s="352">
        <f t="shared" si="2"/>
        <v>0</v>
      </c>
    </row>
    <row r="66" spans="2:9" ht="24" x14ac:dyDescent="0.2">
      <c r="B66" s="312" t="s">
        <v>590</v>
      </c>
      <c r="C66" s="206" t="s">
        <v>136</v>
      </c>
      <c r="D66" s="209" t="s">
        <v>117</v>
      </c>
      <c r="E66" s="353">
        <v>641.88</v>
      </c>
      <c r="F66" s="467">
        <v>0</v>
      </c>
      <c r="G66" s="352">
        <f t="shared" si="2"/>
        <v>0</v>
      </c>
    </row>
    <row r="67" spans="2:9" ht="24" x14ac:dyDescent="0.2">
      <c r="B67" s="312" t="s">
        <v>592</v>
      </c>
      <c r="C67" s="206" t="s">
        <v>138</v>
      </c>
      <c r="D67" s="207" t="s">
        <v>117</v>
      </c>
      <c r="E67" s="353">
        <v>512</v>
      </c>
      <c r="F67" s="467">
        <v>0</v>
      </c>
      <c r="G67" s="352">
        <f t="shared" si="2"/>
        <v>0</v>
      </c>
      <c r="I67" s="1365"/>
    </row>
    <row r="68" spans="2:9" s="130" customFormat="1" ht="48" x14ac:dyDescent="0.2">
      <c r="B68" s="3187">
        <v>25</v>
      </c>
      <c r="C68" s="408" t="s">
        <v>139</v>
      </c>
      <c r="D68" s="221"/>
      <c r="E68" s="353"/>
      <c r="F68" s="467"/>
      <c r="G68" s="352"/>
      <c r="H68" s="565"/>
    </row>
    <row r="69" spans="2:9" s="130" customFormat="1" x14ac:dyDescent="0.2">
      <c r="B69" s="3188"/>
      <c r="C69" s="291" t="s">
        <v>140</v>
      </c>
      <c r="D69" s="221" t="s">
        <v>95</v>
      </c>
      <c r="E69" s="353">
        <v>11</v>
      </c>
      <c r="F69" s="467">
        <v>0</v>
      </c>
      <c r="G69" s="352">
        <f t="shared" si="2"/>
        <v>0</v>
      </c>
      <c r="H69" s="565"/>
    </row>
    <row r="70" spans="2:9" s="130" customFormat="1" x14ac:dyDescent="0.2">
      <c r="B70" s="3188"/>
      <c r="C70" s="291" t="s">
        <v>713</v>
      </c>
      <c r="D70" s="221" t="s">
        <v>95</v>
      </c>
      <c r="E70" s="353">
        <v>22</v>
      </c>
      <c r="F70" s="467">
        <v>0</v>
      </c>
      <c r="G70" s="352">
        <f t="shared" si="2"/>
        <v>0</v>
      </c>
      <c r="H70" s="565"/>
    </row>
    <row r="71" spans="2:9" ht="48" x14ac:dyDescent="0.2">
      <c r="B71" s="3187">
        <v>26</v>
      </c>
      <c r="C71" s="409" t="s">
        <v>309</v>
      </c>
      <c r="D71" s="207"/>
      <c r="E71" s="353"/>
      <c r="F71" s="467"/>
      <c r="G71" s="352"/>
    </row>
    <row r="72" spans="2:9" s="130" customFormat="1" x14ac:dyDescent="0.2">
      <c r="B72" s="3188"/>
      <c r="C72" s="291" t="s">
        <v>714</v>
      </c>
      <c r="D72" s="221" t="s">
        <v>95</v>
      </c>
      <c r="E72" s="353">
        <v>5</v>
      </c>
      <c r="F72" s="467">
        <v>0</v>
      </c>
      <c r="G72" s="352">
        <f t="shared" ref="G72:G73" si="3">E72*F72</f>
        <v>0</v>
      </c>
      <c r="H72" s="565"/>
    </row>
    <row r="73" spans="2:9" s="130" customFormat="1" x14ac:dyDescent="0.2">
      <c r="B73" s="3189"/>
      <c r="C73" s="291" t="s">
        <v>716</v>
      </c>
      <c r="D73" s="221" t="s">
        <v>95</v>
      </c>
      <c r="E73" s="353">
        <v>3</v>
      </c>
      <c r="F73" s="467">
        <v>0</v>
      </c>
      <c r="G73" s="352">
        <f t="shared" si="3"/>
        <v>0</v>
      </c>
      <c r="H73" s="565"/>
    </row>
    <row r="74" spans="2:9" ht="24" x14ac:dyDescent="0.2">
      <c r="B74" s="131">
        <v>27</v>
      </c>
      <c r="C74" s="409" t="s">
        <v>143</v>
      </c>
      <c r="D74" s="207" t="s">
        <v>95</v>
      </c>
      <c r="E74" s="353">
        <v>57</v>
      </c>
      <c r="F74" s="467">
        <v>0</v>
      </c>
      <c r="G74" s="352">
        <f t="shared" si="2"/>
        <v>0</v>
      </c>
      <c r="H74" s="571"/>
    </row>
    <row r="75" spans="2:9" ht="24" x14ac:dyDescent="0.2">
      <c r="B75" s="131">
        <v>28</v>
      </c>
      <c r="C75" s="409" t="s">
        <v>718</v>
      </c>
      <c r="D75" s="207" t="s">
        <v>95</v>
      </c>
      <c r="E75" s="353">
        <v>22</v>
      </c>
      <c r="F75" s="467">
        <v>0</v>
      </c>
      <c r="G75" s="352">
        <f t="shared" si="2"/>
        <v>0</v>
      </c>
      <c r="H75" s="571"/>
    </row>
    <row r="76" spans="2:9" ht="36" x14ac:dyDescent="0.2">
      <c r="B76" s="131">
        <v>29</v>
      </c>
      <c r="C76" s="410" t="s">
        <v>151</v>
      </c>
      <c r="D76" s="222" t="s">
        <v>112</v>
      </c>
      <c r="E76" s="472">
        <v>6</v>
      </c>
      <c r="F76" s="467">
        <v>0</v>
      </c>
      <c r="G76" s="352">
        <f t="shared" si="2"/>
        <v>0</v>
      </c>
    </row>
    <row r="77" spans="2:9" ht="36" x14ac:dyDescent="0.2">
      <c r="B77" s="131">
        <v>30</v>
      </c>
      <c r="C77" s="1366" t="s">
        <v>152</v>
      </c>
      <c r="D77" s="1367" t="s">
        <v>149</v>
      </c>
      <c r="E77" s="1359">
        <v>14</v>
      </c>
      <c r="F77" s="467">
        <v>0</v>
      </c>
      <c r="G77" s="1361">
        <f t="shared" si="2"/>
        <v>0</v>
      </c>
    </row>
    <row r="78" spans="2:9" ht="36" x14ac:dyDescent="0.2">
      <c r="B78" s="131">
        <v>31</v>
      </c>
      <c r="C78" s="223" t="s">
        <v>153</v>
      </c>
      <c r="D78" s="222" t="s">
        <v>112</v>
      </c>
      <c r="E78" s="472">
        <v>4</v>
      </c>
      <c r="F78" s="467">
        <v>0</v>
      </c>
      <c r="G78" s="352">
        <f t="shared" si="2"/>
        <v>0</v>
      </c>
    </row>
    <row r="79" spans="2:9" ht="24" x14ac:dyDescent="0.2">
      <c r="B79" s="131">
        <v>32</v>
      </c>
      <c r="C79" s="223" t="s">
        <v>155</v>
      </c>
      <c r="D79" s="222" t="s">
        <v>156</v>
      </c>
      <c r="E79" s="472">
        <v>10</v>
      </c>
      <c r="F79" s="467">
        <v>0</v>
      </c>
      <c r="G79" s="352">
        <f t="shared" si="2"/>
        <v>0</v>
      </c>
    </row>
    <row r="80" spans="2:9" s="147" customFormat="1" ht="21.75" customHeight="1" x14ac:dyDescent="0.25">
      <c r="B80" s="327" t="s">
        <v>12</v>
      </c>
      <c r="C80" s="214" t="s">
        <v>157</v>
      </c>
      <c r="D80" s="224"/>
      <c r="E80" s="215"/>
      <c r="F80" s="216"/>
      <c r="G80" s="290">
        <f>SUM(G42:G79)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27" customHeight="1" x14ac:dyDescent="0.2">
      <c r="B92" s="153">
        <v>1</v>
      </c>
      <c r="C92" s="1806" t="s">
        <v>162</v>
      </c>
      <c r="D92" s="226"/>
      <c r="E92" s="353"/>
      <c r="F92" s="358"/>
      <c r="G92" s="350"/>
    </row>
    <row r="93" spans="1:9" s="147" customFormat="1" ht="18.75" customHeight="1" x14ac:dyDescent="0.25">
      <c r="B93" s="148"/>
      <c r="C93" s="1823" t="s">
        <v>1087</v>
      </c>
      <c r="D93" s="1367" t="s">
        <v>95</v>
      </c>
      <c r="E93" s="1359">
        <v>925</v>
      </c>
      <c r="F93" s="1360">
        <v>0</v>
      </c>
      <c r="G93" s="1361">
        <f t="shared" ref="G93:G100" si="4">E93*F93</f>
        <v>0</v>
      </c>
      <c r="H93" s="150"/>
      <c r="I93" s="490"/>
    </row>
    <row r="94" spans="1:9" s="147" customFormat="1" ht="27" customHeight="1" x14ac:dyDescent="0.25">
      <c r="B94" s="148"/>
      <c r="C94" s="1823" t="s">
        <v>1088</v>
      </c>
      <c r="D94" s="1367" t="s">
        <v>95</v>
      </c>
      <c r="E94" s="1359">
        <v>105</v>
      </c>
      <c r="F94" s="1360">
        <v>0</v>
      </c>
      <c r="G94" s="1361">
        <f t="shared" si="4"/>
        <v>0</v>
      </c>
      <c r="H94" s="150"/>
      <c r="I94" s="490"/>
    </row>
    <row r="95" spans="1:9" s="147" customFormat="1" ht="18.75" customHeight="1" x14ac:dyDescent="0.25">
      <c r="B95" s="148"/>
      <c r="C95" s="1807" t="s">
        <v>823</v>
      </c>
      <c r="D95" s="226" t="s">
        <v>95</v>
      </c>
      <c r="E95" s="353">
        <v>553</v>
      </c>
      <c r="F95" s="1360">
        <v>0</v>
      </c>
      <c r="G95" s="352">
        <f t="shared" si="4"/>
        <v>0</v>
      </c>
      <c r="H95" s="150"/>
      <c r="I95" s="490"/>
    </row>
    <row r="96" spans="1:9" s="147" customFormat="1" ht="27" customHeight="1" x14ac:dyDescent="0.25">
      <c r="B96" s="148"/>
      <c r="C96" s="1807" t="s">
        <v>824</v>
      </c>
      <c r="D96" s="226" t="s">
        <v>95</v>
      </c>
      <c r="E96" s="353">
        <v>62</v>
      </c>
      <c r="F96" s="1360">
        <v>0</v>
      </c>
      <c r="G96" s="352">
        <f t="shared" si="4"/>
        <v>0</v>
      </c>
      <c r="H96" s="150"/>
      <c r="I96" s="490"/>
    </row>
    <row r="97" spans="1:9" s="147" customFormat="1" ht="18.75" customHeight="1" x14ac:dyDescent="0.25">
      <c r="B97" s="148"/>
      <c r="C97" s="1807" t="s">
        <v>1733</v>
      </c>
      <c r="D97" s="226" t="s">
        <v>95</v>
      </c>
      <c r="E97" s="353">
        <v>63</v>
      </c>
      <c r="F97" s="1360">
        <v>0</v>
      </c>
      <c r="G97" s="352">
        <f t="shared" si="4"/>
        <v>0</v>
      </c>
      <c r="H97" s="150"/>
      <c r="I97" s="490"/>
    </row>
    <row r="98" spans="1:9" s="147" customFormat="1" ht="27" customHeight="1" x14ac:dyDescent="0.25">
      <c r="B98" s="148"/>
      <c r="C98" s="1807" t="s">
        <v>1734</v>
      </c>
      <c r="D98" s="226" t="s">
        <v>95</v>
      </c>
      <c r="E98" s="353">
        <v>8</v>
      </c>
      <c r="F98" s="1360">
        <v>0</v>
      </c>
      <c r="G98" s="352">
        <f t="shared" si="4"/>
        <v>0</v>
      </c>
      <c r="H98" s="150"/>
      <c r="I98" s="490"/>
    </row>
    <row r="99" spans="1:9" s="147" customFormat="1" ht="18.75" customHeight="1" x14ac:dyDescent="0.25">
      <c r="B99" s="148"/>
      <c r="C99" s="1807" t="s">
        <v>165</v>
      </c>
      <c r="D99" s="226" t="s">
        <v>95</v>
      </c>
      <c r="E99" s="353">
        <v>64</v>
      </c>
      <c r="F99" s="1360">
        <v>0</v>
      </c>
      <c r="G99" s="352">
        <f t="shared" si="4"/>
        <v>0</v>
      </c>
      <c r="H99" s="150"/>
      <c r="I99" s="490"/>
    </row>
    <row r="100" spans="1:9" s="147" customFormat="1" ht="27" customHeight="1" x14ac:dyDescent="0.25">
      <c r="B100" s="148"/>
      <c r="C100" s="1807" t="s">
        <v>166</v>
      </c>
      <c r="D100" s="226" t="s">
        <v>95</v>
      </c>
      <c r="E100" s="353">
        <v>8</v>
      </c>
      <c r="F100" s="1360">
        <v>0</v>
      </c>
      <c r="G100" s="352">
        <f t="shared" si="4"/>
        <v>0</v>
      </c>
      <c r="H100" s="150"/>
      <c r="I100" s="490"/>
    </row>
    <row r="101" spans="1:9" ht="25.5" customHeight="1" x14ac:dyDescent="0.2">
      <c r="A101" s="130"/>
      <c r="B101" s="3181" t="s">
        <v>167</v>
      </c>
      <c r="C101" s="310" t="s">
        <v>168</v>
      </c>
      <c r="D101" s="221"/>
      <c r="E101" s="353"/>
      <c r="F101" s="467"/>
      <c r="G101" s="352"/>
    </row>
    <row r="102" spans="1:9" ht="12.75" customHeight="1" x14ac:dyDescent="0.2">
      <c r="A102" s="130"/>
      <c r="B102" s="3182"/>
      <c r="C102" s="291" t="s">
        <v>169</v>
      </c>
      <c r="D102" s="221" t="s">
        <v>95</v>
      </c>
      <c r="E102" s="353">
        <v>100</v>
      </c>
      <c r="F102" s="467">
        <v>0</v>
      </c>
      <c r="G102" s="352">
        <f t="shared" ref="G102:G105" si="5">E102*F102</f>
        <v>0</v>
      </c>
    </row>
    <row r="103" spans="1:9" ht="12.75" customHeight="1" x14ac:dyDescent="0.2">
      <c r="A103" s="130"/>
      <c r="B103" s="3182"/>
      <c r="C103" s="291" t="s">
        <v>170</v>
      </c>
      <c r="D103" s="221" t="s">
        <v>95</v>
      </c>
      <c r="E103" s="353">
        <v>10</v>
      </c>
      <c r="F103" s="467">
        <v>0</v>
      </c>
      <c r="G103" s="352">
        <f t="shared" si="5"/>
        <v>0</v>
      </c>
    </row>
    <row r="104" spans="1:9" x14ac:dyDescent="0.2">
      <c r="A104" s="130"/>
      <c r="B104" s="3183"/>
      <c r="C104" s="291" t="s">
        <v>171</v>
      </c>
      <c r="D104" s="221" t="s">
        <v>95</v>
      </c>
      <c r="E104" s="353">
        <v>25</v>
      </c>
      <c r="F104" s="467">
        <v>0</v>
      </c>
      <c r="G104" s="352">
        <f t="shared" si="5"/>
        <v>0</v>
      </c>
    </row>
    <row r="105" spans="1:9" ht="36" x14ac:dyDescent="0.2">
      <c r="B105" s="154">
        <v>2</v>
      </c>
      <c r="C105" s="227" t="s">
        <v>172</v>
      </c>
      <c r="D105" s="209" t="s">
        <v>95</v>
      </c>
      <c r="E105" s="348">
        <f>E93+E94+E95+E96+E97+E98+E99+E100</f>
        <v>1788</v>
      </c>
      <c r="F105" s="467">
        <v>0</v>
      </c>
      <c r="G105" s="352">
        <f t="shared" si="5"/>
        <v>0</v>
      </c>
    </row>
    <row r="106" spans="1:9" s="147" customFormat="1" ht="36" x14ac:dyDescent="0.2">
      <c r="A106" s="121"/>
      <c r="B106" s="309" t="s">
        <v>173</v>
      </c>
      <c r="C106" s="227" t="s">
        <v>174</v>
      </c>
      <c r="D106" s="209" t="s">
        <v>95</v>
      </c>
      <c r="E106" s="348">
        <f>SUM(E93:E100)</f>
        <v>1788</v>
      </c>
      <c r="F106" s="467">
        <v>0</v>
      </c>
      <c r="G106" s="352">
        <f>E106*F106</f>
        <v>0</v>
      </c>
      <c r="H106" s="150"/>
    </row>
    <row r="107" spans="1:9" s="147" customFormat="1" ht="24" x14ac:dyDescent="0.2">
      <c r="A107" s="121"/>
      <c r="B107" s="309" t="s">
        <v>175</v>
      </c>
      <c r="C107" s="227" t="s">
        <v>176</v>
      </c>
      <c r="D107" s="209" t="s">
        <v>95</v>
      </c>
      <c r="E107" s="348">
        <f>SUM(E93:E100)</f>
        <v>1788</v>
      </c>
      <c r="F107" s="467">
        <v>0</v>
      </c>
      <c r="G107" s="352">
        <f>E107*F107</f>
        <v>0</v>
      </c>
      <c r="H107" s="150"/>
    </row>
    <row r="108" spans="1:9" s="136" customFormat="1" ht="36" x14ac:dyDescent="0.2">
      <c r="A108" s="121"/>
      <c r="B108" s="309" t="s">
        <v>177</v>
      </c>
      <c r="C108" s="227" t="s">
        <v>178</v>
      </c>
      <c r="D108" s="209" t="s">
        <v>95</v>
      </c>
      <c r="E108" s="348">
        <f>SUM(E93:E100)</f>
        <v>1788</v>
      </c>
      <c r="F108" s="467">
        <v>0</v>
      </c>
      <c r="G108" s="352">
        <f>E108*F108</f>
        <v>0</v>
      </c>
      <c r="H108" s="565"/>
    </row>
    <row r="109" spans="1:9" s="136" customFormat="1" ht="24" x14ac:dyDescent="0.2">
      <c r="A109" s="121"/>
      <c r="B109" s="153">
        <v>3</v>
      </c>
      <c r="C109" s="264" t="s">
        <v>179</v>
      </c>
      <c r="D109" s="231"/>
      <c r="E109" s="232"/>
      <c r="F109" s="233">
        <v>0</v>
      </c>
      <c r="G109" s="234"/>
      <c r="H109" s="565"/>
    </row>
    <row r="110" spans="1:9" s="136" customFormat="1" x14ac:dyDescent="0.2">
      <c r="A110" s="121"/>
      <c r="B110" s="292" t="s">
        <v>180</v>
      </c>
      <c r="C110" s="1808" t="s">
        <v>181</v>
      </c>
      <c r="D110" s="231"/>
      <c r="E110" s="232"/>
      <c r="F110" s="233"/>
      <c r="G110" s="234"/>
      <c r="H110" s="565"/>
    </row>
    <row r="111" spans="1:9" s="136" customFormat="1" x14ac:dyDescent="0.2">
      <c r="A111" s="121"/>
      <c r="B111" s="129"/>
      <c r="C111" s="1808" t="s">
        <v>836</v>
      </c>
      <c r="D111" s="231"/>
      <c r="E111" s="232"/>
      <c r="F111" s="233"/>
      <c r="G111" s="234"/>
      <c r="H111" s="565"/>
    </row>
    <row r="112" spans="1:9" s="136" customFormat="1" x14ac:dyDescent="0.2">
      <c r="A112" s="147"/>
      <c r="B112" s="152"/>
      <c r="C112" s="1810" t="s">
        <v>837</v>
      </c>
      <c r="D112" s="236" t="s">
        <v>149</v>
      </c>
      <c r="E112" s="232">
        <v>10</v>
      </c>
      <c r="F112" s="271">
        <v>0</v>
      </c>
      <c r="G112" s="272">
        <f t="shared" ref="G112:G113" si="6">E112*F112</f>
        <v>0</v>
      </c>
      <c r="H112" s="565"/>
    </row>
    <row r="113" spans="1:8" s="136" customFormat="1" x14ac:dyDescent="0.2">
      <c r="A113" s="147"/>
      <c r="B113" s="152"/>
      <c r="C113" s="1810" t="s">
        <v>900</v>
      </c>
      <c r="D113" s="236" t="s">
        <v>149</v>
      </c>
      <c r="E113" s="232">
        <v>7</v>
      </c>
      <c r="F113" s="271">
        <v>0</v>
      </c>
      <c r="G113" s="272">
        <f t="shared" si="6"/>
        <v>0</v>
      </c>
      <c r="H113" s="565"/>
    </row>
    <row r="114" spans="1:8" s="136" customFormat="1" x14ac:dyDescent="0.2">
      <c r="B114" s="292" t="s">
        <v>188</v>
      </c>
      <c r="C114" s="238" t="s">
        <v>189</v>
      </c>
      <c r="D114" s="239"/>
      <c r="E114" s="240"/>
      <c r="F114" s="241">
        <v>0</v>
      </c>
      <c r="G114" s="242"/>
      <c r="H114" s="565"/>
    </row>
    <row r="115" spans="1:8" s="136" customFormat="1" x14ac:dyDescent="0.2">
      <c r="B115" s="135"/>
      <c r="C115" s="238" t="s">
        <v>838</v>
      </c>
      <c r="D115" s="239"/>
      <c r="E115" s="240"/>
      <c r="F115" s="241">
        <v>0</v>
      </c>
      <c r="G115" s="242"/>
      <c r="H115" s="565"/>
    </row>
    <row r="116" spans="1:8" s="136" customFormat="1" x14ac:dyDescent="0.2">
      <c r="B116" s="135"/>
      <c r="C116" s="243" t="s">
        <v>207</v>
      </c>
      <c r="D116" s="239" t="s">
        <v>149</v>
      </c>
      <c r="E116" s="240">
        <v>2</v>
      </c>
      <c r="F116" s="273">
        <v>0</v>
      </c>
      <c r="G116" s="274">
        <f t="shared" ref="G116:G123" si="7">E116*F116</f>
        <v>0</v>
      </c>
      <c r="H116" s="565"/>
    </row>
    <row r="117" spans="1:8" s="136" customFormat="1" ht="36" x14ac:dyDescent="0.2">
      <c r="B117" s="135"/>
      <c r="C117" s="244" t="s">
        <v>192</v>
      </c>
      <c r="D117" s="239" t="s">
        <v>149</v>
      </c>
      <c r="E117" s="240">
        <v>2</v>
      </c>
      <c r="F117" s="273">
        <v>0</v>
      </c>
      <c r="G117" s="274">
        <f t="shared" si="7"/>
        <v>0</v>
      </c>
      <c r="H117" s="565"/>
    </row>
    <row r="118" spans="1:8" s="136" customFormat="1" x14ac:dyDescent="0.2">
      <c r="B118" s="135"/>
      <c r="C118" s="244" t="s">
        <v>193</v>
      </c>
      <c r="D118" s="239" t="s">
        <v>149</v>
      </c>
      <c r="E118" s="240">
        <v>2</v>
      </c>
      <c r="F118" s="273">
        <v>0</v>
      </c>
      <c r="G118" s="274">
        <f t="shared" si="7"/>
        <v>0</v>
      </c>
      <c r="H118" s="565"/>
    </row>
    <row r="119" spans="1:8" s="136" customFormat="1" x14ac:dyDescent="0.2">
      <c r="B119" s="135"/>
      <c r="C119" s="244" t="s">
        <v>194</v>
      </c>
      <c r="D119" s="239" t="s">
        <v>149</v>
      </c>
      <c r="E119" s="240">
        <v>2</v>
      </c>
      <c r="F119" s="273">
        <v>0</v>
      </c>
      <c r="G119" s="274">
        <f t="shared" si="7"/>
        <v>0</v>
      </c>
      <c r="H119" s="565"/>
    </row>
    <row r="120" spans="1:8" s="136" customFormat="1" x14ac:dyDescent="0.2">
      <c r="B120" s="135"/>
      <c r="C120" s="244" t="s">
        <v>235</v>
      </c>
      <c r="D120" s="239" t="s">
        <v>149</v>
      </c>
      <c r="E120" s="240">
        <v>4</v>
      </c>
      <c r="F120" s="273">
        <v>0</v>
      </c>
      <c r="G120" s="274">
        <f t="shared" si="7"/>
        <v>0</v>
      </c>
      <c r="H120" s="565"/>
    </row>
    <row r="121" spans="1:8" s="136" customFormat="1" x14ac:dyDescent="0.2">
      <c r="B121" s="135"/>
      <c r="C121" s="244" t="s">
        <v>839</v>
      </c>
      <c r="D121" s="239" t="s">
        <v>149</v>
      </c>
      <c r="E121" s="240">
        <v>4</v>
      </c>
      <c r="F121" s="273">
        <v>0</v>
      </c>
      <c r="G121" s="274">
        <f t="shared" si="7"/>
        <v>0</v>
      </c>
      <c r="H121" s="565"/>
    </row>
    <row r="122" spans="1:8" s="136" customFormat="1" x14ac:dyDescent="0.2">
      <c r="B122" s="135"/>
      <c r="C122" s="244" t="s">
        <v>197</v>
      </c>
      <c r="D122" s="239" t="s">
        <v>149</v>
      </c>
      <c r="E122" s="240">
        <v>2</v>
      </c>
      <c r="F122" s="273">
        <v>0</v>
      </c>
      <c r="G122" s="274">
        <f t="shared" si="7"/>
        <v>0</v>
      </c>
      <c r="H122" s="565"/>
    </row>
    <row r="123" spans="1:8" s="136" customFormat="1" x14ac:dyDescent="0.2">
      <c r="B123" s="135"/>
      <c r="C123" s="244" t="s">
        <v>198</v>
      </c>
      <c r="D123" s="239" t="s">
        <v>149</v>
      </c>
      <c r="E123" s="240">
        <v>2</v>
      </c>
      <c r="F123" s="273">
        <v>0</v>
      </c>
      <c r="G123" s="274">
        <f t="shared" si="7"/>
        <v>0</v>
      </c>
      <c r="H123" s="565"/>
    </row>
    <row r="124" spans="1:8" s="136" customFormat="1" x14ac:dyDescent="0.2">
      <c r="B124" s="292" t="s">
        <v>199</v>
      </c>
      <c r="C124" s="253" t="s">
        <v>205</v>
      </c>
      <c r="D124" s="254"/>
      <c r="E124" s="255"/>
      <c r="F124" s="256"/>
      <c r="G124" s="257"/>
      <c r="H124" s="565"/>
    </row>
    <row r="125" spans="1:8" s="136" customFormat="1" x14ac:dyDescent="0.2">
      <c r="B125" s="135"/>
      <c r="C125" s="253" t="s">
        <v>842</v>
      </c>
      <c r="D125" s="254"/>
      <c r="E125" s="255"/>
      <c r="F125" s="256">
        <v>0</v>
      </c>
      <c r="G125" s="257"/>
      <c r="H125" s="565"/>
    </row>
    <row r="126" spans="1:8" s="136" customFormat="1" x14ac:dyDescent="0.2">
      <c r="B126" s="135"/>
      <c r="C126" s="258" t="s">
        <v>207</v>
      </c>
      <c r="D126" s="254" t="s">
        <v>149</v>
      </c>
      <c r="E126" s="255">
        <v>2</v>
      </c>
      <c r="F126" s="277">
        <v>0</v>
      </c>
      <c r="G126" s="278">
        <f t="shared" ref="G126:G141" si="8">E126*F126</f>
        <v>0</v>
      </c>
      <c r="H126" s="565"/>
    </row>
    <row r="127" spans="1:8" s="136" customFormat="1" x14ac:dyDescent="0.2">
      <c r="B127" s="135"/>
      <c r="C127" s="258" t="s">
        <v>208</v>
      </c>
      <c r="D127" s="254" t="s">
        <v>149</v>
      </c>
      <c r="E127" s="255">
        <v>4</v>
      </c>
      <c r="F127" s="277">
        <v>0</v>
      </c>
      <c r="G127" s="278">
        <f t="shared" si="8"/>
        <v>0</v>
      </c>
      <c r="H127" s="565"/>
    </row>
    <row r="128" spans="1:8" s="136" customFormat="1" x14ac:dyDescent="0.2">
      <c r="B128" s="135"/>
      <c r="C128" s="259" t="s">
        <v>843</v>
      </c>
      <c r="D128" s="254" t="s">
        <v>149</v>
      </c>
      <c r="E128" s="255">
        <v>2</v>
      </c>
      <c r="F128" s="277">
        <v>0</v>
      </c>
      <c r="G128" s="278">
        <f t="shared" si="8"/>
        <v>0</v>
      </c>
      <c r="H128" s="565"/>
    </row>
    <row r="129" spans="1:8" s="136" customFormat="1" x14ac:dyDescent="0.2">
      <c r="B129" s="135"/>
      <c r="C129" s="259" t="s">
        <v>210</v>
      </c>
      <c r="D129" s="254" t="s">
        <v>149</v>
      </c>
      <c r="E129" s="255">
        <v>2</v>
      </c>
      <c r="F129" s="277">
        <v>0</v>
      </c>
      <c r="G129" s="278">
        <f t="shared" si="8"/>
        <v>0</v>
      </c>
      <c r="H129" s="565"/>
    </row>
    <row r="130" spans="1:8" s="136" customFormat="1" x14ac:dyDescent="0.2">
      <c r="B130" s="135"/>
      <c r="C130" s="259" t="s">
        <v>211</v>
      </c>
      <c r="D130" s="254" t="s">
        <v>149</v>
      </c>
      <c r="E130" s="255">
        <v>2</v>
      </c>
      <c r="F130" s="277">
        <v>0</v>
      </c>
      <c r="G130" s="278">
        <f t="shared" si="8"/>
        <v>0</v>
      </c>
      <c r="H130" s="565"/>
    </row>
    <row r="131" spans="1:8" s="136" customFormat="1" x14ac:dyDescent="0.2">
      <c r="B131" s="135"/>
      <c r="C131" s="259" t="s">
        <v>212</v>
      </c>
      <c r="D131" s="254" t="s">
        <v>149</v>
      </c>
      <c r="E131" s="255">
        <v>2</v>
      </c>
      <c r="F131" s="277">
        <v>0</v>
      </c>
      <c r="G131" s="278">
        <f t="shared" si="8"/>
        <v>0</v>
      </c>
      <c r="H131" s="565"/>
    </row>
    <row r="132" spans="1:8" s="136" customFormat="1" x14ac:dyDescent="0.2">
      <c r="B132" s="135"/>
      <c r="C132" s="259" t="s">
        <v>213</v>
      </c>
      <c r="D132" s="254" t="s">
        <v>149</v>
      </c>
      <c r="E132" s="255">
        <v>2</v>
      </c>
      <c r="F132" s="277">
        <v>0</v>
      </c>
      <c r="G132" s="278">
        <f t="shared" si="8"/>
        <v>0</v>
      </c>
      <c r="H132" s="565"/>
    </row>
    <row r="133" spans="1:8" s="136" customFormat="1" x14ac:dyDescent="0.2">
      <c r="B133" s="135"/>
      <c r="C133" s="259" t="s">
        <v>214</v>
      </c>
      <c r="D133" s="254" t="s">
        <v>149</v>
      </c>
      <c r="E133" s="255">
        <v>2</v>
      </c>
      <c r="F133" s="277">
        <v>0</v>
      </c>
      <c r="G133" s="278">
        <f t="shared" si="8"/>
        <v>0</v>
      </c>
      <c r="H133" s="565"/>
    </row>
    <row r="134" spans="1:8" s="136" customFormat="1" x14ac:dyDescent="0.2">
      <c r="B134" s="135"/>
      <c r="C134" s="259" t="s">
        <v>215</v>
      </c>
      <c r="D134" s="254" t="s">
        <v>149</v>
      </c>
      <c r="E134" s="255">
        <v>2</v>
      </c>
      <c r="F134" s="277">
        <v>0</v>
      </c>
      <c r="G134" s="278">
        <f t="shared" si="8"/>
        <v>0</v>
      </c>
      <c r="H134" s="565"/>
    </row>
    <row r="135" spans="1:8" s="136" customFormat="1" x14ac:dyDescent="0.2">
      <c r="B135" s="135"/>
      <c r="C135" s="1816" t="s">
        <v>216</v>
      </c>
      <c r="D135" s="254" t="s">
        <v>149</v>
      </c>
      <c r="E135" s="255">
        <v>2</v>
      </c>
      <c r="F135" s="277">
        <v>0</v>
      </c>
      <c r="G135" s="278">
        <f t="shared" si="8"/>
        <v>0</v>
      </c>
      <c r="H135" s="565"/>
    </row>
    <row r="136" spans="1:8" s="136" customFormat="1" x14ac:dyDescent="0.2">
      <c r="B136" s="135"/>
      <c r="C136" s="1816" t="s">
        <v>329</v>
      </c>
      <c r="D136" s="254" t="s">
        <v>149</v>
      </c>
      <c r="E136" s="255">
        <v>2</v>
      </c>
      <c r="F136" s="277">
        <v>0</v>
      </c>
      <c r="G136" s="278">
        <f t="shared" si="8"/>
        <v>0</v>
      </c>
      <c r="H136" s="565"/>
    </row>
    <row r="137" spans="1:8" s="136" customFormat="1" x14ac:dyDescent="0.2">
      <c r="B137" s="135"/>
      <c r="C137" s="1816" t="s">
        <v>235</v>
      </c>
      <c r="D137" s="254" t="s">
        <v>149</v>
      </c>
      <c r="E137" s="255">
        <v>4</v>
      </c>
      <c r="F137" s="277">
        <v>0</v>
      </c>
      <c r="G137" s="278">
        <f t="shared" si="8"/>
        <v>0</v>
      </c>
      <c r="H137" s="565"/>
    </row>
    <row r="138" spans="1:8" s="136" customFormat="1" x14ac:dyDescent="0.2">
      <c r="A138" s="121"/>
      <c r="B138" s="135"/>
      <c r="C138" s="1816" t="s">
        <v>236</v>
      </c>
      <c r="D138" s="254" t="s">
        <v>149</v>
      </c>
      <c r="E138" s="255">
        <v>4</v>
      </c>
      <c r="F138" s="277">
        <v>0</v>
      </c>
      <c r="G138" s="278">
        <f t="shared" si="8"/>
        <v>0</v>
      </c>
      <c r="H138" s="565"/>
    </row>
    <row r="139" spans="1:8" x14ac:dyDescent="0.2">
      <c r="A139" s="136"/>
      <c r="B139" s="135"/>
      <c r="C139" s="1816" t="s">
        <v>219</v>
      </c>
      <c r="D139" s="254" t="s">
        <v>149</v>
      </c>
      <c r="E139" s="255">
        <v>2</v>
      </c>
      <c r="F139" s="277">
        <v>0</v>
      </c>
      <c r="G139" s="278">
        <f t="shared" si="8"/>
        <v>0</v>
      </c>
    </row>
    <row r="140" spans="1:8" s="136" customFormat="1" x14ac:dyDescent="0.2">
      <c r="B140" s="135"/>
      <c r="C140" s="1816" t="s">
        <v>227</v>
      </c>
      <c r="D140" s="254" t="s">
        <v>149</v>
      </c>
      <c r="E140" s="255">
        <v>6</v>
      </c>
      <c r="F140" s="277">
        <v>0</v>
      </c>
      <c r="G140" s="278">
        <f t="shared" si="8"/>
        <v>0</v>
      </c>
      <c r="H140" s="565"/>
    </row>
    <row r="141" spans="1:8" s="136" customFormat="1" x14ac:dyDescent="0.2">
      <c r="B141" s="135"/>
      <c r="C141" s="1817" t="s">
        <v>198</v>
      </c>
      <c r="D141" s="254" t="s">
        <v>149</v>
      </c>
      <c r="E141" s="255">
        <v>2</v>
      </c>
      <c r="F141" s="277">
        <v>0</v>
      </c>
      <c r="G141" s="278">
        <f t="shared" si="8"/>
        <v>0</v>
      </c>
      <c r="H141" s="565"/>
    </row>
    <row r="142" spans="1:8" s="136" customFormat="1" x14ac:dyDescent="0.2">
      <c r="B142" s="292" t="s">
        <v>204</v>
      </c>
      <c r="C142" s="247" t="s">
        <v>331</v>
      </c>
      <c r="D142" s="247"/>
      <c r="E142" s="247"/>
      <c r="F142" s="247"/>
      <c r="G142" s="247"/>
      <c r="H142" s="565"/>
    </row>
    <row r="143" spans="1:8" s="136" customFormat="1" x14ac:dyDescent="0.2">
      <c r="B143" s="135"/>
      <c r="C143" s="247" t="s">
        <v>1752</v>
      </c>
      <c r="D143" s="202"/>
      <c r="E143" s="248"/>
      <c r="F143" s="249">
        <v>0</v>
      </c>
      <c r="G143" s="205"/>
      <c r="H143" s="565"/>
    </row>
    <row r="144" spans="1:8" s="136" customFormat="1" ht="24" x14ac:dyDescent="0.2">
      <c r="B144" s="135"/>
      <c r="C144" s="262" t="s">
        <v>1415</v>
      </c>
      <c r="D144" s="202" t="s">
        <v>149</v>
      </c>
      <c r="E144" s="248">
        <v>1</v>
      </c>
      <c r="F144" s="275">
        <v>0</v>
      </c>
      <c r="G144" s="276">
        <f t="shared" ref="G144:G147" si="9">E144*F144</f>
        <v>0</v>
      </c>
      <c r="H144" s="565"/>
    </row>
    <row r="145" spans="2:8" s="136" customFormat="1" x14ac:dyDescent="0.2">
      <c r="B145" s="135"/>
      <c r="C145" s="1814" t="s">
        <v>235</v>
      </c>
      <c r="D145" s="202" t="s">
        <v>149</v>
      </c>
      <c r="E145" s="248">
        <v>2</v>
      </c>
      <c r="F145" s="275">
        <v>0</v>
      </c>
      <c r="G145" s="276">
        <f t="shared" si="9"/>
        <v>0</v>
      </c>
      <c r="H145" s="565"/>
    </row>
    <row r="146" spans="2:8" s="136" customFormat="1" x14ac:dyDescent="0.2">
      <c r="B146" s="135"/>
      <c r="C146" s="1814" t="s">
        <v>236</v>
      </c>
      <c r="D146" s="202" t="s">
        <v>149</v>
      </c>
      <c r="E146" s="248">
        <v>2</v>
      </c>
      <c r="F146" s="275">
        <v>0</v>
      </c>
      <c r="G146" s="276">
        <f t="shared" si="9"/>
        <v>0</v>
      </c>
      <c r="H146" s="565"/>
    </row>
    <row r="147" spans="2:8" s="136" customFormat="1" x14ac:dyDescent="0.2">
      <c r="B147" s="135"/>
      <c r="C147" s="1814" t="s">
        <v>227</v>
      </c>
      <c r="D147" s="202" t="s">
        <v>149</v>
      </c>
      <c r="E147" s="248">
        <v>1</v>
      </c>
      <c r="F147" s="275">
        <v>0</v>
      </c>
      <c r="G147" s="276">
        <f t="shared" si="9"/>
        <v>0</v>
      </c>
      <c r="H147" s="565"/>
    </row>
    <row r="148" spans="2:8" s="136" customFormat="1" x14ac:dyDescent="0.2">
      <c r="B148" s="292" t="s">
        <v>220</v>
      </c>
      <c r="C148" s="253" t="s">
        <v>231</v>
      </c>
      <c r="D148" s="254"/>
      <c r="E148" s="255"/>
      <c r="F148" s="256"/>
      <c r="G148" s="257"/>
      <c r="H148" s="565"/>
    </row>
    <row r="149" spans="2:8" s="136" customFormat="1" x14ac:dyDescent="0.2">
      <c r="B149" s="135"/>
      <c r="C149" s="253" t="s">
        <v>1746</v>
      </c>
      <c r="D149" s="254"/>
      <c r="E149" s="255"/>
      <c r="F149" s="256">
        <v>0</v>
      </c>
      <c r="G149" s="257"/>
      <c r="H149" s="565"/>
    </row>
    <row r="150" spans="2:8" s="136" customFormat="1" ht="24" x14ac:dyDescent="0.2">
      <c r="B150" s="135"/>
      <c r="C150" s="258" t="s">
        <v>1097</v>
      </c>
      <c r="D150" s="254" t="s">
        <v>149</v>
      </c>
      <c r="E150" s="255">
        <v>1</v>
      </c>
      <c r="F150" s="277">
        <v>0</v>
      </c>
      <c r="G150" s="278">
        <f t="shared" ref="G150:G155" si="10">E150*F150</f>
        <v>0</v>
      </c>
      <c r="H150" s="565"/>
    </row>
    <row r="151" spans="2:8" s="136" customFormat="1" x14ac:dyDescent="0.2">
      <c r="B151" s="135"/>
      <c r="C151" s="1816" t="s">
        <v>354</v>
      </c>
      <c r="D151" s="254" t="s">
        <v>149</v>
      </c>
      <c r="E151" s="255">
        <v>2</v>
      </c>
      <c r="F151" s="277">
        <v>0</v>
      </c>
      <c r="G151" s="278">
        <f t="shared" si="10"/>
        <v>0</v>
      </c>
      <c r="H151" s="565"/>
    </row>
    <row r="152" spans="2:8" s="136" customFormat="1" x14ac:dyDescent="0.2">
      <c r="B152" s="135"/>
      <c r="C152" s="1816" t="s">
        <v>235</v>
      </c>
      <c r="D152" s="254" t="s">
        <v>149</v>
      </c>
      <c r="E152" s="255">
        <v>1</v>
      </c>
      <c r="F152" s="277">
        <v>0</v>
      </c>
      <c r="G152" s="278">
        <f t="shared" si="10"/>
        <v>0</v>
      </c>
      <c r="H152" s="565"/>
    </row>
    <row r="153" spans="2:8" s="136" customFormat="1" x14ac:dyDescent="0.2">
      <c r="B153" s="135"/>
      <c r="C153" s="1816" t="s">
        <v>236</v>
      </c>
      <c r="D153" s="254" t="s">
        <v>149</v>
      </c>
      <c r="E153" s="255">
        <v>1</v>
      </c>
      <c r="F153" s="277">
        <v>0</v>
      </c>
      <c r="G153" s="278">
        <f t="shared" si="10"/>
        <v>0</v>
      </c>
      <c r="H153" s="565"/>
    </row>
    <row r="154" spans="2:8" s="136" customFormat="1" x14ac:dyDescent="0.2">
      <c r="B154" s="135"/>
      <c r="C154" s="1816" t="s">
        <v>227</v>
      </c>
      <c r="D154" s="254" t="s">
        <v>149</v>
      </c>
      <c r="E154" s="255">
        <v>1</v>
      </c>
      <c r="F154" s="277">
        <v>0</v>
      </c>
      <c r="G154" s="278">
        <f t="shared" si="10"/>
        <v>0</v>
      </c>
      <c r="H154" s="565"/>
    </row>
    <row r="155" spans="2:8" s="136" customFormat="1" x14ac:dyDescent="0.2">
      <c r="B155" s="135"/>
      <c r="C155" s="1817" t="s">
        <v>198</v>
      </c>
      <c r="D155" s="254" t="s">
        <v>149</v>
      </c>
      <c r="E155" s="255">
        <v>1</v>
      </c>
      <c r="F155" s="277">
        <v>0</v>
      </c>
      <c r="G155" s="278">
        <f t="shared" si="10"/>
        <v>0</v>
      </c>
      <c r="H155" s="565"/>
    </row>
    <row r="156" spans="2:8" s="136" customFormat="1" x14ac:dyDescent="0.2">
      <c r="B156" s="135"/>
      <c r="C156" s="253" t="s">
        <v>1753</v>
      </c>
      <c r="D156" s="254"/>
      <c r="E156" s="255"/>
      <c r="F156" s="256">
        <v>0</v>
      </c>
      <c r="G156" s="257"/>
      <c r="H156" s="565"/>
    </row>
    <row r="157" spans="2:8" s="136" customFormat="1" ht="24" x14ac:dyDescent="0.2">
      <c r="B157" s="135"/>
      <c r="C157" s="258" t="s">
        <v>233</v>
      </c>
      <c r="D157" s="254" t="s">
        <v>149</v>
      </c>
      <c r="E157" s="255">
        <v>1</v>
      </c>
      <c r="F157" s="277">
        <v>0</v>
      </c>
      <c r="G157" s="278">
        <f t="shared" ref="G157:G161" si="11">E157*F157</f>
        <v>0</v>
      </c>
      <c r="H157" s="565"/>
    </row>
    <row r="158" spans="2:8" s="136" customFormat="1" x14ac:dyDescent="0.2">
      <c r="B158" s="135"/>
      <c r="C158" s="1816" t="s">
        <v>235</v>
      </c>
      <c r="D158" s="254" t="s">
        <v>149</v>
      </c>
      <c r="E158" s="255">
        <v>3</v>
      </c>
      <c r="F158" s="277">
        <v>0</v>
      </c>
      <c r="G158" s="278">
        <f t="shared" si="11"/>
        <v>0</v>
      </c>
      <c r="H158" s="565"/>
    </row>
    <row r="159" spans="2:8" s="136" customFormat="1" x14ac:dyDescent="0.2">
      <c r="B159" s="135"/>
      <c r="C159" s="1816" t="s">
        <v>236</v>
      </c>
      <c r="D159" s="254" t="s">
        <v>149</v>
      </c>
      <c r="E159" s="255">
        <v>3</v>
      </c>
      <c r="F159" s="277">
        <v>0</v>
      </c>
      <c r="G159" s="278">
        <f t="shared" si="11"/>
        <v>0</v>
      </c>
      <c r="H159" s="565"/>
    </row>
    <row r="160" spans="2:8" s="136" customFormat="1" x14ac:dyDescent="0.2">
      <c r="B160" s="135"/>
      <c r="C160" s="1816" t="s">
        <v>227</v>
      </c>
      <c r="D160" s="254" t="s">
        <v>149</v>
      </c>
      <c r="E160" s="255">
        <v>1</v>
      </c>
      <c r="F160" s="277">
        <v>0</v>
      </c>
      <c r="G160" s="278">
        <f t="shared" si="11"/>
        <v>0</v>
      </c>
      <c r="H160" s="565"/>
    </row>
    <row r="161" spans="1:8" s="136" customFormat="1" x14ac:dyDescent="0.2">
      <c r="B161" s="135"/>
      <c r="C161" s="1817" t="s">
        <v>198</v>
      </c>
      <c r="D161" s="254" t="s">
        <v>149</v>
      </c>
      <c r="E161" s="255">
        <v>1</v>
      </c>
      <c r="F161" s="277">
        <v>0</v>
      </c>
      <c r="G161" s="278">
        <f t="shared" si="11"/>
        <v>0</v>
      </c>
      <c r="H161" s="565"/>
    </row>
    <row r="162" spans="1:8" s="136" customFormat="1" x14ac:dyDescent="0.2">
      <c r="B162" s="135"/>
      <c r="C162" s="253" t="s">
        <v>844</v>
      </c>
      <c r="D162" s="254"/>
      <c r="E162" s="255"/>
      <c r="F162" s="256"/>
      <c r="G162" s="257"/>
      <c r="H162" s="565"/>
    </row>
    <row r="163" spans="1:8" ht="24" x14ac:dyDescent="0.2">
      <c r="A163" s="136"/>
      <c r="B163" s="135"/>
      <c r="C163" s="258" t="s">
        <v>238</v>
      </c>
      <c r="D163" s="254" t="s">
        <v>149</v>
      </c>
      <c r="E163" s="255">
        <v>1</v>
      </c>
      <c r="F163" s="277">
        <v>0</v>
      </c>
      <c r="G163" s="278">
        <f t="shared" ref="G163:G171" si="12">E163*F163</f>
        <v>0</v>
      </c>
    </row>
    <row r="164" spans="1:8" s="136" customFormat="1" x14ac:dyDescent="0.2">
      <c r="B164" s="135"/>
      <c r="C164" s="1816" t="s">
        <v>235</v>
      </c>
      <c r="D164" s="254" t="s">
        <v>149</v>
      </c>
      <c r="E164" s="255">
        <v>2</v>
      </c>
      <c r="F164" s="277">
        <v>0</v>
      </c>
      <c r="G164" s="278">
        <f t="shared" si="12"/>
        <v>0</v>
      </c>
      <c r="H164" s="565"/>
    </row>
    <row r="165" spans="1:8" s="147" customFormat="1" x14ac:dyDescent="0.2">
      <c r="A165" s="136"/>
      <c r="B165" s="135"/>
      <c r="C165" s="1816" t="s">
        <v>239</v>
      </c>
      <c r="D165" s="254" t="s">
        <v>149</v>
      </c>
      <c r="E165" s="255">
        <v>1</v>
      </c>
      <c r="F165" s="277">
        <v>0</v>
      </c>
      <c r="G165" s="278">
        <f t="shared" si="12"/>
        <v>0</v>
      </c>
      <c r="H165" s="150"/>
    </row>
    <row r="166" spans="1:8" x14ac:dyDescent="0.2">
      <c r="A166" s="136"/>
      <c r="B166" s="135"/>
      <c r="C166" s="1816" t="s">
        <v>236</v>
      </c>
      <c r="D166" s="254" t="s">
        <v>149</v>
      </c>
      <c r="E166" s="255">
        <v>2</v>
      </c>
      <c r="F166" s="277">
        <v>0</v>
      </c>
      <c r="G166" s="278">
        <f t="shared" si="12"/>
        <v>0</v>
      </c>
    </row>
    <row r="167" spans="1:8" x14ac:dyDescent="0.2">
      <c r="A167" s="136"/>
      <c r="B167" s="135"/>
      <c r="C167" s="1816" t="s">
        <v>240</v>
      </c>
      <c r="D167" s="254" t="s">
        <v>149</v>
      </c>
      <c r="E167" s="255">
        <v>1</v>
      </c>
      <c r="F167" s="277">
        <v>0</v>
      </c>
      <c r="G167" s="278">
        <f t="shared" si="12"/>
        <v>0</v>
      </c>
    </row>
    <row r="168" spans="1:8" x14ac:dyDescent="0.2">
      <c r="A168" s="136"/>
      <c r="B168" s="135"/>
      <c r="C168" s="1816" t="s">
        <v>241</v>
      </c>
      <c r="D168" s="254" t="s">
        <v>149</v>
      </c>
      <c r="E168" s="255">
        <v>1</v>
      </c>
      <c r="F168" s="277">
        <v>0</v>
      </c>
      <c r="G168" s="278">
        <f t="shared" si="12"/>
        <v>0</v>
      </c>
    </row>
    <row r="169" spans="1:8" x14ac:dyDescent="0.2">
      <c r="A169" s="136"/>
      <c r="B169" s="135"/>
      <c r="C169" s="1816" t="s">
        <v>242</v>
      </c>
      <c r="D169" s="254" t="s">
        <v>149</v>
      </c>
      <c r="E169" s="255">
        <v>1</v>
      </c>
      <c r="F169" s="277">
        <v>0</v>
      </c>
      <c r="G169" s="278">
        <f t="shared" si="12"/>
        <v>0</v>
      </c>
    </row>
    <row r="170" spans="1:8" x14ac:dyDescent="0.2">
      <c r="A170" s="136"/>
      <c r="B170" s="135"/>
      <c r="C170" s="1816" t="s">
        <v>227</v>
      </c>
      <c r="D170" s="254" t="s">
        <v>149</v>
      </c>
      <c r="E170" s="255">
        <v>1</v>
      </c>
      <c r="F170" s="277">
        <v>0</v>
      </c>
      <c r="G170" s="278">
        <f t="shared" si="12"/>
        <v>0</v>
      </c>
    </row>
    <row r="171" spans="1:8" x14ac:dyDescent="0.2">
      <c r="A171" s="147"/>
      <c r="B171" s="135"/>
      <c r="C171" s="1817" t="s">
        <v>198</v>
      </c>
      <c r="D171" s="254" t="s">
        <v>149</v>
      </c>
      <c r="E171" s="255">
        <v>1</v>
      </c>
      <c r="F171" s="277">
        <v>0</v>
      </c>
      <c r="G171" s="278">
        <f t="shared" si="12"/>
        <v>0</v>
      </c>
    </row>
    <row r="172" spans="1:8" x14ac:dyDescent="0.2">
      <c r="B172" s="292" t="s">
        <v>330</v>
      </c>
      <c r="C172" s="247" t="s">
        <v>244</v>
      </c>
      <c r="D172" s="202"/>
      <c r="E172" s="248"/>
      <c r="F172" s="249"/>
      <c r="G172" s="205"/>
    </row>
    <row r="173" spans="1:8" x14ac:dyDescent="0.2">
      <c r="B173" s="135"/>
      <c r="C173" s="247" t="s">
        <v>1754</v>
      </c>
      <c r="D173" s="202"/>
      <c r="E173" s="248"/>
      <c r="F173" s="249">
        <v>0</v>
      </c>
      <c r="G173" s="205"/>
    </row>
    <row r="174" spans="1:8" ht="36" x14ac:dyDescent="0.2">
      <c r="B174" s="135"/>
      <c r="C174" s="262" t="s">
        <v>1755</v>
      </c>
      <c r="D174" s="202" t="s">
        <v>149</v>
      </c>
      <c r="E174" s="248">
        <v>2</v>
      </c>
      <c r="F174" s="275">
        <v>0</v>
      </c>
      <c r="G174" s="276">
        <f t="shared" ref="G174:G176" si="13">E174*F174</f>
        <v>0</v>
      </c>
    </row>
    <row r="175" spans="1:8" x14ac:dyDescent="0.2">
      <c r="B175" s="135"/>
      <c r="C175" s="1814" t="s">
        <v>247</v>
      </c>
      <c r="D175" s="202" t="s">
        <v>149</v>
      </c>
      <c r="E175" s="248">
        <v>2</v>
      </c>
      <c r="F175" s="275">
        <v>0</v>
      </c>
      <c r="G175" s="276">
        <f t="shared" si="13"/>
        <v>0</v>
      </c>
    </row>
    <row r="176" spans="1:8" x14ac:dyDescent="0.2">
      <c r="B176" s="135"/>
      <c r="C176" s="1821" t="s">
        <v>248</v>
      </c>
      <c r="D176" s="202" t="s">
        <v>149</v>
      </c>
      <c r="E176" s="248">
        <v>2</v>
      </c>
      <c r="F176" s="275">
        <v>0</v>
      </c>
      <c r="G176" s="276">
        <f t="shared" si="13"/>
        <v>0</v>
      </c>
    </row>
    <row r="177" spans="2:8" x14ac:dyDescent="0.2">
      <c r="B177" s="135"/>
      <c r="C177" s="247" t="s">
        <v>1756</v>
      </c>
      <c r="D177" s="202"/>
      <c r="E177" s="248"/>
      <c r="F177" s="249">
        <v>0</v>
      </c>
      <c r="G177" s="205"/>
    </row>
    <row r="178" spans="2:8" ht="36" x14ac:dyDescent="0.2">
      <c r="B178" s="135"/>
      <c r="C178" s="262" t="s">
        <v>1757</v>
      </c>
      <c r="D178" s="202" t="s">
        <v>149</v>
      </c>
      <c r="E178" s="248">
        <v>1</v>
      </c>
      <c r="F178" s="275">
        <v>0</v>
      </c>
      <c r="G178" s="276">
        <f t="shared" ref="G178:G180" si="14">E178*F178</f>
        <v>0</v>
      </c>
    </row>
    <row r="179" spans="2:8" x14ac:dyDescent="0.2">
      <c r="B179" s="135"/>
      <c r="C179" s="1814" t="s">
        <v>247</v>
      </c>
      <c r="D179" s="202" t="s">
        <v>149</v>
      </c>
      <c r="E179" s="248">
        <v>1</v>
      </c>
      <c r="F179" s="275">
        <v>0</v>
      </c>
      <c r="G179" s="276">
        <f t="shared" si="14"/>
        <v>0</v>
      </c>
    </row>
    <row r="180" spans="2:8" x14ac:dyDescent="0.2">
      <c r="B180" s="135"/>
      <c r="C180" s="1821" t="s">
        <v>248</v>
      </c>
      <c r="D180" s="202" t="s">
        <v>149</v>
      </c>
      <c r="E180" s="248">
        <v>1</v>
      </c>
      <c r="F180" s="275">
        <v>0</v>
      </c>
      <c r="G180" s="276">
        <f t="shared" si="14"/>
        <v>0</v>
      </c>
    </row>
    <row r="181" spans="2:8" x14ac:dyDescent="0.2">
      <c r="B181" s="135"/>
      <c r="C181" s="247" t="s">
        <v>849</v>
      </c>
      <c r="D181" s="202"/>
      <c r="E181" s="248"/>
      <c r="F181" s="249">
        <v>0</v>
      </c>
      <c r="G181" s="205"/>
    </row>
    <row r="182" spans="2:8" ht="36" x14ac:dyDescent="0.2">
      <c r="B182" s="135"/>
      <c r="C182" s="262" t="s">
        <v>850</v>
      </c>
      <c r="D182" s="202" t="s">
        <v>149</v>
      </c>
      <c r="E182" s="248">
        <v>11</v>
      </c>
      <c r="F182" s="275">
        <v>0</v>
      </c>
      <c r="G182" s="276">
        <f t="shared" ref="G182:G185" si="15">E182*F182</f>
        <v>0</v>
      </c>
    </row>
    <row r="183" spans="2:8" x14ac:dyDescent="0.2">
      <c r="B183" s="135"/>
      <c r="C183" s="1814" t="s">
        <v>247</v>
      </c>
      <c r="D183" s="202" t="s">
        <v>149</v>
      </c>
      <c r="E183" s="248">
        <v>11</v>
      </c>
      <c r="F183" s="275">
        <v>0</v>
      </c>
      <c r="G183" s="276">
        <f t="shared" si="15"/>
        <v>0</v>
      </c>
    </row>
    <row r="184" spans="2:8" x14ac:dyDescent="0.2">
      <c r="B184" s="135"/>
      <c r="C184" s="1815" t="s">
        <v>198</v>
      </c>
      <c r="D184" s="202" t="s">
        <v>149</v>
      </c>
      <c r="E184" s="248">
        <v>11</v>
      </c>
      <c r="F184" s="275">
        <v>0</v>
      </c>
      <c r="G184" s="276">
        <f t="shared" si="15"/>
        <v>0</v>
      </c>
    </row>
    <row r="185" spans="2:8" x14ac:dyDescent="0.2">
      <c r="B185" s="135"/>
      <c r="C185" s="1815" t="s">
        <v>1727</v>
      </c>
      <c r="D185" s="202" t="s">
        <v>149</v>
      </c>
      <c r="E185" s="248">
        <v>11</v>
      </c>
      <c r="F185" s="275">
        <v>0</v>
      </c>
      <c r="G185" s="276">
        <f t="shared" si="15"/>
        <v>0</v>
      </c>
    </row>
    <row r="186" spans="2:8" x14ac:dyDescent="0.2">
      <c r="B186" s="292" t="s">
        <v>230</v>
      </c>
      <c r="C186" s="280" t="s">
        <v>300</v>
      </c>
      <c r="D186" s="281"/>
      <c r="E186" s="282"/>
      <c r="F186" s="283"/>
      <c r="G186" s="284"/>
    </row>
    <row r="187" spans="2:8" ht="60" x14ac:dyDescent="0.2">
      <c r="B187" s="135"/>
      <c r="C187" s="285" t="s">
        <v>301</v>
      </c>
      <c r="D187" s="286" t="s">
        <v>149</v>
      </c>
      <c r="E187" s="287">
        <v>14</v>
      </c>
      <c r="F187" s="288">
        <v>0</v>
      </c>
      <c r="G187" s="289">
        <f t="shared" ref="G187" si="16">E187*F187</f>
        <v>0</v>
      </c>
    </row>
    <row r="188" spans="2:8" s="136" customFormat="1" ht="25.5" customHeight="1" x14ac:dyDescent="0.2">
      <c r="B188" s="293" t="s">
        <v>17</v>
      </c>
      <c r="C188" s="294" t="s">
        <v>302</v>
      </c>
      <c r="D188" s="218"/>
      <c r="E188" s="203"/>
      <c r="F188" s="204"/>
      <c r="G188" s="290">
        <f>SUM(G92:G187)</f>
        <v>0</v>
      </c>
      <c r="H188" s="565"/>
    </row>
  </sheetData>
  <mergeCells count="8">
    <mergeCell ref="B91:G91"/>
    <mergeCell ref="B101:B104"/>
    <mergeCell ref="B41:G41"/>
    <mergeCell ref="B52:B54"/>
    <mergeCell ref="B68:B70"/>
    <mergeCell ref="B71:B73"/>
    <mergeCell ref="B89:G89"/>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1"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D625C-7F84-45D2-8376-A3054D2D29F9}">
  <sheetPr>
    <tabColor theme="0" tint="-0.14999847407452621"/>
  </sheetPr>
  <dimension ref="A2:L251"/>
  <sheetViews>
    <sheetView showZeros="0" topLeftCell="A59"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1" customHeight="1" x14ac:dyDescent="0.2">
      <c r="B6" s="1776" t="s">
        <v>80</v>
      </c>
      <c r="C6" s="1739" t="s">
        <v>1758</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G79</f>
        <v>0</v>
      </c>
      <c r="H16" s="569"/>
    </row>
    <row r="17" spans="2:9" s="1792" customFormat="1" ht="18.75" customHeight="1" x14ac:dyDescent="0.25">
      <c r="B17" s="1793" t="s">
        <v>17</v>
      </c>
      <c r="C17" s="1794" t="s">
        <v>87</v>
      </c>
      <c r="D17" s="1795"/>
      <c r="E17" s="1796"/>
      <c r="F17" s="1797"/>
      <c r="G17" s="474">
        <f>G251</f>
        <v>0</v>
      </c>
      <c r="H17" s="569"/>
    </row>
    <row r="18" spans="2:9" s="1792" customFormat="1" ht="18.75" customHeight="1" x14ac:dyDescent="0.25">
      <c r="B18" s="1799"/>
      <c r="C18" s="1800" t="s">
        <v>88</v>
      </c>
      <c r="D18" s="1801"/>
      <c r="E18" s="1802"/>
      <c r="F18" s="1803"/>
      <c r="G18" s="475">
        <f>SUM(G15:G17)</f>
        <v>0</v>
      </c>
      <c r="H18" s="569"/>
    </row>
    <row r="19" spans="2:9" x14ac:dyDescent="0.2">
      <c r="B19" s="127"/>
      <c r="C19" s="183"/>
      <c r="D19" s="184"/>
      <c r="E19" s="461"/>
      <c r="F19" s="462"/>
    </row>
    <row r="20" spans="2:9" x14ac:dyDescent="0.2">
      <c r="G20" s="466"/>
    </row>
    <row r="21" spans="2:9" ht="24" x14ac:dyDescent="0.2">
      <c r="B21" s="128" t="s">
        <v>83</v>
      </c>
      <c r="C21" s="192" t="s">
        <v>89</v>
      </c>
      <c r="D21" s="193" t="s">
        <v>90</v>
      </c>
      <c r="E21" s="194" t="s">
        <v>91</v>
      </c>
      <c r="F21" s="195" t="s">
        <v>92</v>
      </c>
      <c r="G21" s="196" t="s">
        <v>93</v>
      </c>
    </row>
    <row r="22" spans="2:9" x14ac:dyDescent="0.2">
      <c r="B22" s="129"/>
      <c r="C22" s="197"/>
      <c r="D22" s="198"/>
      <c r="E22" s="353"/>
      <c r="F22" s="358"/>
      <c r="G22" s="350"/>
    </row>
    <row r="23" spans="2:9" s="295" customFormat="1" ht="20.25" x14ac:dyDescent="0.3">
      <c r="B23" s="303" t="s">
        <v>10</v>
      </c>
      <c r="C23" s="306" t="s">
        <v>85</v>
      </c>
      <c r="D23" s="305"/>
      <c r="E23" s="299"/>
      <c r="F23" s="300"/>
      <c r="G23" s="301"/>
      <c r="H23" s="570"/>
    </row>
    <row r="24" spans="2:9" ht="27.75" customHeight="1" x14ac:dyDescent="0.2">
      <c r="B24" s="129">
        <v>1</v>
      </c>
      <c r="C24" s="206" t="s">
        <v>94</v>
      </c>
      <c r="D24" s="207" t="s">
        <v>95</v>
      </c>
      <c r="E24" s="353">
        <v>6079</v>
      </c>
      <c r="F24" s="467">
        <v>0</v>
      </c>
      <c r="G24" s="352">
        <f t="shared" ref="G24" si="0">E24*F24</f>
        <v>0</v>
      </c>
    </row>
    <row r="25" spans="2:9" x14ac:dyDescent="0.2">
      <c r="B25" s="129">
        <v>2</v>
      </c>
      <c r="C25" s="206" t="s">
        <v>96</v>
      </c>
      <c r="D25" s="207" t="s">
        <v>95</v>
      </c>
      <c r="E25" s="353">
        <f>E24</f>
        <v>6079</v>
      </c>
      <c r="F25" s="467">
        <v>0</v>
      </c>
      <c r="G25" s="352">
        <f>E25*F25</f>
        <v>0</v>
      </c>
    </row>
    <row r="26" spans="2:9" ht="53.25" customHeight="1" x14ac:dyDescent="0.2">
      <c r="B26" s="129">
        <v>3</v>
      </c>
      <c r="C26" s="206" t="s">
        <v>97</v>
      </c>
      <c r="D26" s="207" t="s">
        <v>98</v>
      </c>
      <c r="E26" s="353">
        <v>1</v>
      </c>
      <c r="F26" s="467">
        <v>0</v>
      </c>
      <c r="G26" s="352">
        <f t="shared" ref="G26:G35" si="1">E26*F26</f>
        <v>0</v>
      </c>
      <c r="H26" s="571"/>
    </row>
    <row r="27" spans="2:9" ht="132" x14ac:dyDescent="0.2">
      <c r="B27" s="129">
        <v>4</v>
      </c>
      <c r="C27" s="208" t="s">
        <v>1719</v>
      </c>
      <c r="D27" s="209" t="s">
        <v>98</v>
      </c>
      <c r="E27" s="353">
        <v>1</v>
      </c>
      <c r="F27" s="467">
        <v>0</v>
      </c>
      <c r="G27" s="352">
        <f t="shared" si="1"/>
        <v>0</v>
      </c>
      <c r="I27" s="1368"/>
    </row>
    <row r="28" spans="2:9" ht="30.75" customHeight="1" x14ac:dyDescent="0.2">
      <c r="B28" s="129">
        <v>5</v>
      </c>
      <c r="C28" s="208" t="s">
        <v>100</v>
      </c>
      <c r="D28" s="210" t="s">
        <v>98</v>
      </c>
      <c r="E28" s="353">
        <v>1</v>
      </c>
      <c r="F28" s="467">
        <v>0</v>
      </c>
      <c r="G28" s="352">
        <f t="shared" si="1"/>
        <v>0</v>
      </c>
    </row>
    <row r="29" spans="2:9" ht="27" customHeight="1" x14ac:dyDescent="0.2">
      <c r="B29" s="129">
        <v>6</v>
      </c>
      <c r="C29" s="1822" t="s">
        <v>101</v>
      </c>
      <c r="D29" s="210" t="s">
        <v>98</v>
      </c>
      <c r="E29" s="353">
        <v>1</v>
      </c>
      <c r="F29" s="467">
        <v>0</v>
      </c>
      <c r="G29" s="352">
        <f t="shared" si="1"/>
        <v>0</v>
      </c>
    </row>
    <row r="30" spans="2:9" ht="52.5" customHeight="1" x14ac:dyDescent="0.2">
      <c r="B30" s="129">
        <v>7</v>
      </c>
      <c r="C30" s="1822" t="s">
        <v>102</v>
      </c>
      <c r="D30" s="210" t="s">
        <v>98</v>
      </c>
      <c r="E30" s="353">
        <v>6</v>
      </c>
      <c r="F30" s="467">
        <v>0</v>
      </c>
      <c r="G30" s="352">
        <f t="shared" si="1"/>
        <v>0</v>
      </c>
    </row>
    <row r="31" spans="2:9" ht="36" x14ac:dyDescent="0.2">
      <c r="B31" s="129">
        <v>8</v>
      </c>
      <c r="C31" s="3165" t="s">
        <v>2590</v>
      </c>
      <c r="D31" s="210" t="s">
        <v>95</v>
      </c>
      <c r="E31" s="353">
        <v>6754</v>
      </c>
      <c r="F31" s="467">
        <v>0</v>
      </c>
      <c r="G31" s="352">
        <f t="shared" si="1"/>
        <v>0</v>
      </c>
      <c r="H31" s="571"/>
    </row>
    <row r="32" spans="2:9" ht="24" x14ac:dyDescent="0.2">
      <c r="B32" s="129">
        <v>9</v>
      </c>
      <c r="C32" s="3165" t="s">
        <v>2591</v>
      </c>
      <c r="D32" s="210" t="s">
        <v>95</v>
      </c>
      <c r="E32" s="353">
        <v>6754</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5</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f>(6754*1*1.4*0.07)</f>
        <v>661.89199999999994</v>
      </c>
      <c r="F42" s="467">
        <v>0</v>
      </c>
      <c r="G42" s="352">
        <f t="shared" ref="G42:G78" si="2">E42*F42</f>
        <v>0</v>
      </c>
      <c r="I42" s="132"/>
    </row>
    <row r="43" spans="2:12" ht="39" customHeight="1" x14ac:dyDescent="0.2">
      <c r="B43" s="131">
        <v>2</v>
      </c>
      <c r="C43" s="206" t="s">
        <v>113</v>
      </c>
      <c r="D43" s="207" t="s">
        <v>95</v>
      </c>
      <c r="E43" s="353">
        <f>0.5*6754</f>
        <v>3377</v>
      </c>
      <c r="F43" s="467">
        <v>0</v>
      </c>
      <c r="G43" s="352">
        <f t="shared" si="2"/>
        <v>0</v>
      </c>
      <c r="I43" s="1364"/>
    </row>
    <row r="44" spans="2:12" ht="36" x14ac:dyDescent="0.2">
      <c r="B44" s="131">
        <v>3</v>
      </c>
      <c r="C44" s="206" t="s">
        <v>114</v>
      </c>
      <c r="D44" s="209" t="s">
        <v>112</v>
      </c>
      <c r="E44" s="353">
        <f>((6754*1*1.4)-E42)*0.1</f>
        <v>879.37079999999992</v>
      </c>
      <c r="F44" s="467">
        <v>0</v>
      </c>
      <c r="G44" s="352">
        <f t="shared" si="2"/>
        <v>0</v>
      </c>
      <c r="I44" s="133"/>
      <c r="K44" s="134"/>
      <c r="L44" s="134"/>
    </row>
    <row r="45" spans="2:12" ht="39.75" customHeight="1" x14ac:dyDescent="0.2">
      <c r="B45" s="131">
        <v>4</v>
      </c>
      <c r="C45" s="206" t="s">
        <v>115</v>
      </c>
      <c r="D45" s="209" t="s">
        <v>112</v>
      </c>
      <c r="E45" s="353">
        <f>((6754*1*1.4)-E42)*0.9</f>
        <v>7914.337199999999</v>
      </c>
      <c r="F45" s="467">
        <v>0</v>
      </c>
      <c r="G45" s="352">
        <f t="shared" si="2"/>
        <v>0</v>
      </c>
      <c r="I45" s="133"/>
    </row>
    <row r="46" spans="2:12" ht="29.25" customHeight="1" x14ac:dyDescent="0.2">
      <c r="B46" s="131">
        <v>5</v>
      </c>
      <c r="C46" s="311" t="s">
        <v>116</v>
      </c>
      <c r="D46" s="219" t="s">
        <v>117</v>
      </c>
      <c r="E46" s="471">
        <f>6754*1.4</f>
        <v>9455.5999999999985</v>
      </c>
      <c r="F46" s="467">
        <v>0</v>
      </c>
      <c r="G46" s="352">
        <f t="shared" si="2"/>
        <v>0</v>
      </c>
      <c r="I46" s="1364"/>
    </row>
    <row r="47" spans="2:12" ht="29.25" customHeight="1" x14ac:dyDescent="0.2">
      <c r="B47" s="131">
        <v>6</v>
      </c>
      <c r="C47" s="206" t="s">
        <v>118</v>
      </c>
      <c r="D47" s="209" t="s">
        <v>117</v>
      </c>
      <c r="E47" s="353">
        <f>6754*1</f>
        <v>6754</v>
      </c>
      <c r="F47" s="467">
        <v>0</v>
      </c>
      <c r="G47" s="352">
        <f t="shared" si="2"/>
        <v>0</v>
      </c>
      <c r="I47" s="133"/>
    </row>
    <row r="48" spans="2:12" ht="27" customHeight="1" x14ac:dyDescent="0.2">
      <c r="B48" s="131">
        <v>7</v>
      </c>
      <c r="C48" s="206" t="s">
        <v>304</v>
      </c>
      <c r="D48" s="209" t="s">
        <v>112</v>
      </c>
      <c r="E48" s="353">
        <v>1823.6</v>
      </c>
      <c r="F48" s="467">
        <v>0</v>
      </c>
      <c r="G48" s="352">
        <f t="shared" si="2"/>
        <v>0</v>
      </c>
      <c r="I48" s="133"/>
    </row>
    <row r="49" spans="2:12" ht="24" x14ac:dyDescent="0.2">
      <c r="B49" s="131">
        <v>8</v>
      </c>
      <c r="C49" s="206" t="s">
        <v>119</v>
      </c>
      <c r="D49" s="209" t="s">
        <v>112</v>
      </c>
      <c r="E49" s="353">
        <f>(6754*1*1.4)*0.157</f>
        <v>1484.5291999999997</v>
      </c>
      <c r="F49" s="467">
        <v>0</v>
      </c>
      <c r="G49" s="352">
        <f t="shared" si="2"/>
        <v>0</v>
      </c>
      <c r="I49" s="134"/>
    </row>
    <row r="50" spans="2:12" ht="40.5" customHeight="1" x14ac:dyDescent="0.2">
      <c r="B50" s="131">
        <v>9</v>
      </c>
      <c r="C50" s="208" t="s">
        <v>120</v>
      </c>
      <c r="D50" s="209" t="s">
        <v>112</v>
      </c>
      <c r="E50" s="353">
        <v>1786.9</v>
      </c>
      <c r="F50" s="467">
        <v>0</v>
      </c>
      <c r="G50" s="352">
        <f t="shared" si="2"/>
        <v>0</v>
      </c>
    </row>
    <row r="51" spans="2:12" s="130" customFormat="1" ht="39" customHeight="1" x14ac:dyDescent="0.2">
      <c r="B51" s="131">
        <v>10</v>
      </c>
      <c r="C51" s="314" t="s">
        <v>121</v>
      </c>
      <c r="D51" s="210" t="s">
        <v>112</v>
      </c>
      <c r="E51" s="353">
        <v>1451.16</v>
      </c>
      <c r="F51" s="467">
        <v>0</v>
      </c>
      <c r="G51" s="352">
        <f t="shared" si="2"/>
        <v>0</v>
      </c>
      <c r="H51" s="565"/>
    </row>
    <row r="52" spans="2:12" s="147" customFormat="1" ht="54" customHeight="1" x14ac:dyDescent="0.25">
      <c r="B52" s="3187">
        <v>11</v>
      </c>
      <c r="C52" s="308" t="s">
        <v>122</v>
      </c>
      <c r="D52" s="210"/>
      <c r="E52" s="353"/>
      <c r="F52" s="467"/>
      <c r="G52" s="352"/>
      <c r="H52" s="572"/>
    </row>
    <row r="53" spans="2:12" s="147" customFormat="1" ht="15" customHeight="1" x14ac:dyDescent="0.25">
      <c r="B53" s="3188"/>
      <c r="C53" s="308" t="s">
        <v>124</v>
      </c>
      <c r="D53" s="207" t="s">
        <v>95</v>
      </c>
      <c r="E53" s="353">
        <v>60</v>
      </c>
      <c r="F53" s="467">
        <v>0</v>
      </c>
      <c r="G53" s="352">
        <f t="shared" si="2"/>
        <v>0</v>
      </c>
      <c r="H53" s="572"/>
    </row>
    <row r="54" spans="2:12" s="147" customFormat="1" ht="15" customHeight="1" x14ac:dyDescent="0.25">
      <c r="B54" s="3189"/>
      <c r="C54" s="308" t="s">
        <v>305</v>
      </c>
      <c r="D54" s="207" t="s">
        <v>95</v>
      </c>
      <c r="E54" s="353">
        <v>35</v>
      </c>
      <c r="F54" s="467">
        <v>0</v>
      </c>
      <c r="G54" s="352">
        <f t="shared" si="2"/>
        <v>0</v>
      </c>
      <c r="H54" s="572"/>
    </row>
    <row r="55" spans="2:12" ht="25.5" customHeight="1" x14ac:dyDescent="0.2">
      <c r="B55" s="131">
        <v>12</v>
      </c>
      <c r="C55" s="206" t="s">
        <v>125</v>
      </c>
      <c r="D55" s="209" t="s">
        <v>95</v>
      </c>
      <c r="E55" s="353">
        <v>3156.5</v>
      </c>
      <c r="F55" s="467">
        <v>0</v>
      </c>
      <c r="G55" s="352">
        <f t="shared" si="2"/>
        <v>0</v>
      </c>
      <c r="H55" s="571"/>
    </row>
    <row r="56" spans="2:12" ht="16.5" customHeight="1" x14ac:dyDescent="0.2">
      <c r="B56" s="131">
        <v>13</v>
      </c>
      <c r="C56" s="206" t="s">
        <v>126</v>
      </c>
      <c r="D56" s="207" t="s">
        <v>117</v>
      </c>
      <c r="E56" s="353">
        <v>3481.29</v>
      </c>
      <c r="F56" s="467">
        <v>0</v>
      </c>
      <c r="G56" s="352">
        <f t="shared" si="2"/>
        <v>0</v>
      </c>
      <c r="H56" s="571"/>
    </row>
    <row r="57" spans="2:12" ht="48" x14ac:dyDescent="0.2">
      <c r="B57" s="131">
        <v>14</v>
      </c>
      <c r="C57" s="206" t="s">
        <v>127</v>
      </c>
      <c r="D57" s="207" t="s">
        <v>117</v>
      </c>
      <c r="E57" s="353">
        <f>E56</f>
        <v>3481.29</v>
      </c>
      <c r="F57" s="467">
        <v>0</v>
      </c>
      <c r="G57" s="352">
        <f t="shared" si="2"/>
        <v>0</v>
      </c>
      <c r="H57" s="571"/>
      <c r="I57" s="1365"/>
    </row>
    <row r="58" spans="2:12" ht="65.25" customHeight="1" x14ac:dyDescent="0.2">
      <c r="B58" s="131">
        <v>15</v>
      </c>
      <c r="C58" s="314" t="s">
        <v>706</v>
      </c>
      <c r="D58" s="209" t="s">
        <v>117</v>
      </c>
      <c r="E58" s="353">
        <v>1946.6</v>
      </c>
      <c r="F58" s="467">
        <v>0</v>
      </c>
      <c r="G58" s="352">
        <f t="shared" si="2"/>
        <v>0</v>
      </c>
      <c r="H58" s="571"/>
      <c r="I58" s="1365"/>
      <c r="J58" s="1365"/>
      <c r="K58" s="1365"/>
      <c r="L58" s="1365"/>
    </row>
    <row r="59" spans="2:12" ht="51.75" customHeight="1" x14ac:dyDescent="0.2">
      <c r="B59" s="312" t="s">
        <v>576</v>
      </c>
      <c r="C59" s="208" t="s">
        <v>129</v>
      </c>
      <c r="D59" s="209" t="s">
        <v>117</v>
      </c>
      <c r="E59" s="353">
        <v>1160.19</v>
      </c>
      <c r="F59" s="467">
        <v>0</v>
      </c>
      <c r="G59" s="352">
        <f t="shared" si="2"/>
        <v>0</v>
      </c>
      <c r="H59" s="571"/>
      <c r="K59" s="1365"/>
    </row>
    <row r="60" spans="2:12" ht="64.5" customHeight="1" x14ac:dyDescent="0.2">
      <c r="B60" s="312" t="s">
        <v>578</v>
      </c>
      <c r="C60" s="208" t="s">
        <v>708</v>
      </c>
      <c r="D60" s="209" t="s">
        <v>117</v>
      </c>
      <c r="E60" s="353">
        <v>1160.19</v>
      </c>
      <c r="F60" s="467">
        <v>0</v>
      </c>
      <c r="G60" s="352">
        <f t="shared" si="2"/>
        <v>0</v>
      </c>
      <c r="H60" s="571"/>
      <c r="I60" s="1365"/>
    </row>
    <row r="61" spans="2:12" ht="76.5" customHeight="1" x14ac:dyDescent="0.2">
      <c r="B61" s="312" t="s">
        <v>580</v>
      </c>
      <c r="C61" s="208" t="s">
        <v>711</v>
      </c>
      <c r="D61" s="209" t="s">
        <v>117</v>
      </c>
      <c r="E61" s="353">
        <v>374.5</v>
      </c>
      <c r="F61" s="467">
        <v>0</v>
      </c>
      <c r="G61" s="352">
        <f>E61*F61</f>
        <v>0</v>
      </c>
      <c r="H61" s="571"/>
      <c r="I61" s="1365"/>
    </row>
    <row r="62" spans="2:12" ht="38.25" customHeight="1" x14ac:dyDescent="0.2">
      <c r="B62" s="131">
        <v>19</v>
      </c>
      <c r="C62" s="206" t="s">
        <v>132</v>
      </c>
      <c r="D62" s="207" t="s">
        <v>117</v>
      </c>
      <c r="E62" s="353">
        <v>95</v>
      </c>
      <c r="F62" s="467">
        <v>0</v>
      </c>
      <c r="G62" s="352">
        <f t="shared" si="2"/>
        <v>0</v>
      </c>
      <c r="J62" s="1365"/>
    </row>
    <row r="63" spans="2:12" ht="14.25" customHeight="1" x14ac:dyDescent="0.2">
      <c r="B63" s="131">
        <v>20</v>
      </c>
      <c r="C63" s="206" t="s">
        <v>133</v>
      </c>
      <c r="D63" s="209" t="s">
        <v>112</v>
      </c>
      <c r="E63" s="353">
        <v>116.8</v>
      </c>
      <c r="F63" s="467">
        <v>0</v>
      </c>
      <c r="G63" s="352">
        <f t="shared" si="2"/>
        <v>0</v>
      </c>
      <c r="I63" s="134"/>
    </row>
    <row r="64" spans="2:12" ht="14.25" customHeight="1" x14ac:dyDescent="0.2">
      <c r="B64" s="131">
        <v>21</v>
      </c>
      <c r="C64" s="206" t="s">
        <v>134</v>
      </c>
      <c r="D64" s="209" t="s">
        <v>112</v>
      </c>
      <c r="E64" s="353">
        <v>4393.9399999999996</v>
      </c>
      <c r="F64" s="467">
        <v>0</v>
      </c>
      <c r="G64" s="352">
        <f t="shared" si="2"/>
        <v>0</v>
      </c>
    </row>
    <row r="65" spans="2:9" ht="15.75" customHeight="1" x14ac:dyDescent="0.2">
      <c r="B65" s="131">
        <v>22</v>
      </c>
      <c r="C65" s="206" t="s">
        <v>135</v>
      </c>
      <c r="D65" s="209" t="s">
        <v>112</v>
      </c>
      <c r="E65" s="353">
        <f>E64</f>
        <v>4393.9399999999996</v>
      </c>
      <c r="F65" s="467">
        <v>0</v>
      </c>
      <c r="G65" s="352">
        <f t="shared" si="2"/>
        <v>0</v>
      </c>
      <c r="I65" s="134"/>
    </row>
    <row r="66" spans="2:9" ht="27.75" customHeight="1" x14ac:dyDescent="0.2">
      <c r="B66" s="131">
        <v>23</v>
      </c>
      <c r="C66" s="206" t="s">
        <v>136</v>
      </c>
      <c r="D66" s="209" t="s">
        <v>117</v>
      </c>
      <c r="E66" s="353">
        <v>2501.4</v>
      </c>
      <c r="F66" s="467">
        <v>0</v>
      </c>
      <c r="G66" s="352">
        <f t="shared" si="2"/>
        <v>0</v>
      </c>
    </row>
    <row r="67" spans="2:9" ht="30" customHeight="1" x14ac:dyDescent="0.2">
      <c r="B67" s="131">
        <v>24</v>
      </c>
      <c r="C67" s="206" t="s">
        <v>138</v>
      </c>
      <c r="D67" s="207" t="s">
        <v>117</v>
      </c>
      <c r="E67" s="353">
        <v>2443</v>
      </c>
      <c r="F67" s="467">
        <v>0</v>
      </c>
      <c r="G67" s="352">
        <f t="shared" si="2"/>
        <v>0</v>
      </c>
    </row>
    <row r="68" spans="2:9" s="130" customFormat="1" ht="51.75" customHeight="1" x14ac:dyDescent="0.2">
      <c r="B68" s="3187">
        <v>25</v>
      </c>
      <c r="C68" s="408" t="s">
        <v>139</v>
      </c>
      <c r="D68" s="221"/>
      <c r="E68" s="353"/>
      <c r="F68" s="467"/>
      <c r="G68" s="352"/>
      <c r="H68" s="565"/>
      <c r="I68" s="1263"/>
    </row>
    <row r="69" spans="2:9" s="130" customFormat="1" x14ac:dyDescent="0.2">
      <c r="B69" s="3188"/>
      <c r="C69" s="291" t="s">
        <v>140</v>
      </c>
      <c r="D69" s="221" t="s">
        <v>95</v>
      </c>
      <c r="E69" s="353">
        <v>9</v>
      </c>
      <c r="F69" s="467">
        <v>0</v>
      </c>
      <c r="G69" s="352">
        <f t="shared" si="2"/>
        <v>0</v>
      </c>
      <c r="H69" s="565"/>
    </row>
    <row r="70" spans="2:9" s="130" customFormat="1" x14ac:dyDescent="0.2">
      <c r="B70" s="3188"/>
      <c r="C70" s="291" t="s">
        <v>713</v>
      </c>
      <c r="D70" s="221" t="s">
        <v>95</v>
      </c>
      <c r="E70" s="353">
        <v>256</v>
      </c>
      <c r="F70" s="467">
        <v>0</v>
      </c>
      <c r="G70" s="352">
        <f t="shared" si="2"/>
        <v>0</v>
      </c>
      <c r="H70" s="565"/>
    </row>
    <row r="71" spans="2:9" ht="39.75" customHeight="1" x14ac:dyDescent="0.2">
      <c r="B71" s="131">
        <v>26</v>
      </c>
      <c r="C71" s="409" t="s">
        <v>142</v>
      </c>
      <c r="D71" s="207" t="s">
        <v>117</v>
      </c>
      <c r="E71" s="353">
        <v>51</v>
      </c>
      <c r="F71" s="467">
        <v>0</v>
      </c>
      <c r="G71" s="352">
        <f t="shared" si="2"/>
        <v>0</v>
      </c>
    </row>
    <row r="72" spans="2:9" ht="25.5" customHeight="1" x14ac:dyDescent="0.2">
      <c r="B72" s="131">
        <v>27</v>
      </c>
      <c r="C72" s="409" t="s">
        <v>143</v>
      </c>
      <c r="D72" s="207" t="s">
        <v>95</v>
      </c>
      <c r="E72" s="353">
        <v>117</v>
      </c>
      <c r="F72" s="467">
        <v>0</v>
      </c>
      <c r="G72" s="352">
        <f t="shared" si="2"/>
        <v>0</v>
      </c>
      <c r="H72" s="571"/>
    </row>
    <row r="73" spans="2:9" ht="25.5" customHeight="1" x14ac:dyDescent="0.2">
      <c r="B73" s="312" t="s">
        <v>600</v>
      </c>
      <c r="C73" s="409" t="s">
        <v>718</v>
      </c>
      <c r="D73" s="207" t="s">
        <v>95</v>
      </c>
      <c r="E73" s="353">
        <v>62</v>
      </c>
      <c r="F73" s="467">
        <v>0</v>
      </c>
      <c r="G73" s="352">
        <f t="shared" si="2"/>
        <v>0</v>
      </c>
      <c r="H73" s="571"/>
    </row>
    <row r="74" spans="2:9" ht="192" x14ac:dyDescent="0.2">
      <c r="B74" s="312" t="s">
        <v>602</v>
      </c>
      <c r="C74" s="1384" t="s">
        <v>1759</v>
      </c>
      <c r="D74" s="1367" t="s">
        <v>149</v>
      </c>
      <c r="E74" s="1359">
        <v>4</v>
      </c>
      <c r="F74" s="467">
        <v>0</v>
      </c>
      <c r="G74" s="1361">
        <f t="shared" si="2"/>
        <v>0</v>
      </c>
      <c r="H74" s="571"/>
    </row>
    <row r="75" spans="2:9" ht="29.25" customHeight="1" x14ac:dyDescent="0.2">
      <c r="B75" s="411">
        <v>30</v>
      </c>
      <c r="C75" s="410" t="s">
        <v>151</v>
      </c>
      <c r="D75" s="222" t="s">
        <v>112</v>
      </c>
      <c r="E75" s="472">
        <v>7</v>
      </c>
      <c r="F75" s="467">
        <v>0</v>
      </c>
      <c r="G75" s="352">
        <f t="shared" si="2"/>
        <v>0</v>
      </c>
    </row>
    <row r="76" spans="2:9" ht="36.75" customHeight="1" x14ac:dyDescent="0.2">
      <c r="B76" s="131">
        <v>31</v>
      </c>
      <c r="C76" s="1366" t="s">
        <v>152</v>
      </c>
      <c r="D76" s="1367" t="s">
        <v>149</v>
      </c>
      <c r="E76" s="1359">
        <v>74</v>
      </c>
      <c r="F76" s="467">
        <v>0</v>
      </c>
      <c r="G76" s="1361">
        <f t="shared" si="2"/>
        <v>0</v>
      </c>
    </row>
    <row r="77" spans="2:9" ht="30" customHeight="1" x14ac:dyDescent="0.2">
      <c r="B77" s="411">
        <v>32</v>
      </c>
      <c r="C77" s="223" t="s">
        <v>153</v>
      </c>
      <c r="D77" s="222" t="s">
        <v>112</v>
      </c>
      <c r="E77" s="472">
        <v>16</v>
      </c>
      <c r="F77" s="467">
        <v>0</v>
      </c>
      <c r="G77" s="352">
        <f t="shared" si="2"/>
        <v>0</v>
      </c>
    </row>
    <row r="78" spans="2:9" ht="28.5" customHeight="1" x14ac:dyDescent="0.2">
      <c r="B78" s="131">
        <v>33</v>
      </c>
      <c r="C78" s="223" t="s">
        <v>155</v>
      </c>
      <c r="D78" s="222" t="s">
        <v>156</v>
      </c>
      <c r="E78" s="472">
        <v>20</v>
      </c>
      <c r="F78" s="467">
        <v>0</v>
      </c>
      <c r="G78" s="352">
        <f t="shared" si="2"/>
        <v>0</v>
      </c>
    </row>
    <row r="79" spans="2:9" s="147" customFormat="1" x14ac:dyDescent="0.25">
      <c r="B79" s="327" t="s">
        <v>12</v>
      </c>
      <c r="C79" s="214" t="s">
        <v>157</v>
      </c>
      <c r="D79" s="224"/>
      <c r="E79" s="215"/>
      <c r="F79" s="216"/>
      <c r="G79" s="290">
        <f>SUM(G42:G78)</f>
        <v>0</v>
      </c>
      <c r="H79" s="150"/>
    </row>
    <row r="80" spans="2:9" x14ac:dyDescent="0.2">
      <c r="B80" s="129"/>
      <c r="C80" s="197"/>
      <c r="D80" s="198"/>
      <c r="E80" s="353"/>
      <c r="F80" s="358"/>
      <c r="G80" s="350"/>
    </row>
    <row r="81" spans="1:9" ht="24" x14ac:dyDescent="0.2">
      <c r="B81" s="128" t="s">
        <v>83</v>
      </c>
      <c r="C81" s="192" t="s">
        <v>89</v>
      </c>
      <c r="D81" s="192" t="s">
        <v>90</v>
      </c>
      <c r="E81" s="194" t="s">
        <v>91</v>
      </c>
      <c r="F81" s="195" t="s">
        <v>92</v>
      </c>
      <c r="G81" s="196" t="s">
        <v>93</v>
      </c>
    </row>
    <row r="82" spans="1:9" x14ac:dyDescent="0.2">
      <c r="B82" s="129"/>
      <c r="C82" s="197"/>
      <c r="D82" s="207"/>
      <c r="E82" s="353"/>
      <c r="F82" s="358"/>
      <c r="G82" s="350"/>
    </row>
    <row r="83" spans="1:9" s="295" customFormat="1" ht="20.25" x14ac:dyDescent="0.3">
      <c r="B83" s="296" t="s">
        <v>17</v>
      </c>
      <c r="C83" s="297" t="s">
        <v>158</v>
      </c>
      <c r="D83" s="298"/>
      <c r="E83" s="299"/>
      <c r="F83" s="300"/>
      <c r="G83" s="301"/>
      <c r="H83" s="570"/>
    </row>
    <row r="84" spans="1:9" s="139" customFormat="1" ht="15" x14ac:dyDescent="0.2">
      <c r="A84" s="140"/>
      <c r="B84" s="143" t="s">
        <v>1</v>
      </c>
      <c r="C84" s="168"/>
      <c r="D84" s="170"/>
      <c r="E84" s="170"/>
      <c r="F84" s="170"/>
      <c r="G84" s="169"/>
    </row>
    <row r="85" spans="1:9" s="139" customFormat="1" ht="15.75" x14ac:dyDescent="0.25">
      <c r="A85" s="141"/>
      <c r="B85" s="144" t="s">
        <v>2</v>
      </c>
      <c r="C85" s="171"/>
      <c r="D85" s="172"/>
      <c r="E85" s="173"/>
      <c r="F85" s="173"/>
      <c r="G85" s="172"/>
    </row>
    <row r="86" spans="1:9" s="139" customFormat="1" ht="18" customHeight="1" x14ac:dyDescent="0.2">
      <c r="A86" s="140"/>
      <c r="B86" s="143" t="s">
        <v>3</v>
      </c>
      <c r="C86" s="168"/>
      <c r="D86" s="170"/>
      <c r="E86" s="170"/>
      <c r="F86" s="170"/>
      <c r="G86" s="169"/>
    </row>
    <row r="87" spans="1:9" s="139" customFormat="1" ht="18" customHeight="1" x14ac:dyDescent="0.25">
      <c r="A87" s="141"/>
      <c r="B87" s="144" t="s">
        <v>4</v>
      </c>
      <c r="C87" s="171"/>
      <c r="D87" s="173"/>
      <c r="E87" s="173"/>
      <c r="F87" s="173"/>
      <c r="G87" s="172"/>
    </row>
    <row r="88" spans="1:9" s="130" customFormat="1" ht="18.75" customHeight="1" x14ac:dyDescent="0.2">
      <c r="B88" s="3184" t="s">
        <v>159</v>
      </c>
      <c r="C88" s="3185"/>
      <c r="D88" s="3185"/>
      <c r="E88" s="3185"/>
      <c r="F88" s="3185"/>
      <c r="G88" s="3186"/>
      <c r="H88" s="565"/>
    </row>
    <row r="89" spans="1:9" s="130" customFormat="1" ht="18.75" customHeight="1" x14ac:dyDescent="0.2">
      <c r="B89" s="3184" t="s">
        <v>160</v>
      </c>
      <c r="C89" s="3185"/>
      <c r="D89" s="3185"/>
      <c r="E89" s="3185"/>
      <c r="F89" s="3185"/>
      <c r="G89" s="3186"/>
      <c r="H89" s="565"/>
    </row>
    <row r="90" spans="1:9" s="130" customFormat="1" ht="18.75" customHeight="1" x14ac:dyDescent="0.2">
      <c r="B90" s="3184" t="s">
        <v>161</v>
      </c>
      <c r="C90" s="3185"/>
      <c r="D90" s="3185"/>
      <c r="E90" s="3185"/>
      <c r="F90" s="3185"/>
      <c r="G90" s="3186"/>
      <c r="H90" s="565"/>
    </row>
    <row r="91" spans="1:9" ht="30" customHeight="1" x14ac:dyDescent="0.2">
      <c r="B91" s="153">
        <v>1</v>
      </c>
      <c r="C91" s="1806" t="s">
        <v>162</v>
      </c>
      <c r="D91" s="226"/>
      <c r="E91" s="353"/>
      <c r="F91" s="358"/>
      <c r="G91" s="350"/>
    </row>
    <row r="92" spans="1:9" s="147" customFormat="1" ht="18.75" customHeight="1" x14ac:dyDescent="0.25">
      <c r="B92" s="148"/>
      <c r="C92" s="1807" t="s">
        <v>723</v>
      </c>
      <c r="D92" s="226" t="s">
        <v>95</v>
      </c>
      <c r="E92" s="353">
        <v>5125</v>
      </c>
      <c r="F92" s="467">
        <v>0</v>
      </c>
      <c r="G92" s="352">
        <f t="shared" ref="G92:G104" si="3">E92*F92</f>
        <v>0</v>
      </c>
      <c r="H92" s="150"/>
      <c r="I92" s="490"/>
    </row>
    <row r="93" spans="1:9" s="147" customFormat="1" ht="27" customHeight="1" x14ac:dyDescent="0.25">
      <c r="B93" s="148"/>
      <c r="C93" s="1807" t="s">
        <v>835</v>
      </c>
      <c r="D93" s="226" t="s">
        <v>95</v>
      </c>
      <c r="E93" s="353">
        <v>569</v>
      </c>
      <c r="F93" s="467">
        <v>0</v>
      </c>
      <c r="G93" s="352">
        <f t="shared" si="3"/>
        <v>0</v>
      </c>
      <c r="H93" s="150"/>
      <c r="I93" s="490">
        <f>SUM(D92:D99)</f>
        <v>0</v>
      </c>
    </row>
    <row r="94" spans="1:9" s="147" customFormat="1" ht="18.75" customHeight="1" x14ac:dyDescent="0.25">
      <c r="B94" s="148"/>
      <c r="C94" s="1807" t="s">
        <v>821</v>
      </c>
      <c r="D94" s="226" t="s">
        <v>95</v>
      </c>
      <c r="E94" s="353">
        <v>180</v>
      </c>
      <c r="F94" s="467">
        <v>0</v>
      </c>
      <c r="G94" s="352">
        <f t="shared" si="3"/>
        <v>0</v>
      </c>
      <c r="H94" s="150"/>
    </row>
    <row r="95" spans="1:9" s="147" customFormat="1" ht="27" customHeight="1" x14ac:dyDescent="0.25">
      <c r="B95" s="148"/>
      <c r="C95" s="1807" t="s">
        <v>822</v>
      </c>
      <c r="D95" s="226" t="s">
        <v>95</v>
      </c>
      <c r="E95" s="353">
        <v>20</v>
      </c>
      <c r="F95" s="467">
        <v>0</v>
      </c>
      <c r="G95" s="352">
        <f t="shared" si="3"/>
        <v>0</v>
      </c>
      <c r="H95" s="150"/>
      <c r="I95" s="490"/>
    </row>
    <row r="96" spans="1:9" s="147" customFormat="1" ht="19.5" customHeight="1" x14ac:dyDescent="0.25">
      <c r="B96" s="148"/>
      <c r="C96" s="1807" t="s">
        <v>1733</v>
      </c>
      <c r="D96" s="226" t="s">
        <v>95</v>
      </c>
      <c r="E96" s="353">
        <v>166</v>
      </c>
      <c r="F96" s="467">
        <v>0</v>
      </c>
      <c r="G96" s="352">
        <f t="shared" si="3"/>
        <v>0</v>
      </c>
      <c r="H96" s="150"/>
    </row>
    <row r="97" spans="1:8" s="147" customFormat="1" ht="27.75" customHeight="1" x14ac:dyDescent="0.25">
      <c r="B97" s="148"/>
      <c r="C97" s="1807" t="s">
        <v>1734</v>
      </c>
      <c r="D97" s="226" t="s">
        <v>95</v>
      </c>
      <c r="E97" s="353">
        <v>19</v>
      </c>
      <c r="F97" s="467">
        <v>0</v>
      </c>
      <c r="G97" s="352">
        <f t="shared" si="3"/>
        <v>0</v>
      </c>
      <c r="H97" s="150"/>
    </row>
    <row r="98" spans="1:8" s="147" customFormat="1" ht="18.75" customHeight="1" x14ac:dyDescent="0.25">
      <c r="B98" s="148"/>
      <c r="C98" s="1807" t="s">
        <v>165</v>
      </c>
      <c r="D98" s="226" t="s">
        <v>95</v>
      </c>
      <c r="E98" s="353">
        <v>607</v>
      </c>
      <c r="F98" s="467">
        <v>0</v>
      </c>
      <c r="G98" s="352">
        <f t="shared" si="3"/>
        <v>0</v>
      </c>
      <c r="H98" s="150"/>
    </row>
    <row r="99" spans="1:8" s="147" customFormat="1" ht="27.75" customHeight="1" x14ac:dyDescent="0.25">
      <c r="B99" s="148"/>
      <c r="C99" s="1807" t="s">
        <v>166</v>
      </c>
      <c r="D99" s="226" t="s">
        <v>95</v>
      </c>
      <c r="E99" s="353">
        <v>68</v>
      </c>
      <c r="F99" s="467">
        <v>0</v>
      </c>
      <c r="G99" s="352">
        <f t="shared" si="3"/>
        <v>0</v>
      </c>
      <c r="H99" s="150"/>
    </row>
    <row r="100" spans="1:8" s="147" customFormat="1" ht="36" x14ac:dyDescent="0.2">
      <c r="A100" s="130"/>
      <c r="B100" s="3181" t="s">
        <v>167</v>
      </c>
      <c r="C100" s="310" t="s">
        <v>168</v>
      </c>
      <c r="D100" s="221"/>
      <c r="E100" s="353"/>
      <c r="F100" s="467"/>
      <c r="G100" s="352"/>
      <c r="H100" s="150"/>
    </row>
    <row r="101" spans="1:8" s="147" customFormat="1" x14ac:dyDescent="0.2">
      <c r="A101" s="130"/>
      <c r="B101" s="3182"/>
      <c r="C101" s="291" t="s">
        <v>169</v>
      </c>
      <c r="D101" s="221" t="s">
        <v>95</v>
      </c>
      <c r="E101" s="353">
        <v>150</v>
      </c>
      <c r="F101" s="467">
        <v>0</v>
      </c>
      <c r="G101" s="352">
        <f t="shared" ref="G101:G103" si="4">E101*F101</f>
        <v>0</v>
      </c>
      <c r="H101" s="150"/>
    </row>
    <row r="102" spans="1:8" s="147" customFormat="1" x14ac:dyDescent="0.2">
      <c r="A102" s="130"/>
      <c r="B102" s="3182"/>
      <c r="C102" s="291" t="s">
        <v>170</v>
      </c>
      <c r="D102" s="221" t="s">
        <v>95</v>
      </c>
      <c r="E102" s="353">
        <v>15</v>
      </c>
      <c r="F102" s="467">
        <v>0</v>
      </c>
      <c r="G102" s="352">
        <f t="shared" si="4"/>
        <v>0</v>
      </c>
      <c r="H102" s="150"/>
    </row>
    <row r="103" spans="1:8" s="147" customFormat="1" x14ac:dyDescent="0.2">
      <c r="A103" s="130"/>
      <c r="B103" s="3183"/>
      <c r="C103" s="291" t="s">
        <v>171</v>
      </c>
      <c r="D103" s="221" t="s">
        <v>95</v>
      </c>
      <c r="E103" s="353">
        <v>15</v>
      </c>
      <c r="F103" s="467">
        <v>0</v>
      </c>
      <c r="G103" s="352">
        <f t="shared" si="4"/>
        <v>0</v>
      </c>
      <c r="H103" s="150"/>
    </row>
    <row r="104" spans="1:8" s="147" customFormat="1" ht="36" x14ac:dyDescent="0.2">
      <c r="A104" s="121"/>
      <c r="B104" s="154">
        <v>2</v>
      </c>
      <c r="C104" s="227" t="s">
        <v>172</v>
      </c>
      <c r="D104" s="209" t="s">
        <v>95</v>
      </c>
      <c r="E104" s="348">
        <f>SUM(E92:E99)</f>
        <v>6754</v>
      </c>
      <c r="F104" s="467">
        <v>0</v>
      </c>
      <c r="G104" s="352">
        <f t="shared" si="3"/>
        <v>0</v>
      </c>
      <c r="H104" s="150"/>
    </row>
    <row r="105" spans="1:8" s="147" customFormat="1" ht="36" x14ac:dyDescent="0.2">
      <c r="A105" s="121"/>
      <c r="B105" s="309" t="s">
        <v>173</v>
      </c>
      <c r="C105" s="227" t="s">
        <v>174</v>
      </c>
      <c r="D105" s="209" t="s">
        <v>95</v>
      </c>
      <c r="E105" s="348">
        <f>SUM(E92:E99)</f>
        <v>6754</v>
      </c>
      <c r="F105" s="467">
        <v>0</v>
      </c>
      <c r="G105" s="352">
        <f>E105*F105</f>
        <v>0</v>
      </c>
      <c r="H105" s="150"/>
    </row>
    <row r="106" spans="1:8" s="130" customFormat="1" ht="24" x14ac:dyDescent="0.2">
      <c r="A106" s="121"/>
      <c r="B106" s="309" t="s">
        <v>175</v>
      </c>
      <c r="C106" s="227" t="s">
        <v>176</v>
      </c>
      <c r="D106" s="209" t="s">
        <v>95</v>
      </c>
      <c r="E106" s="348">
        <f>SUM(E92:E99)</f>
        <v>6754</v>
      </c>
      <c r="F106" s="467">
        <v>0</v>
      </c>
      <c r="G106" s="352">
        <f>E106*F106</f>
        <v>0</v>
      </c>
      <c r="H106" s="565"/>
    </row>
    <row r="107" spans="1:8" s="130" customFormat="1" ht="36" x14ac:dyDescent="0.2">
      <c r="A107" s="121"/>
      <c r="B107" s="309" t="s">
        <v>177</v>
      </c>
      <c r="C107" s="227" t="s">
        <v>178</v>
      </c>
      <c r="D107" s="209" t="s">
        <v>95</v>
      </c>
      <c r="E107" s="348">
        <f>SUM(E92:E99)</f>
        <v>6754</v>
      </c>
      <c r="F107" s="467">
        <v>0</v>
      </c>
      <c r="G107" s="352">
        <f>E107*F107</f>
        <v>0</v>
      </c>
      <c r="H107" s="565"/>
    </row>
    <row r="108" spans="1:8" s="130" customFormat="1" ht="24" x14ac:dyDescent="0.2">
      <c r="A108" s="121"/>
      <c r="B108" s="153">
        <v>3</v>
      </c>
      <c r="C108" s="264" t="s">
        <v>179</v>
      </c>
      <c r="D108" s="231"/>
      <c r="E108" s="232"/>
      <c r="F108" s="233">
        <v>0</v>
      </c>
      <c r="G108" s="234"/>
      <c r="H108" s="565"/>
    </row>
    <row r="109" spans="1:8" s="130" customFormat="1" x14ac:dyDescent="0.2">
      <c r="A109" s="121"/>
      <c r="B109" s="292" t="s">
        <v>180</v>
      </c>
      <c r="C109" s="1808" t="s">
        <v>181</v>
      </c>
      <c r="D109" s="231"/>
      <c r="E109" s="232"/>
      <c r="F109" s="233"/>
      <c r="G109" s="234"/>
      <c r="H109" s="565"/>
    </row>
    <row r="110" spans="1:8" x14ac:dyDescent="0.2">
      <c r="B110" s="129"/>
      <c r="C110" s="1808" t="s">
        <v>836</v>
      </c>
      <c r="D110" s="231"/>
      <c r="E110" s="232"/>
      <c r="F110" s="233"/>
      <c r="G110" s="234"/>
    </row>
    <row r="111" spans="1:8" x14ac:dyDescent="0.2">
      <c r="A111" s="147"/>
      <c r="B111" s="152"/>
      <c r="C111" s="1810" t="s">
        <v>837</v>
      </c>
      <c r="D111" s="236" t="s">
        <v>149</v>
      </c>
      <c r="E111" s="232">
        <v>42</v>
      </c>
      <c r="F111" s="271">
        <v>0</v>
      </c>
      <c r="G111" s="272">
        <f t="shared" ref="G111:G112" si="5">E111*F111</f>
        <v>0</v>
      </c>
    </row>
    <row r="112" spans="1:8" x14ac:dyDescent="0.2">
      <c r="A112" s="147"/>
      <c r="B112" s="152"/>
      <c r="C112" s="1810" t="s">
        <v>900</v>
      </c>
      <c r="D112" s="236" t="s">
        <v>149</v>
      </c>
      <c r="E112" s="232">
        <v>10</v>
      </c>
      <c r="F112" s="271">
        <v>0</v>
      </c>
      <c r="G112" s="272">
        <f t="shared" si="5"/>
        <v>0</v>
      </c>
    </row>
    <row r="113" spans="1:8" x14ac:dyDescent="0.2">
      <c r="B113" s="129"/>
      <c r="C113" s="1808" t="s">
        <v>185</v>
      </c>
      <c r="D113" s="231"/>
      <c r="E113" s="232"/>
      <c r="F113" s="233"/>
      <c r="G113" s="234"/>
    </row>
    <row r="114" spans="1:8" x14ac:dyDescent="0.2">
      <c r="A114" s="147"/>
      <c r="B114" s="152"/>
      <c r="C114" s="1810" t="s">
        <v>186</v>
      </c>
      <c r="D114" s="236" t="s">
        <v>149</v>
      </c>
      <c r="E114" s="232">
        <v>6</v>
      </c>
      <c r="F114" s="271">
        <v>0</v>
      </c>
      <c r="G114" s="272">
        <f t="shared" ref="G114:G115" si="6">E114*F114</f>
        <v>0</v>
      </c>
    </row>
    <row r="115" spans="1:8" x14ac:dyDescent="0.2">
      <c r="A115" s="147"/>
      <c r="B115" s="152"/>
      <c r="C115" s="1810" t="s">
        <v>187</v>
      </c>
      <c r="D115" s="236" t="s">
        <v>149</v>
      </c>
      <c r="E115" s="232">
        <v>5</v>
      </c>
      <c r="F115" s="271">
        <v>0</v>
      </c>
      <c r="G115" s="272">
        <f t="shared" si="6"/>
        <v>0</v>
      </c>
    </row>
    <row r="116" spans="1:8" x14ac:dyDescent="0.2">
      <c r="A116" s="136"/>
      <c r="B116" s="292" t="s">
        <v>188</v>
      </c>
      <c r="C116" s="238" t="s">
        <v>189</v>
      </c>
      <c r="D116" s="239"/>
      <c r="E116" s="240"/>
      <c r="F116" s="241">
        <v>0</v>
      </c>
      <c r="G116" s="242"/>
    </row>
    <row r="117" spans="1:8" s="147" customFormat="1" x14ac:dyDescent="0.2">
      <c r="A117" s="136"/>
      <c r="B117" s="135"/>
      <c r="C117" s="238" t="s">
        <v>838</v>
      </c>
      <c r="D117" s="239"/>
      <c r="E117" s="240"/>
      <c r="F117" s="241">
        <v>0</v>
      </c>
      <c r="G117" s="242"/>
      <c r="H117" s="150"/>
    </row>
    <row r="118" spans="1:8" s="147" customFormat="1" x14ac:dyDescent="0.2">
      <c r="A118" s="136"/>
      <c r="B118" s="135"/>
      <c r="C118" s="243" t="s">
        <v>207</v>
      </c>
      <c r="D118" s="239" t="s">
        <v>149</v>
      </c>
      <c r="E118" s="240">
        <v>2</v>
      </c>
      <c r="F118" s="273">
        <v>0</v>
      </c>
      <c r="G118" s="274">
        <f t="shared" ref="G118:G125" si="7">E118*F118</f>
        <v>0</v>
      </c>
      <c r="H118" s="150"/>
    </row>
    <row r="119" spans="1:8" ht="36" x14ac:dyDescent="0.2">
      <c r="A119" s="136"/>
      <c r="B119" s="135"/>
      <c r="C119" s="244" t="s">
        <v>192</v>
      </c>
      <c r="D119" s="239" t="s">
        <v>149</v>
      </c>
      <c r="E119" s="240">
        <v>2</v>
      </c>
      <c r="F119" s="273">
        <v>0</v>
      </c>
      <c r="G119" s="274">
        <f t="shared" si="7"/>
        <v>0</v>
      </c>
    </row>
    <row r="120" spans="1:8" s="147" customFormat="1" x14ac:dyDescent="0.2">
      <c r="A120" s="136"/>
      <c r="B120" s="135"/>
      <c r="C120" s="244" t="s">
        <v>193</v>
      </c>
      <c r="D120" s="239" t="s">
        <v>149</v>
      </c>
      <c r="E120" s="240">
        <v>2</v>
      </c>
      <c r="F120" s="273">
        <v>0</v>
      </c>
      <c r="G120" s="274">
        <f t="shared" si="7"/>
        <v>0</v>
      </c>
      <c r="H120" s="150"/>
    </row>
    <row r="121" spans="1:8" s="147" customFormat="1" x14ac:dyDescent="0.2">
      <c r="A121" s="136"/>
      <c r="B121" s="135"/>
      <c r="C121" s="244" t="s">
        <v>194</v>
      </c>
      <c r="D121" s="239" t="s">
        <v>149</v>
      </c>
      <c r="E121" s="240">
        <v>2</v>
      </c>
      <c r="F121" s="273">
        <v>0</v>
      </c>
      <c r="G121" s="274">
        <f t="shared" si="7"/>
        <v>0</v>
      </c>
      <c r="H121" s="150"/>
    </row>
    <row r="122" spans="1:8" x14ac:dyDescent="0.2">
      <c r="A122" s="136"/>
      <c r="B122" s="135"/>
      <c r="C122" s="244" t="s">
        <v>235</v>
      </c>
      <c r="D122" s="239" t="s">
        <v>149</v>
      </c>
      <c r="E122" s="240">
        <v>4</v>
      </c>
      <c r="F122" s="273">
        <v>0</v>
      </c>
      <c r="G122" s="274">
        <f t="shared" si="7"/>
        <v>0</v>
      </c>
    </row>
    <row r="123" spans="1:8" s="147" customFormat="1" x14ac:dyDescent="0.2">
      <c r="A123" s="136"/>
      <c r="B123" s="135"/>
      <c r="C123" s="244" t="s">
        <v>839</v>
      </c>
      <c r="D123" s="239" t="s">
        <v>149</v>
      </c>
      <c r="E123" s="240">
        <v>4</v>
      </c>
      <c r="F123" s="273">
        <v>0</v>
      </c>
      <c r="G123" s="274">
        <f t="shared" si="7"/>
        <v>0</v>
      </c>
      <c r="H123" s="150"/>
    </row>
    <row r="124" spans="1:8" s="147" customFormat="1" x14ac:dyDescent="0.2">
      <c r="A124" s="136"/>
      <c r="B124" s="135"/>
      <c r="C124" s="244" t="s">
        <v>197</v>
      </c>
      <c r="D124" s="239" t="s">
        <v>149</v>
      </c>
      <c r="E124" s="240">
        <v>2</v>
      </c>
      <c r="F124" s="273">
        <v>0</v>
      </c>
      <c r="G124" s="274">
        <f t="shared" si="7"/>
        <v>0</v>
      </c>
      <c r="H124" s="150"/>
    </row>
    <row r="125" spans="1:8" x14ac:dyDescent="0.2">
      <c r="A125" s="136"/>
      <c r="B125" s="135"/>
      <c r="C125" s="244" t="s">
        <v>198</v>
      </c>
      <c r="D125" s="239" t="s">
        <v>149</v>
      </c>
      <c r="E125" s="240">
        <v>2</v>
      </c>
      <c r="F125" s="273">
        <v>0</v>
      </c>
      <c r="G125" s="274">
        <f t="shared" si="7"/>
        <v>0</v>
      </c>
    </row>
    <row r="126" spans="1:8" s="147" customFormat="1" x14ac:dyDescent="0.2">
      <c r="A126" s="136"/>
      <c r="B126" s="292" t="s">
        <v>199</v>
      </c>
      <c r="C126" s="253" t="s">
        <v>205</v>
      </c>
      <c r="D126" s="254"/>
      <c r="E126" s="255"/>
      <c r="F126" s="256"/>
      <c r="G126" s="257"/>
      <c r="H126" s="150"/>
    </row>
    <row r="127" spans="1:8" s="147" customFormat="1" x14ac:dyDescent="0.2">
      <c r="A127" s="136"/>
      <c r="B127" s="135"/>
      <c r="C127" s="253" t="s">
        <v>842</v>
      </c>
      <c r="D127" s="254"/>
      <c r="E127" s="255"/>
      <c r="F127" s="256">
        <v>0</v>
      </c>
      <c r="G127" s="257"/>
      <c r="H127" s="150"/>
    </row>
    <row r="128" spans="1:8" s="136" customFormat="1" x14ac:dyDescent="0.2">
      <c r="B128" s="135"/>
      <c r="C128" s="258" t="s">
        <v>207</v>
      </c>
      <c r="D128" s="254" t="s">
        <v>149</v>
      </c>
      <c r="E128" s="255">
        <v>26</v>
      </c>
      <c r="F128" s="277">
        <v>0</v>
      </c>
      <c r="G128" s="278">
        <f t="shared" ref="G128:G143" si="8">E128*F128</f>
        <v>0</v>
      </c>
      <c r="H128" s="565"/>
    </row>
    <row r="129" spans="2:8" s="136" customFormat="1" x14ac:dyDescent="0.2">
      <c r="B129" s="135"/>
      <c r="C129" s="258" t="s">
        <v>208</v>
      </c>
      <c r="D129" s="254" t="s">
        <v>149</v>
      </c>
      <c r="E129" s="255">
        <v>52</v>
      </c>
      <c r="F129" s="277">
        <v>0</v>
      </c>
      <c r="G129" s="278">
        <f t="shared" si="8"/>
        <v>0</v>
      </c>
      <c r="H129" s="565"/>
    </row>
    <row r="130" spans="2:8" s="136" customFormat="1" x14ac:dyDescent="0.2">
      <c r="B130" s="135"/>
      <c r="C130" s="259" t="s">
        <v>843</v>
      </c>
      <c r="D130" s="254" t="s">
        <v>149</v>
      </c>
      <c r="E130" s="255">
        <v>26</v>
      </c>
      <c r="F130" s="277">
        <v>0</v>
      </c>
      <c r="G130" s="278">
        <f t="shared" si="8"/>
        <v>0</v>
      </c>
      <c r="H130" s="565"/>
    </row>
    <row r="131" spans="2:8" s="136" customFormat="1" x14ac:dyDescent="0.2">
      <c r="B131" s="135"/>
      <c r="C131" s="259" t="s">
        <v>210</v>
      </c>
      <c r="D131" s="254" t="s">
        <v>149</v>
      </c>
      <c r="E131" s="255">
        <v>26</v>
      </c>
      <c r="F131" s="277">
        <v>0</v>
      </c>
      <c r="G131" s="278">
        <f t="shared" si="8"/>
        <v>0</v>
      </c>
      <c r="H131" s="565"/>
    </row>
    <row r="132" spans="2:8" s="136" customFormat="1" x14ac:dyDescent="0.2">
      <c r="B132" s="135"/>
      <c r="C132" s="259" t="s">
        <v>211</v>
      </c>
      <c r="D132" s="254" t="s">
        <v>149</v>
      </c>
      <c r="E132" s="255">
        <v>26</v>
      </c>
      <c r="F132" s="277">
        <v>0</v>
      </c>
      <c r="G132" s="278">
        <f t="shared" si="8"/>
        <v>0</v>
      </c>
      <c r="H132" s="565"/>
    </row>
    <row r="133" spans="2:8" s="136" customFormat="1" x14ac:dyDescent="0.2">
      <c r="B133" s="135"/>
      <c r="C133" s="259" t="s">
        <v>212</v>
      </c>
      <c r="D133" s="254" t="s">
        <v>149</v>
      </c>
      <c r="E133" s="255">
        <v>26</v>
      </c>
      <c r="F133" s="277">
        <v>0</v>
      </c>
      <c r="G133" s="278">
        <f t="shared" si="8"/>
        <v>0</v>
      </c>
      <c r="H133" s="565"/>
    </row>
    <row r="134" spans="2:8" s="136" customFormat="1" x14ac:dyDescent="0.2">
      <c r="B134" s="135"/>
      <c r="C134" s="259" t="s">
        <v>213</v>
      </c>
      <c r="D134" s="254" t="s">
        <v>149</v>
      </c>
      <c r="E134" s="255">
        <v>26</v>
      </c>
      <c r="F134" s="277">
        <v>0</v>
      </c>
      <c r="G134" s="278">
        <f t="shared" si="8"/>
        <v>0</v>
      </c>
      <c r="H134" s="565"/>
    </row>
    <row r="135" spans="2:8" s="136" customFormat="1" x14ac:dyDescent="0.2">
      <c r="B135" s="135"/>
      <c r="C135" s="259" t="s">
        <v>214</v>
      </c>
      <c r="D135" s="254" t="s">
        <v>149</v>
      </c>
      <c r="E135" s="255">
        <v>26</v>
      </c>
      <c r="F135" s="277">
        <v>0</v>
      </c>
      <c r="G135" s="278">
        <f t="shared" si="8"/>
        <v>0</v>
      </c>
      <c r="H135" s="565"/>
    </row>
    <row r="136" spans="2:8" s="136" customFormat="1" x14ac:dyDescent="0.2">
      <c r="B136" s="135"/>
      <c r="C136" s="259" t="s">
        <v>215</v>
      </c>
      <c r="D136" s="254" t="s">
        <v>149</v>
      </c>
      <c r="E136" s="255">
        <v>26</v>
      </c>
      <c r="F136" s="277">
        <v>0</v>
      </c>
      <c r="G136" s="278">
        <f t="shared" si="8"/>
        <v>0</v>
      </c>
      <c r="H136" s="565"/>
    </row>
    <row r="137" spans="2:8" s="136" customFormat="1" x14ac:dyDescent="0.2">
      <c r="B137" s="135"/>
      <c r="C137" s="1816" t="s">
        <v>216</v>
      </c>
      <c r="D137" s="254" t="s">
        <v>149</v>
      </c>
      <c r="E137" s="255">
        <v>26</v>
      </c>
      <c r="F137" s="277">
        <v>0</v>
      </c>
      <c r="G137" s="278">
        <f t="shared" si="8"/>
        <v>0</v>
      </c>
      <c r="H137" s="565"/>
    </row>
    <row r="138" spans="2:8" s="136" customFormat="1" x14ac:dyDescent="0.2">
      <c r="B138" s="135"/>
      <c r="C138" s="1816" t="s">
        <v>329</v>
      </c>
      <c r="D138" s="254" t="s">
        <v>149</v>
      </c>
      <c r="E138" s="255">
        <v>26</v>
      </c>
      <c r="F138" s="277">
        <v>0</v>
      </c>
      <c r="G138" s="278">
        <f t="shared" si="8"/>
        <v>0</v>
      </c>
      <c r="H138" s="565"/>
    </row>
    <row r="139" spans="2:8" s="136" customFormat="1" x14ac:dyDescent="0.2">
      <c r="B139" s="135"/>
      <c r="C139" s="1816" t="s">
        <v>235</v>
      </c>
      <c r="D139" s="254" t="s">
        <v>149</v>
      </c>
      <c r="E139" s="255">
        <v>52</v>
      </c>
      <c r="F139" s="277">
        <v>0</v>
      </c>
      <c r="G139" s="278">
        <f t="shared" si="8"/>
        <v>0</v>
      </c>
      <c r="H139" s="565"/>
    </row>
    <row r="140" spans="2:8" s="136" customFormat="1" x14ac:dyDescent="0.2">
      <c r="B140" s="135"/>
      <c r="C140" s="1816" t="s">
        <v>236</v>
      </c>
      <c r="D140" s="254" t="s">
        <v>149</v>
      </c>
      <c r="E140" s="255">
        <v>52</v>
      </c>
      <c r="F140" s="277">
        <v>0</v>
      </c>
      <c r="G140" s="278">
        <f t="shared" si="8"/>
        <v>0</v>
      </c>
      <c r="H140" s="565"/>
    </row>
    <row r="141" spans="2:8" s="136" customFormat="1" x14ac:dyDescent="0.2">
      <c r="B141" s="135"/>
      <c r="C141" s="1816" t="s">
        <v>219</v>
      </c>
      <c r="D141" s="254" t="s">
        <v>149</v>
      </c>
      <c r="E141" s="255">
        <v>26</v>
      </c>
      <c r="F141" s="277">
        <v>0</v>
      </c>
      <c r="G141" s="278">
        <f t="shared" si="8"/>
        <v>0</v>
      </c>
      <c r="H141" s="565"/>
    </row>
    <row r="142" spans="2:8" s="136" customFormat="1" x14ac:dyDescent="0.2">
      <c r="B142" s="135"/>
      <c r="C142" s="1816" t="s">
        <v>227</v>
      </c>
      <c r="D142" s="254" t="s">
        <v>149</v>
      </c>
      <c r="E142" s="255">
        <v>78</v>
      </c>
      <c r="F142" s="277">
        <v>0</v>
      </c>
      <c r="G142" s="278">
        <f t="shared" si="8"/>
        <v>0</v>
      </c>
      <c r="H142" s="565"/>
    </row>
    <row r="143" spans="2:8" s="136" customFormat="1" x14ac:dyDescent="0.2">
      <c r="B143" s="135"/>
      <c r="C143" s="1817" t="s">
        <v>198</v>
      </c>
      <c r="D143" s="254" t="s">
        <v>149</v>
      </c>
      <c r="E143" s="255">
        <v>26</v>
      </c>
      <c r="F143" s="277">
        <v>0</v>
      </c>
      <c r="G143" s="278">
        <f t="shared" si="8"/>
        <v>0</v>
      </c>
      <c r="H143" s="565"/>
    </row>
    <row r="144" spans="2:8" s="136" customFormat="1" ht="12.75" customHeight="1" x14ac:dyDescent="0.2">
      <c r="B144" s="292" t="s">
        <v>220</v>
      </c>
      <c r="C144" s="247" t="s">
        <v>331</v>
      </c>
      <c r="D144" s="247"/>
      <c r="E144" s="247"/>
      <c r="F144" s="247"/>
      <c r="G144" s="247"/>
      <c r="H144" s="565"/>
    </row>
    <row r="145" spans="2:8" s="136" customFormat="1" x14ac:dyDescent="0.2">
      <c r="B145" s="135"/>
      <c r="C145" s="247" t="s">
        <v>1752</v>
      </c>
      <c r="D145" s="202"/>
      <c r="E145" s="248"/>
      <c r="F145" s="249">
        <v>0</v>
      </c>
      <c r="G145" s="205"/>
      <c r="H145" s="565"/>
    </row>
    <row r="146" spans="2:8" s="136" customFormat="1" ht="24" x14ac:dyDescent="0.2">
      <c r="B146" s="135"/>
      <c r="C146" s="262" t="s">
        <v>1760</v>
      </c>
      <c r="D146" s="202" t="s">
        <v>149</v>
      </c>
      <c r="E146" s="248">
        <v>2</v>
      </c>
      <c r="F146" s="275">
        <v>0</v>
      </c>
      <c r="G146" s="276">
        <f t="shared" ref="G146:G150" si="9">E146*F146</f>
        <v>0</v>
      </c>
      <c r="H146" s="565"/>
    </row>
    <row r="147" spans="2:8" s="136" customFormat="1" x14ac:dyDescent="0.2">
      <c r="B147" s="135"/>
      <c r="C147" s="1814" t="s">
        <v>235</v>
      </c>
      <c r="D147" s="202" t="s">
        <v>149</v>
      </c>
      <c r="E147" s="248">
        <v>4</v>
      </c>
      <c r="F147" s="275">
        <v>0</v>
      </c>
      <c r="G147" s="276">
        <f t="shared" si="9"/>
        <v>0</v>
      </c>
      <c r="H147" s="565"/>
    </row>
    <row r="148" spans="2:8" s="136" customFormat="1" x14ac:dyDescent="0.2">
      <c r="B148" s="135"/>
      <c r="C148" s="1814" t="s">
        <v>236</v>
      </c>
      <c r="D148" s="202" t="s">
        <v>149</v>
      </c>
      <c r="E148" s="248">
        <v>4</v>
      </c>
      <c r="F148" s="275">
        <v>0</v>
      </c>
      <c r="G148" s="276">
        <f t="shared" si="9"/>
        <v>0</v>
      </c>
      <c r="H148" s="565"/>
    </row>
    <row r="149" spans="2:8" s="136" customFormat="1" x14ac:dyDescent="0.2">
      <c r="B149" s="135"/>
      <c r="C149" s="1814" t="s">
        <v>227</v>
      </c>
      <c r="D149" s="202" t="s">
        <v>149</v>
      </c>
      <c r="E149" s="248">
        <v>2</v>
      </c>
      <c r="F149" s="275">
        <v>0</v>
      </c>
      <c r="G149" s="276">
        <f t="shared" si="9"/>
        <v>0</v>
      </c>
      <c r="H149" s="565"/>
    </row>
    <row r="150" spans="2:8" s="136" customFormat="1" x14ac:dyDescent="0.2">
      <c r="B150" s="135"/>
      <c r="C150" s="1815" t="s">
        <v>198</v>
      </c>
      <c r="D150" s="202" t="s">
        <v>149</v>
      </c>
      <c r="E150" s="248">
        <v>2</v>
      </c>
      <c r="F150" s="275">
        <v>0</v>
      </c>
      <c r="G150" s="276">
        <f t="shared" si="9"/>
        <v>0</v>
      </c>
      <c r="H150" s="565"/>
    </row>
    <row r="151" spans="2:8" s="136" customFormat="1" x14ac:dyDescent="0.2">
      <c r="B151" s="292" t="s">
        <v>330</v>
      </c>
      <c r="C151" s="253" t="s">
        <v>231</v>
      </c>
      <c r="D151" s="254"/>
      <c r="E151" s="255"/>
      <c r="F151" s="256"/>
      <c r="G151" s="257"/>
      <c r="H151" s="565"/>
    </row>
    <row r="152" spans="2:8" s="136" customFormat="1" x14ac:dyDescent="0.2">
      <c r="B152" s="135"/>
      <c r="C152" s="253" t="s">
        <v>1753</v>
      </c>
      <c r="D152" s="254"/>
      <c r="E152" s="255"/>
      <c r="F152" s="256">
        <v>0</v>
      </c>
      <c r="G152" s="257"/>
      <c r="H152" s="565"/>
    </row>
    <row r="153" spans="2:8" s="136" customFormat="1" ht="24" x14ac:dyDescent="0.2">
      <c r="B153" s="135"/>
      <c r="C153" s="258" t="s">
        <v>233</v>
      </c>
      <c r="D153" s="254" t="s">
        <v>149</v>
      </c>
      <c r="E153" s="255">
        <v>3</v>
      </c>
      <c r="F153" s="277">
        <v>0</v>
      </c>
      <c r="G153" s="278">
        <f t="shared" ref="G153:G157" si="10">E153*F153</f>
        <v>0</v>
      </c>
      <c r="H153" s="565"/>
    </row>
    <row r="154" spans="2:8" s="136" customFormat="1" x14ac:dyDescent="0.2">
      <c r="B154" s="135"/>
      <c r="C154" s="1816" t="s">
        <v>235</v>
      </c>
      <c r="D154" s="254" t="s">
        <v>149</v>
      </c>
      <c r="E154" s="255">
        <v>9</v>
      </c>
      <c r="F154" s="277">
        <v>0</v>
      </c>
      <c r="G154" s="278">
        <f t="shared" si="10"/>
        <v>0</v>
      </c>
      <c r="H154" s="565"/>
    </row>
    <row r="155" spans="2:8" s="136" customFormat="1" x14ac:dyDescent="0.2">
      <c r="B155" s="135"/>
      <c r="C155" s="1816" t="s">
        <v>236</v>
      </c>
      <c r="D155" s="254" t="s">
        <v>149</v>
      </c>
      <c r="E155" s="255">
        <v>9</v>
      </c>
      <c r="F155" s="277">
        <v>0</v>
      </c>
      <c r="G155" s="278">
        <f t="shared" si="10"/>
        <v>0</v>
      </c>
      <c r="H155" s="565"/>
    </row>
    <row r="156" spans="2:8" s="136" customFormat="1" x14ac:dyDescent="0.2">
      <c r="B156" s="135"/>
      <c r="C156" s="1816" t="s">
        <v>227</v>
      </c>
      <c r="D156" s="254" t="s">
        <v>149</v>
      </c>
      <c r="E156" s="255">
        <v>3</v>
      </c>
      <c r="F156" s="277">
        <v>0</v>
      </c>
      <c r="G156" s="278">
        <f t="shared" si="10"/>
        <v>0</v>
      </c>
      <c r="H156" s="565"/>
    </row>
    <row r="157" spans="2:8" s="136" customFormat="1" x14ac:dyDescent="0.2">
      <c r="B157" s="135"/>
      <c r="C157" s="1817" t="s">
        <v>198</v>
      </c>
      <c r="D157" s="254" t="s">
        <v>149</v>
      </c>
      <c r="E157" s="255">
        <v>3</v>
      </c>
      <c r="F157" s="277">
        <v>0</v>
      </c>
      <c r="G157" s="278">
        <f t="shared" si="10"/>
        <v>0</v>
      </c>
      <c r="H157" s="565"/>
    </row>
    <row r="158" spans="2:8" s="136" customFormat="1" x14ac:dyDescent="0.2">
      <c r="B158" s="135"/>
      <c r="C158" s="253" t="s">
        <v>1748</v>
      </c>
      <c r="D158" s="254"/>
      <c r="E158" s="255"/>
      <c r="F158" s="256">
        <v>0</v>
      </c>
      <c r="G158" s="257"/>
      <c r="H158" s="565"/>
    </row>
    <row r="159" spans="2:8" s="136" customFormat="1" ht="24" x14ac:dyDescent="0.2">
      <c r="B159" s="135"/>
      <c r="C159" s="258" t="s">
        <v>238</v>
      </c>
      <c r="D159" s="254" t="s">
        <v>149</v>
      </c>
      <c r="E159" s="255">
        <v>3</v>
      </c>
      <c r="F159" s="277">
        <v>0</v>
      </c>
      <c r="G159" s="278">
        <f t="shared" ref="G159:G165" si="11">E159*F159</f>
        <v>0</v>
      </c>
      <c r="H159" s="565"/>
    </row>
    <row r="160" spans="2:8" s="136" customFormat="1" x14ac:dyDescent="0.2">
      <c r="B160" s="135"/>
      <c r="C160" s="1819" t="s">
        <v>235</v>
      </c>
      <c r="D160" s="254" t="s">
        <v>149</v>
      </c>
      <c r="E160" s="255">
        <v>6</v>
      </c>
      <c r="F160" s="277">
        <v>0</v>
      </c>
      <c r="G160" s="278">
        <f t="shared" si="11"/>
        <v>0</v>
      </c>
      <c r="H160" s="565"/>
    </row>
    <row r="161" spans="2:8" s="136" customFormat="1" ht="12.75" customHeight="1" x14ac:dyDescent="0.2">
      <c r="B161" s="135"/>
      <c r="C161" s="1819" t="s">
        <v>239</v>
      </c>
      <c r="D161" s="254" t="s">
        <v>149</v>
      </c>
      <c r="E161" s="255">
        <v>3</v>
      </c>
      <c r="F161" s="277">
        <v>0</v>
      </c>
      <c r="G161" s="278">
        <f t="shared" si="11"/>
        <v>0</v>
      </c>
      <c r="H161" s="565"/>
    </row>
    <row r="162" spans="2:8" s="136" customFormat="1" x14ac:dyDescent="0.2">
      <c r="B162" s="135"/>
      <c r="C162" s="1819" t="s">
        <v>1738</v>
      </c>
      <c r="D162" s="254" t="s">
        <v>149</v>
      </c>
      <c r="E162" s="255">
        <v>6</v>
      </c>
      <c r="F162" s="277">
        <v>0</v>
      </c>
      <c r="G162" s="278">
        <f t="shared" si="11"/>
        <v>0</v>
      </c>
      <c r="H162" s="565"/>
    </row>
    <row r="163" spans="2:8" s="136" customFormat="1" x14ac:dyDescent="0.2">
      <c r="B163" s="135"/>
      <c r="C163" s="1819" t="s">
        <v>1761</v>
      </c>
      <c r="D163" s="254" t="s">
        <v>149</v>
      </c>
      <c r="E163" s="255">
        <v>3</v>
      </c>
      <c r="F163" s="277">
        <v>0</v>
      </c>
      <c r="G163" s="278">
        <f t="shared" si="11"/>
        <v>0</v>
      </c>
      <c r="H163" s="565"/>
    </row>
    <row r="164" spans="2:8" s="136" customFormat="1" x14ac:dyDescent="0.2">
      <c r="B164" s="135"/>
      <c r="C164" s="1819" t="s">
        <v>227</v>
      </c>
      <c r="D164" s="254" t="s">
        <v>149</v>
      </c>
      <c r="E164" s="255">
        <v>3</v>
      </c>
      <c r="F164" s="277">
        <v>0</v>
      </c>
      <c r="G164" s="278">
        <f t="shared" si="11"/>
        <v>0</v>
      </c>
      <c r="H164" s="565"/>
    </row>
    <row r="165" spans="2:8" s="136" customFormat="1" x14ac:dyDescent="0.2">
      <c r="B165" s="135"/>
      <c r="C165" s="1820" t="s">
        <v>1725</v>
      </c>
      <c r="D165" s="254" t="s">
        <v>149</v>
      </c>
      <c r="E165" s="255">
        <v>3</v>
      </c>
      <c r="F165" s="277">
        <v>0</v>
      </c>
      <c r="G165" s="278">
        <f t="shared" si="11"/>
        <v>0</v>
      </c>
      <c r="H165" s="565"/>
    </row>
    <row r="166" spans="2:8" s="136" customFormat="1" x14ac:dyDescent="0.2">
      <c r="B166" s="135"/>
      <c r="C166" s="253" t="s">
        <v>844</v>
      </c>
      <c r="D166" s="254"/>
      <c r="E166" s="255"/>
      <c r="F166" s="256">
        <v>0</v>
      </c>
      <c r="G166" s="257"/>
      <c r="H166" s="565"/>
    </row>
    <row r="167" spans="2:8" s="136" customFormat="1" ht="24" x14ac:dyDescent="0.2">
      <c r="B167" s="135"/>
      <c r="C167" s="258" t="s">
        <v>238</v>
      </c>
      <c r="D167" s="254" t="s">
        <v>149</v>
      </c>
      <c r="E167" s="255">
        <v>8</v>
      </c>
      <c r="F167" s="277">
        <v>0</v>
      </c>
      <c r="G167" s="278">
        <f t="shared" ref="G167:G175" si="12">E167*F167</f>
        <v>0</v>
      </c>
      <c r="H167" s="565"/>
    </row>
    <row r="168" spans="2:8" s="136" customFormat="1" x14ac:dyDescent="0.2">
      <c r="B168" s="135"/>
      <c r="C168" s="1816" t="s">
        <v>235</v>
      </c>
      <c r="D168" s="254" t="s">
        <v>149</v>
      </c>
      <c r="E168" s="255">
        <v>16</v>
      </c>
      <c r="F168" s="277">
        <v>0</v>
      </c>
      <c r="G168" s="278">
        <f t="shared" si="12"/>
        <v>0</v>
      </c>
      <c r="H168" s="565"/>
    </row>
    <row r="169" spans="2:8" s="136" customFormat="1" x14ac:dyDescent="0.2">
      <c r="B169" s="135"/>
      <c r="C169" s="1816" t="s">
        <v>239</v>
      </c>
      <c r="D169" s="254" t="s">
        <v>149</v>
      </c>
      <c r="E169" s="255">
        <v>8</v>
      </c>
      <c r="F169" s="277">
        <v>0</v>
      </c>
      <c r="G169" s="278">
        <f t="shared" si="12"/>
        <v>0</v>
      </c>
      <c r="H169" s="565"/>
    </row>
    <row r="170" spans="2:8" s="136" customFormat="1" x14ac:dyDescent="0.2">
      <c r="B170" s="135"/>
      <c r="C170" s="1816" t="s">
        <v>236</v>
      </c>
      <c r="D170" s="254" t="s">
        <v>149</v>
      </c>
      <c r="E170" s="255">
        <v>16</v>
      </c>
      <c r="F170" s="277">
        <v>0</v>
      </c>
      <c r="G170" s="278">
        <f t="shared" si="12"/>
        <v>0</v>
      </c>
      <c r="H170" s="565"/>
    </row>
    <row r="171" spans="2:8" s="136" customFormat="1" x14ac:dyDescent="0.2">
      <c r="B171" s="135"/>
      <c r="C171" s="1816" t="s">
        <v>240</v>
      </c>
      <c r="D171" s="254" t="s">
        <v>149</v>
      </c>
      <c r="E171" s="255">
        <v>8</v>
      </c>
      <c r="F171" s="277">
        <v>0</v>
      </c>
      <c r="G171" s="278">
        <f t="shared" si="12"/>
        <v>0</v>
      </c>
      <c r="H171" s="565"/>
    </row>
    <row r="172" spans="2:8" s="136" customFormat="1" x14ac:dyDescent="0.2">
      <c r="B172" s="135"/>
      <c r="C172" s="1816" t="s">
        <v>241</v>
      </c>
      <c r="D172" s="254" t="s">
        <v>149</v>
      </c>
      <c r="E172" s="255">
        <v>8</v>
      </c>
      <c r="F172" s="277">
        <v>0</v>
      </c>
      <c r="G172" s="278">
        <f t="shared" si="12"/>
        <v>0</v>
      </c>
      <c r="H172" s="565"/>
    </row>
    <row r="173" spans="2:8" s="136" customFormat="1" x14ac:dyDescent="0.2">
      <c r="B173" s="135"/>
      <c r="C173" s="1816" t="s">
        <v>242</v>
      </c>
      <c r="D173" s="254" t="s">
        <v>149</v>
      </c>
      <c r="E173" s="255">
        <v>8</v>
      </c>
      <c r="F173" s="277">
        <v>0</v>
      </c>
      <c r="G173" s="278">
        <f t="shared" si="12"/>
        <v>0</v>
      </c>
      <c r="H173" s="565"/>
    </row>
    <row r="174" spans="2:8" s="136" customFormat="1" x14ac:dyDescent="0.2">
      <c r="B174" s="135"/>
      <c r="C174" s="1816" t="s">
        <v>227</v>
      </c>
      <c r="D174" s="254" t="s">
        <v>149</v>
      </c>
      <c r="E174" s="255">
        <v>8</v>
      </c>
      <c r="F174" s="277">
        <v>0</v>
      </c>
      <c r="G174" s="278">
        <f t="shared" si="12"/>
        <v>0</v>
      </c>
      <c r="H174" s="565"/>
    </row>
    <row r="175" spans="2:8" s="136" customFormat="1" x14ac:dyDescent="0.2">
      <c r="B175" s="135"/>
      <c r="C175" s="1817" t="s">
        <v>198</v>
      </c>
      <c r="D175" s="254" t="s">
        <v>149</v>
      </c>
      <c r="E175" s="255">
        <v>8</v>
      </c>
      <c r="F175" s="277">
        <v>0</v>
      </c>
      <c r="G175" s="278">
        <f t="shared" si="12"/>
        <v>0</v>
      </c>
      <c r="H175" s="565"/>
    </row>
    <row r="176" spans="2:8" s="136" customFormat="1" x14ac:dyDescent="0.2">
      <c r="B176" s="292" t="s">
        <v>230</v>
      </c>
      <c r="C176" s="247" t="s">
        <v>244</v>
      </c>
      <c r="D176" s="202"/>
      <c r="E176" s="248"/>
      <c r="F176" s="249"/>
      <c r="G176" s="205"/>
      <c r="H176" s="565"/>
    </row>
    <row r="177" spans="1:8" s="136" customFormat="1" x14ac:dyDescent="0.2">
      <c r="B177" s="135"/>
      <c r="C177" s="247" t="s">
        <v>1754</v>
      </c>
      <c r="D177" s="202"/>
      <c r="E177" s="248"/>
      <c r="F177" s="249">
        <v>0</v>
      </c>
      <c r="G177" s="205"/>
      <c r="H177" s="565"/>
    </row>
    <row r="178" spans="1:8" s="136" customFormat="1" ht="39" customHeight="1" x14ac:dyDescent="0.2">
      <c r="B178" s="135"/>
      <c r="C178" s="262" t="s">
        <v>1755</v>
      </c>
      <c r="D178" s="202" t="s">
        <v>149</v>
      </c>
      <c r="E178" s="248">
        <v>4</v>
      </c>
      <c r="F178" s="275">
        <v>0</v>
      </c>
      <c r="G178" s="276">
        <f t="shared" ref="G178:G180" si="13">E178*F178</f>
        <v>0</v>
      </c>
      <c r="H178" s="565"/>
    </row>
    <row r="179" spans="1:8" s="136" customFormat="1" x14ac:dyDescent="0.2">
      <c r="B179" s="135"/>
      <c r="C179" s="1814" t="s">
        <v>247</v>
      </c>
      <c r="D179" s="202" t="s">
        <v>149</v>
      </c>
      <c r="E179" s="248">
        <v>4</v>
      </c>
      <c r="F179" s="275">
        <v>0</v>
      </c>
      <c r="G179" s="276">
        <f t="shared" si="13"/>
        <v>0</v>
      </c>
      <c r="H179" s="565"/>
    </row>
    <row r="180" spans="1:8" s="136" customFormat="1" x14ac:dyDescent="0.2">
      <c r="B180" s="135"/>
      <c r="C180" s="1821" t="s">
        <v>248</v>
      </c>
      <c r="D180" s="202" t="s">
        <v>149</v>
      </c>
      <c r="E180" s="248">
        <v>4</v>
      </c>
      <c r="F180" s="275">
        <v>0</v>
      </c>
      <c r="G180" s="276">
        <f t="shared" si="13"/>
        <v>0</v>
      </c>
      <c r="H180" s="565"/>
    </row>
    <row r="181" spans="1:8" s="136" customFormat="1" x14ac:dyDescent="0.2">
      <c r="B181" s="135"/>
      <c r="C181" s="247" t="s">
        <v>849</v>
      </c>
      <c r="D181" s="202"/>
      <c r="E181" s="248"/>
      <c r="F181" s="249">
        <v>0</v>
      </c>
      <c r="G181" s="205"/>
      <c r="H181" s="565"/>
    </row>
    <row r="182" spans="1:8" s="136" customFormat="1" ht="40.5" customHeight="1" x14ac:dyDescent="0.2">
      <c r="B182" s="135"/>
      <c r="C182" s="262" t="s">
        <v>850</v>
      </c>
      <c r="D182" s="202" t="s">
        <v>149</v>
      </c>
      <c r="E182" s="248">
        <v>60</v>
      </c>
      <c r="F182" s="275">
        <v>0</v>
      </c>
      <c r="G182" s="276">
        <f t="shared" ref="G182:G184" si="14">E182*F182</f>
        <v>0</v>
      </c>
      <c r="H182" s="565"/>
    </row>
    <row r="183" spans="1:8" s="136" customFormat="1" x14ac:dyDescent="0.2">
      <c r="B183" s="135"/>
      <c r="C183" s="1814" t="s">
        <v>247</v>
      </c>
      <c r="D183" s="202" t="s">
        <v>149</v>
      </c>
      <c r="E183" s="248">
        <v>60</v>
      </c>
      <c r="F183" s="275">
        <v>0</v>
      </c>
      <c r="G183" s="276">
        <f t="shared" si="14"/>
        <v>0</v>
      </c>
      <c r="H183" s="565"/>
    </row>
    <row r="184" spans="1:8" s="136" customFormat="1" x14ac:dyDescent="0.2">
      <c r="B184" s="135"/>
      <c r="C184" s="1815" t="s">
        <v>198</v>
      </c>
      <c r="D184" s="202" t="s">
        <v>149</v>
      </c>
      <c r="E184" s="248">
        <v>60</v>
      </c>
      <c r="F184" s="275">
        <v>0</v>
      </c>
      <c r="G184" s="276">
        <f t="shared" si="14"/>
        <v>0</v>
      </c>
      <c r="H184" s="565"/>
    </row>
    <row r="185" spans="1:8" s="136" customFormat="1" x14ac:dyDescent="0.2">
      <c r="B185" s="135"/>
      <c r="C185" s="247" t="s">
        <v>828</v>
      </c>
      <c r="D185" s="202"/>
      <c r="E185" s="248"/>
      <c r="F185" s="249">
        <v>0</v>
      </c>
      <c r="G185" s="205"/>
      <c r="H185" s="565"/>
    </row>
    <row r="186" spans="1:8" s="136" customFormat="1" ht="42.75" customHeight="1" x14ac:dyDescent="0.2">
      <c r="B186" s="135"/>
      <c r="C186" s="262" t="s">
        <v>829</v>
      </c>
      <c r="D186" s="202" t="s">
        <v>149</v>
      </c>
      <c r="E186" s="248">
        <v>10</v>
      </c>
      <c r="F186" s="275">
        <v>0</v>
      </c>
      <c r="G186" s="276">
        <f t="shared" ref="G186:G188" si="15">E186*F186</f>
        <v>0</v>
      </c>
      <c r="H186" s="565"/>
    </row>
    <row r="187" spans="1:8" s="136" customFormat="1" x14ac:dyDescent="0.2">
      <c r="B187" s="135"/>
      <c r="C187" s="1814" t="s">
        <v>247</v>
      </c>
      <c r="D187" s="202" t="s">
        <v>149</v>
      </c>
      <c r="E187" s="248">
        <v>10</v>
      </c>
      <c r="F187" s="275">
        <v>0</v>
      </c>
      <c r="G187" s="276">
        <f t="shared" si="15"/>
        <v>0</v>
      </c>
      <c r="H187" s="565"/>
    </row>
    <row r="188" spans="1:8" s="136" customFormat="1" x14ac:dyDescent="0.2">
      <c r="B188" s="135"/>
      <c r="C188" s="1815" t="s">
        <v>198</v>
      </c>
      <c r="D188" s="202" t="s">
        <v>149</v>
      </c>
      <c r="E188" s="248">
        <v>10</v>
      </c>
      <c r="F188" s="275">
        <v>0</v>
      </c>
      <c r="G188" s="276">
        <f t="shared" si="15"/>
        <v>0</v>
      </c>
      <c r="H188" s="565"/>
    </row>
    <row r="189" spans="1:8" s="136" customFormat="1" x14ac:dyDescent="0.2">
      <c r="B189" s="292" t="s">
        <v>243</v>
      </c>
      <c r="C189" s="264" t="s">
        <v>287</v>
      </c>
      <c r="D189" s="231"/>
      <c r="E189" s="265"/>
      <c r="F189" s="272"/>
      <c r="G189" s="234"/>
      <c r="H189" s="565"/>
    </row>
    <row r="190" spans="1:8" s="136" customFormat="1" x14ac:dyDescent="0.2">
      <c r="A190" s="121"/>
      <c r="B190" s="292"/>
      <c r="C190" s="267" t="s">
        <v>256</v>
      </c>
      <c r="D190" s="231" t="s">
        <v>149</v>
      </c>
      <c r="E190" s="265">
        <v>2</v>
      </c>
      <c r="F190" s="272">
        <v>0</v>
      </c>
      <c r="G190" s="272">
        <f>E190*F190</f>
        <v>0</v>
      </c>
      <c r="H190" s="565"/>
    </row>
    <row r="191" spans="1:8" s="136" customFormat="1" x14ac:dyDescent="0.2">
      <c r="B191" s="135"/>
      <c r="C191" s="267" t="s">
        <v>288</v>
      </c>
      <c r="D191" s="231" t="s">
        <v>149</v>
      </c>
      <c r="E191" s="265">
        <v>2</v>
      </c>
      <c r="F191" s="272">
        <v>0</v>
      </c>
      <c r="G191" s="272">
        <f>E191*F191</f>
        <v>0</v>
      </c>
      <c r="H191" s="565"/>
    </row>
    <row r="192" spans="1:8" s="136" customFormat="1" x14ac:dyDescent="0.2">
      <c r="B192" s="135"/>
      <c r="C192" s="267" t="s">
        <v>289</v>
      </c>
      <c r="D192" s="231" t="s">
        <v>149</v>
      </c>
      <c r="E192" s="265">
        <v>2</v>
      </c>
      <c r="F192" s="272">
        <v>0</v>
      </c>
      <c r="G192" s="272">
        <f t="shared" ref="G192:G219" si="16">E192*F192</f>
        <v>0</v>
      </c>
      <c r="H192" s="565"/>
    </row>
    <row r="193" spans="2:8" x14ac:dyDescent="0.2">
      <c r="B193" s="1824"/>
      <c r="C193" s="267" t="s">
        <v>213</v>
      </c>
      <c r="D193" s="231" t="s">
        <v>149</v>
      </c>
      <c r="E193" s="265">
        <v>2</v>
      </c>
      <c r="F193" s="272">
        <v>0</v>
      </c>
      <c r="G193" s="272">
        <f t="shared" si="16"/>
        <v>0</v>
      </c>
    </row>
    <row r="194" spans="2:8" x14ac:dyDescent="0.2">
      <c r="B194" s="1825"/>
      <c r="C194" s="267" t="s">
        <v>290</v>
      </c>
      <c r="D194" s="231" t="s">
        <v>149</v>
      </c>
      <c r="E194" s="265">
        <v>2</v>
      </c>
      <c r="F194" s="272">
        <v>0</v>
      </c>
      <c r="G194" s="272">
        <f t="shared" si="16"/>
        <v>0</v>
      </c>
    </row>
    <row r="195" spans="2:8" s="136" customFormat="1" ht="24" x14ac:dyDescent="0.2">
      <c r="B195" s="135"/>
      <c r="C195" s="267" t="s">
        <v>291</v>
      </c>
      <c r="D195" s="231" t="s">
        <v>149</v>
      </c>
      <c r="E195" s="265">
        <v>2</v>
      </c>
      <c r="F195" s="272">
        <v>0</v>
      </c>
      <c r="G195" s="272">
        <f t="shared" si="16"/>
        <v>0</v>
      </c>
      <c r="H195" s="565"/>
    </row>
    <row r="196" spans="2:8" s="136" customFormat="1" ht="24" x14ac:dyDescent="0.2">
      <c r="B196" s="135"/>
      <c r="C196" s="267" t="s">
        <v>274</v>
      </c>
      <c r="D196" s="231" t="s">
        <v>149</v>
      </c>
      <c r="E196" s="265">
        <v>2</v>
      </c>
      <c r="F196" s="272">
        <v>0</v>
      </c>
      <c r="G196" s="272">
        <f t="shared" si="16"/>
        <v>0</v>
      </c>
      <c r="H196" s="565"/>
    </row>
    <row r="197" spans="2:8" x14ac:dyDescent="0.2">
      <c r="B197" s="129"/>
      <c r="C197" s="267" t="s">
        <v>292</v>
      </c>
      <c r="D197" s="231" t="s">
        <v>149</v>
      </c>
      <c r="E197" s="265">
        <v>1</v>
      </c>
      <c r="F197" s="272">
        <v>0</v>
      </c>
      <c r="G197" s="272">
        <f t="shared" si="16"/>
        <v>0</v>
      </c>
    </row>
    <row r="198" spans="2:8" x14ac:dyDescent="0.2">
      <c r="B198" s="129"/>
      <c r="C198" s="268" t="s">
        <v>293</v>
      </c>
      <c r="D198" s="231" t="s">
        <v>149</v>
      </c>
      <c r="E198" s="265">
        <v>2</v>
      </c>
      <c r="F198" s="272">
        <v>0</v>
      </c>
      <c r="G198" s="272">
        <f t="shared" si="16"/>
        <v>0</v>
      </c>
    </row>
    <row r="199" spans="2:8" x14ac:dyDescent="0.2">
      <c r="B199" s="129"/>
      <c r="C199" s="268" t="s">
        <v>294</v>
      </c>
      <c r="D199" s="231" t="s">
        <v>149</v>
      </c>
      <c r="E199" s="265">
        <v>1</v>
      </c>
      <c r="F199" s="272">
        <v>0</v>
      </c>
      <c r="G199" s="272">
        <f t="shared" si="16"/>
        <v>0</v>
      </c>
    </row>
    <row r="200" spans="2:8" x14ac:dyDescent="0.2">
      <c r="B200" s="129"/>
      <c r="C200" s="268" t="s">
        <v>278</v>
      </c>
      <c r="D200" s="231" t="s">
        <v>149</v>
      </c>
      <c r="E200" s="265">
        <v>1</v>
      </c>
      <c r="F200" s="272">
        <v>0</v>
      </c>
      <c r="G200" s="272">
        <f t="shared" si="16"/>
        <v>0</v>
      </c>
    </row>
    <row r="201" spans="2:8" x14ac:dyDescent="0.2">
      <c r="B201" s="129"/>
      <c r="C201" s="268" t="s">
        <v>295</v>
      </c>
      <c r="D201" s="231" t="s">
        <v>149</v>
      </c>
      <c r="E201" s="265">
        <v>1</v>
      </c>
      <c r="F201" s="272">
        <v>0</v>
      </c>
      <c r="G201" s="272">
        <f t="shared" si="16"/>
        <v>0</v>
      </c>
    </row>
    <row r="202" spans="2:8" x14ac:dyDescent="0.2">
      <c r="B202" s="129"/>
      <c r="C202" s="268" t="s">
        <v>296</v>
      </c>
      <c r="D202" s="231" t="s">
        <v>149</v>
      </c>
      <c r="E202" s="265">
        <v>1</v>
      </c>
      <c r="F202" s="272">
        <v>0</v>
      </c>
      <c r="G202" s="272">
        <f t="shared" si="16"/>
        <v>0</v>
      </c>
    </row>
    <row r="203" spans="2:8" x14ac:dyDescent="0.2">
      <c r="B203" s="129"/>
      <c r="C203" s="268" t="s">
        <v>297</v>
      </c>
      <c r="D203" s="231" t="s">
        <v>149</v>
      </c>
      <c r="E203" s="265">
        <v>1</v>
      </c>
      <c r="F203" s="272">
        <v>0</v>
      </c>
      <c r="G203" s="272">
        <f t="shared" si="16"/>
        <v>0</v>
      </c>
    </row>
    <row r="204" spans="2:8" x14ac:dyDescent="0.2">
      <c r="B204" s="129"/>
      <c r="C204" s="268" t="s">
        <v>281</v>
      </c>
      <c r="D204" s="231" t="s">
        <v>149</v>
      </c>
      <c r="E204" s="265">
        <v>1</v>
      </c>
      <c r="F204" s="272">
        <v>0</v>
      </c>
      <c r="G204" s="272">
        <f t="shared" si="16"/>
        <v>0</v>
      </c>
    </row>
    <row r="205" spans="2:8" x14ac:dyDescent="0.2">
      <c r="B205" s="129"/>
      <c r="C205" s="268" t="s">
        <v>282</v>
      </c>
      <c r="D205" s="231" t="s">
        <v>149</v>
      </c>
      <c r="E205" s="265">
        <v>1</v>
      </c>
      <c r="F205" s="272">
        <v>0</v>
      </c>
      <c r="G205" s="272">
        <f t="shared" si="16"/>
        <v>0</v>
      </c>
    </row>
    <row r="206" spans="2:8" x14ac:dyDescent="0.2">
      <c r="B206" s="129"/>
      <c r="C206" s="1810" t="s">
        <v>283</v>
      </c>
      <c r="D206" s="231" t="s">
        <v>149</v>
      </c>
      <c r="E206" s="265">
        <v>2</v>
      </c>
      <c r="F206" s="272">
        <v>0</v>
      </c>
      <c r="G206" s="272">
        <f t="shared" si="16"/>
        <v>0</v>
      </c>
    </row>
    <row r="207" spans="2:8" ht="48" x14ac:dyDescent="0.2">
      <c r="B207" s="129"/>
      <c r="C207" s="1810" t="s">
        <v>284</v>
      </c>
      <c r="D207" s="231" t="s">
        <v>149</v>
      </c>
      <c r="E207" s="265">
        <v>1</v>
      </c>
      <c r="F207" s="272">
        <v>0</v>
      </c>
      <c r="G207" s="272">
        <f t="shared" si="16"/>
        <v>0</v>
      </c>
    </row>
    <row r="208" spans="2:8" ht="36" x14ac:dyDescent="0.2">
      <c r="B208" s="129"/>
      <c r="C208" s="268" t="s">
        <v>285</v>
      </c>
      <c r="D208" s="231" t="s">
        <v>149</v>
      </c>
      <c r="E208" s="265">
        <v>1</v>
      </c>
      <c r="F208" s="272">
        <v>0</v>
      </c>
      <c r="G208" s="272">
        <f t="shared" si="16"/>
        <v>0</v>
      </c>
    </row>
    <row r="209" spans="2:7" x14ac:dyDescent="0.2">
      <c r="B209" s="129"/>
      <c r="C209" s="267" t="s">
        <v>298</v>
      </c>
      <c r="D209" s="231" t="s">
        <v>149</v>
      </c>
      <c r="E209" s="265">
        <v>2</v>
      </c>
      <c r="F209" s="272">
        <v>0</v>
      </c>
      <c r="G209" s="272">
        <f t="shared" si="16"/>
        <v>0</v>
      </c>
    </row>
    <row r="210" spans="2:7" x14ac:dyDescent="0.2">
      <c r="B210" s="129"/>
      <c r="C210" s="268" t="s">
        <v>193</v>
      </c>
      <c r="D210" s="231" t="s">
        <v>149</v>
      </c>
      <c r="E210" s="265">
        <v>1</v>
      </c>
      <c r="F210" s="272">
        <v>0</v>
      </c>
      <c r="G210" s="272">
        <f t="shared" si="16"/>
        <v>0</v>
      </c>
    </row>
    <row r="211" spans="2:7" x14ac:dyDescent="0.2">
      <c r="B211" s="129"/>
      <c r="C211" s="268" t="s">
        <v>194</v>
      </c>
      <c r="D211" s="231" t="s">
        <v>149</v>
      </c>
      <c r="E211" s="265">
        <v>1</v>
      </c>
      <c r="F211" s="272">
        <v>0</v>
      </c>
      <c r="G211" s="272">
        <f t="shared" si="16"/>
        <v>0</v>
      </c>
    </row>
    <row r="212" spans="2:7" x14ac:dyDescent="0.2">
      <c r="B212" s="129"/>
      <c r="C212" s="267" t="s">
        <v>286</v>
      </c>
      <c r="D212" s="231" t="s">
        <v>149</v>
      </c>
      <c r="E212" s="265">
        <v>1</v>
      </c>
      <c r="F212" s="272">
        <v>0</v>
      </c>
      <c r="G212" s="272">
        <f t="shared" si="16"/>
        <v>0</v>
      </c>
    </row>
    <row r="213" spans="2:7" x14ac:dyDescent="0.2">
      <c r="B213" s="129"/>
      <c r="C213" s="1810" t="s">
        <v>235</v>
      </c>
      <c r="D213" s="231" t="s">
        <v>149</v>
      </c>
      <c r="E213" s="265">
        <v>2</v>
      </c>
      <c r="F213" s="272">
        <v>0</v>
      </c>
      <c r="G213" s="272">
        <f t="shared" si="16"/>
        <v>0</v>
      </c>
    </row>
    <row r="214" spans="2:7" x14ac:dyDescent="0.2">
      <c r="B214" s="129"/>
      <c r="C214" s="1810" t="s">
        <v>236</v>
      </c>
      <c r="D214" s="231" t="s">
        <v>149</v>
      </c>
      <c r="E214" s="265">
        <v>2</v>
      </c>
      <c r="F214" s="272">
        <v>0</v>
      </c>
      <c r="G214" s="272">
        <f t="shared" si="16"/>
        <v>0</v>
      </c>
    </row>
    <row r="215" spans="2:7" x14ac:dyDescent="0.2">
      <c r="B215" s="129"/>
      <c r="C215" s="1810" t="s">
        <v>239</v>
      </c>
      <c r="D215" s="231" t="s">
        <v>149</v>
      </c>
      <c r="E215" s="265">
        <v>4</v>
      </c>
      <c r="F215" s="272">
        <v>0</v>
      </c>
      <c r="G215" s="272">
        <f t="shared" si="16"/>
        <v>0</v>
      </c>
    </row>
    <row r="216" spans="2:7" x14ac:dyDescent="0.2">
      <c r="B216" s="129"/>
      <c r="C216" s="1810" t="s">
        <v>240</v>
      </c>
      <c r="D216" s="231" t="s">
        <v>149</v>
      </c>
      <c r="E216" s="265">
        <v>4</v>
      </c>
      <c r="F216" s="272">
        <v>0</v>
      </c>
      <c r="G216" s="272">
        <f t="shared" si="16"/>
        <v>0</v>
      </c>
    </row>
    <row r="217" spans="2:7" x14ac:dyDescent="0.2">
      <c r="B217" s="129"/>
      <c r="C217" s="1810" t="s">
        <v>227</v>
      </c>
      <c r="D217" s="231" t="s">
        <v>149</v>
      </c>
      <c r="E217" s="265">
        <v>2</v>
      </c>
      <c r="F217" s="272">
        <v>0</v>
      </c>
      <c r="G217" s="272">
        <f t="shared" si="16"/>
        <v>0</v>
      </c>
    </row>
    <row r="218" spans="2:7" x14ac:dyDescent="0.2">
      <c r="B218" s="129"/>
      <c r="C218" s="1810" t="s">
        <v>197</v>
      </c>
      <c r="D218" s="231" t="s">
        <v>149</v>
      </c>
      <c r="E218" s="265">
        <v>1</v>
      </c>
      <c r="F218" s="272">
        <v>0</v>
      </c>
      <c r="G218" s="272">
        <f t="shared" si="16"/>
        <v>0</v>
      </c>
    </row>
    <row r="219" spans="2:7" x14ac:dyDescent="0.2">
      <c r="B219" s="129"/>
      <c r="C219" s="1809" t="s">
        <v>198</v>
      </c>
      <c r="D219" s="231" t="s">
        <v>149</v>
      </c>
      <c r="E219" s="265">
        <v>1</v>
      </c>
      <c r="F219" s="272">
        <v>0</v>
      </c>
      <c r="G219" s="272">
        <f t="shared" si="16"/>
        <v>0</v>
      </c>
    </row>
    <row r="220" spans="2:7" x14ac:dyDescent="0.2">
      <c r="B220" s="129"/>
      <c r="C220" s="1809"/>
      <c r="D220" s="231"/>
      <c r="E220" s="265"/>
      <c r="F220" s="279"/>
      <c r="G220" s="272"/>
    </row>
    <row r="221" spans="2:7" x14ac:dyDescent="0.2">
      <c r="B221" s="129"/>
      <c r="C221" s="264" t="s">
        <v>1762</v>
      </c>
      <c r="D221" s="231"/>
      <c r="E221" s="265"/>
      <c r="F221" s="266">
        <v>0</v>
      </c>
      <c r="G221" s="234"/>
    </row>
    <row r="222" spans="2:7" x14ac:dyDescent="0.2">
      <c r="B222" s="129"/>
      <c r="C222" s="267" t="s">
        <v>289</v>
      </c>
      <c r="D222" s="231" t="s">
        <v>149</v>
      </c>
      <c r="E222" s="265">
        <v>4</v>
      </c>
      <c r="F222" s="272">
        <v>0</v>
      </c>
      <c r="G222" s="272">
        <f t="shared" ref="G222" si="17">E222*F222</f>
        <v>0</v>
      </c>
    </row>
    <row r="223" spans="2:7" x14ac:dyDescent="0.2">
      <c r="B223" s="129"/>
      <c r="C223" s="267" t="s">
        <v>213</v>
      </c>
      <c r="D223" s="231" t="s">
        <v>149</v>
      </c>
      <c r="E223" s="265">
        <v>2</v>
      </c>
      <c r="F223" s="272">
        <v>0</v>
      </c>
      <c r="G223" s="272">
        <f t="shared" ref="G223:G247" si="18">E223*F223</f>
        <v>0</v>
      </c>
    </row>
    <row r="224" spans="2:7" x14ac:dyDescent="0.2">
      <c r="B224" s="129"/>
      <c r="C224" s="267" t="s">
        <v>290</v>
      </c>
      <c r="D224" s="231" t="s">
        <v>149</v>
      </c>
      <c r="E224" s="265">
        <v>2</v>
      </c>
      <c r="F224" s="272">
        <v>0</v>
      </c>
      <c r="G224" s="272">
        <f t="shared" si="18"/>
        <v>0</v>
      </c>
    </row>
    <row r="225" spans="2:7" ht="24" x14ac:dyDescent="0.2">
      <c r="B225" s="129"/>
      <c r="C225" s="267" t="s">
        <v>291</v>
      </c>
      <c r="D225" s="231" t="s">
        <v>149</v>
      </c>
      <c r="E225" s="265">
        <v>2</v>
      </c>
      <c r="F225" s="272">
        <v>0</v>
      </c>
      <c r="G225" s="272">
        <f t="shared" si="18"/>
        <v>0</v>
      </c>
    </row>
    <row r="226" spans="2:7" ht="24" x14ac:dyDescent="0.2">
      <c r="B226" s="129"/>
      <c r="C226" s="267" t="s">
        <v>274</v>
      </c>
      <c r="D226" s="231" t="s">
        <v>149</v>
      </c>
      <c r="E226" s="265">
        <v>2</v>
      </c>
      <c r="F226" s="272">
        <v>0</v>
      </c>
      <c r="G226" s="272">
        <f t="shared" si="18"/>
        <v>0</v>
      </c>
    </row>
    <row r="227" spans="2:7" x14ac:dyDescent="0.2">
      <c r="B227" s="129"/>
      <c r="C227" s="267" t="s">
        <v>292</v>
      </c>
      <c r="D227" s="231" t="s">
        <v>149</v>
      </c>
      <c r="E227" s="265">
        <v>1</v>
      </c>
      <c r="F227" s="272">
        <v>0</v>
      </c>
      <c r="G227" s="272">
        <f t="shared" si="18"/>
        <v>0</v>
      </c>
    </row>
    <row r="228" spans="2:7" x14ac:dyDescent="0.2">
      <c r="B228" s="129"/>
      <c r="C228" s="268" t="s">
        <v>293</v>
      </c>
      <c r="D228" s="231" t="s">
        <v>149</v>
      </c>
      <c r="E228" s="265">
        <v>2</v>
      </c>
      <c r="F228" s="272">
        <v>0</v>
      </c>
      <c r="G228" s="272">
        <f t="shared" si="18"/>
        <v>0</v>
      </c>
    </row>
    <row r="229" spans="2:7" x14ac:dyDescent="0.2">
      <c r="B229" s="129"/>
      <c r="C229" s="268" t="s">
        <v>294</v>
      </c>
      <c r="D229" s="231" t="s">
        <v>149</v>
      </c>
      <c r="E229" s="265">
        <v>1</v>
      </c>
      <c r="F229" s="272">
        <v>0</v>
      </c>
      <c r="G229" s="272">
        <f t="shared" si="18"/>
        <v>0</v>
      </c>
    </row>
    <row r="230" spans="2:7" x14ac:dyDescent="0.2">
      <c r="B230" s="129"/>
      <c r="C230" s="268" t="s">
        <v>278</v>
      </c>
      <c r="D230" s="231" t="s">
        <v>149</v>
      </c>
      <c r="E230" s="265">
        <v>1</v>
      </c>
      <c r="F230" s="272">
        <v>0</v>
      </c>
      <c r="G230" s="272">
        <f t="shared" si="18"/>
        <v>0</v>
      </c>
    </row>
    <row r="231" spans="2:7" x14ac:dyDescent="0.2">
      <c r="B231" s="129"/>
      <c r="C231" s="268" t="s">
        <v>295</v>
      </c>
      <c r="D231" s="231" t="s">
        <v>149</v>
      </c>
      <c r="E231" s="265">
        <v>1</v>
      </c>
      <c r="F231" s="272">
        <v>0</v>
      </c>
      <c r="G231" s="272">
        <f t="shared" si="18"/>
        <v>0</v>
      </c>
    </row>
    <row r="232" spans="2:7" x14ac:dyDescent="0.2">
      <c r="B232" s="129"/>
      <c r="C232" s="268" t="s">
        <v>296</v>
      </c>
      <c r="D232" s="231" t="s">
        <v>149</v>
      </c>
      <c r="E232" s="265">
        <v>1</v>
      </c>
      <c r="F232" s="272">
        <v>0</v>
      </c>
      <c r="G232" s="272">
        <f t="shared" si="18"/>
        <v>0</v>
      </c>
    </row>
    <row r="233" spans="2:7" x14ac:dyDescent="0.2">
      <c r="B233" s="129"/>
      <c r="C233" s="268" t="s">
        <v>297</v>
      </c>
      <c r="D233" s="231" t="s">
        <v>149</v>
      </c>
      <c r="E233" s="265">
        <v>1</v>
      </c>
      <c r="F233" s="272">
        <v>0</v>
      </c>
      <c r="G233" s="272">
        <f t="shared" si="18"/>
        <v>0</v>
      </c>
    </row>
    <row r="234" spans="2:7" x14ac:dyDescent="0.2">
      <c r="B234" s="129"/>
      <c r="C234" s="268" t="s">
        <v>281</v>
      </c>
      <c r="D234" s="231" t="s">
        <v>149</v>
      </c>
      <c r="E234" s="265">
        <v>1</v>
      </c>
      <c r="F234" s="272">
        <v>0</v>
      </c>
      <c r="G234" s="272">
        <f t="shared" si="18"/>
        <v>0</v>
      </c>
    </row>
    <row r="235" spans="2:7" x14ac:dyDescent="0.2">
      <c r="B235" s="129"/>
      <c r="C235" s="268" t="s">
        <v>282</v>
      </c>
      <c r="D235" s="231" t="s">
        <v>149</v>
      </c>
      <c r="E235" s="265">
        <v>1</v>
      </c>
      <c r="F235" s="272">
        <v>0</v>
      </c>
      <c r="G235" s="272">
        <f t="shared" si="18"/>
        <v>0</v>
      </c>
    </row>
    <row r="236" spans="2:7" x14ac:dyDescent="0.2">
      <c r="B236" s="129"/>
      <c r="C236" s="1810" t="s">
        <v>283</v>
      </c>
      <c r="D236" s="231" t="s">
        <v>149</v>
      </c>
      <c r="E236" s="265">
        <v>2</v>
      </c>
      <c r="F236" s="272">
        <v>0</v>
      </c>
      <c r="G236" s="272">
        <f t="shared" si="18"/>
        <v>0</v>
      </c>
    </row>
    <row r="237" spans="2:7" ht="48" x14ac:dyDescent="0.2">
      <c r="B237" s="129"/>
      <c r="C237" s="1810" t="s">
        <v>284</v>
      </c>
      <c r="D237" s="231" t="s">
        <v>149</v>
      </c>
      <c r="E237" s="265">
        <v>1</v>
      </c>
      <c r="F237" s="272">
        <v>0</v>
      </c>
      <c r="G237" s="272">
        <f t="shared" si="18"/>
        <v>0</v>
      </c>
    </row>
    <row r="238" spans="2:7" ht="36" x14ac:dyDescent="0.2">
      <c r="B238" s="129"/>
      <c r="C238" s="268" t="s">
        <v>285</v>
      </c>
      <c r="D238" s="231" t="s">
        <v>149</v>
      </c>
      <c r="E238" s="265">
        <v>1</v>
      </c>
      <c r="F238" s="272">
        <v>0</v>
      </c>
      <c r="G238" s="272">
        <f t="shared" si="18"/>
        <v>0</v>
      </c>
    </row>
    <row r="239" spans="2:7" x14ac:dyDescent="0.2">
      <c r="B239" s="129"/>
      <c r="C239" s="267" t="s">
        <v>298</v>
      </c>
      <c r="D239" s="231" t="s">
        <v>149</v>
      </c>
      <c r="E239" s="265">
        <v>2</v>
      </c>
      <c r="F239" s="272">
        <v>0</v>
      </c>
      <c r="G239" s="272">
        <f t="shared" si="18"/>
        <v>0</v>
      </c>
    </row>
    <row r="240" spans="2:7" x14ac:dyDescent="0.2">
      <c r="B240" s="129"/>
      <c r="C240" s="268" t="s">
        <v>193</v>
      </c>
      <c r="D240" s="231" t="s">
        <v>149</v>
      </c>
      <c r="E240" s="265">
        <v>1</v>
      </c>
      <c r="F240" s="272">
        <v>0</v>
      </c>
      <c r="G240" s="272">
        <f t="shared" si="18"/>
        <v>0</v>
      </c>
    </row>
    <row r="241" spans="2:7" x14ac:dyDescent="0.2">
      <c r="B241" s="129"/>
      <c r="C241" s="268" t="s">
        <v>194</v>
      </c>
      <c r="D241" s="231" t="s">
        <v>149</v>
      </c>
      <c r="E241" s="265">
        <v>1</v>
      </c>
      <c r="F241" s="272">
        <v>0</v>
      </c>
      <c r="G241" s="272">
        <f t="shared" si="18"/>
        <v>0</v>
      </c>
    </row>
    <row r="242" spans="2:7" x14ac:dyDescent="0.2">
      <c r="B242" s="129"/>
      <c r="C242" s="267" t="s">
        <v>286</v>
      </c>
      <c r="D242" s="231" t="s">
        <v>149</v>
      </c>
      <c r="E242" s="265">
        <v>1</v>
      </c>
      <c r="F242" s="272">
        <v>0</v>
      </c>
      <c r="G242" s="272">
        <f t="shared" si="18"/>
        <v>0</v>
      </c>
    </row>
    <row r="243" spans="2:7" x14ac:dyDescent="0.2">
      <c r="B243" s="129"/>
      <c r="C243" s="1810" t="s">
        <v>239</v>
      </c>
      <c r="D243" s="231" t="s">
        <v>149</v>
      </c>
      <c r="E243" s="265">
        <v>6</v>
      </c>
      <c r="F243" s="272">
        <v>0</v>
      </c>
      <c r="G243" s="272">
        <f t="shared" si="18"/>
        <v>0</v>
      </c>
    </row>
    <row r="244" spans="2:7" x14ac:dyDescent="0.2">
      <c r="B244" s="129"/>
      <c r="C244" s="1810" t="s">
        <v>240</v>
      </c>
      <c r="D244" s="231" t="s">
        <v>149</v>
      </c>
      <c r="E244" s="265">
        <v>6</v>
      </c>
      <c r="F244" s="272">
        <v>0</v>
      </c>
      <c r="G244" s="272">
        <f t="shared" si="18"/>
        <v>0</v>
      </c>
    </row>
    <row r="245" spans="2:7" x14ac:dyDescent="0.2">
      <c r="B245" s="129"/>
      <c r="C245" s="1810" t="s">
        <v>227</v>
      </c>
      <c r="D245" s="231" t="s">
        <v>149</v>
      </c>
      <c r="E245" s="265">
        <v>2</v>
      </c>
      <c r="F245" s="272">
        <v>0</v>
      </c>
      <c r="G245" s="272">
        <f t="shared" si="18"/>
        <v>0</v>
      </c>
    </row>
    <row r="246" spans="2:7" x14ac:dyDescent="0.2">
      <c r="B246" s="129"/>
      <c r="C246" s="1810" t="s">
        <v>197</v>
      </c>
      <c r="D246" s="231" t="s">
        <v>149</v>
      </c>
      <c r="E246" s="265">
        <v>1</v>
      </c>
      <c r="F246" s="272">
        <v>0</v>
      </c>
      <c r="G246" s="272">
        <f t="shared" si="18"/>
        <v>0</v>
      </c>
    </row>
    <row r="247" spans="2:7" x14ac:dyDescent="0.2">
      <c r="B247" s="129"/>
      <c r="C247" s="1809" t="s">
        <v>198</v>
      </c>
      <c r="D247" s="231" t="s">
        <v>149</v>
      </c>
      <c r="E247" s="265">
        <v>1</v>
      </c>
      <c r="F247" s="272">
        <v>0</v>
      </c>
      <c r="G247" s="272">
        <f t="shared" si="18"/>
        <v>0</v>
      </c>
    </row>
    <row r="248" spans="2:7" x14ac:dyDescent="0.2">
      <c r="B248" s="1464"/>
      <c r="C248" s="264"/>
      <c r="D248" s="486"/>
      <c r="E248" s="487"/>
      <c r="F248" s="279"/>
      <c r="G248" s="272"/>
    </row>
    <row r="249" spans="2:7" x14ac:dyDescent="0.2">
      <c r="B249" s="292" t="s">
        <v>243</v>
      </c>
      <c r="C249" s="280" t="s">
        <v>300</v>
      </c>
      <c r="D249" s="281"/>
      <c r="E249" s="282"/>
      <c r="F249" s="283"/>
      <c r="G249" s="284"/>
    </row>
    <row r="250" spans="2:7" ht="60" x14ac:dyDescent="0.2">
      <c r="B250" s="135"/>
      <c r="C250" s="285" t="s">
        <v>301</v>
      </c>
      <c r="D250" s="286" t="s">
        <v>149</v>
      </c>
      <c r="E250" s="287">
        <v>74</v>
      </c>
      <c r="F250" s="288">
        <v>0</v>
      </c>
      <c r="G250" s="289">
        <f t="shared" ref="G250" si="19">E250*F250</f>
        <v>0</v>
      </c>
    </row>
    <row r="251" spans="2:7" x14ac:dyDescent="0.2">
      <c r="B251" s="293" t="s">
        <v>17</v>
      </c>
      <c r="C251" s="294" t="s">
        <v>302</v>
      </c>
      <c r="D251" s="218"/>
      <c r="E251" s="203"/>
      <c r="F251" s="204"/>
      <c r="G251" s="290">
        <f>SUM(G91:G250)</f>
        <v>0</v>
      </c>
    </row>
  </sheetData>
  <mergeCells count="7">
    <mergeCell ref="B100:B103"/>
    <mergeCell ref="B41:G41"/>
    <mergeCell ref="B52:B54"/>
    <mergeCell ref="B68:B70"/>
    <mergeCell ref="B88:G88"/>
    <mergeCell ref="B89:G89"/>
    <mergeCell ref="B90:G90"/>
  </mergeCells>
  <pageMargins left="0.7" right="0.7" top="0.75" bottom="0.75" header="0.3" footer="0.3"/>
  <pageSetup paperSize="9" scale="85" orientation="portrait" r:id="rId1"/>
  <headerFooter alignWithMargins="0">
    <oddFooter>&amp;C&amp;8&amp;P/&amp;N</oddFooter>
  </headerFooter>
  <rowBreaks count="5" manualBreakCount="5">
    <brk id="19" max="16383" man="1"/>
    <brk id="37" max="16383" man="1"/>
    <brk id="80" max="16383" man="1"/>
    <brk id="125" max="16383" man="1"/>
    <brk id="175"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93DA-133C-422F-97C7-6D9D64410B3B}">
  <sheetPr>
    <tabColor theme="0" tint="-0.14999847407452621"/>
  </sheetPr>
  <dimension ref="A2:L347"/>
  <sheetViews>
    <sheetView showZeros="0" topLeftCell="A58"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38.25" customHeight="1" x14ac:dyDescent="0.2">
      <c r="B6" s="1776" t="s">
        <v>80</v>
      </c>
      <c r="C6" s="3286" t="s">
        <v>1763</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G84</f>
        <v>0</v>
      </c>
      <c r="H16" s="569"/>
    </row>
    <row r="17" spans="2:8" s="1792" customFormat="1" ht="18.75" customHeight="1" x14ac:dyDescent="0.25">
      <c r="B17" s="1793" t="s">
        <v>17</v>
      </c>
      <c r="C17" s="1794" t="s">
        <v>87</v>
      </c>
      <c r="D17" s="1795"/>
      <c r="E17" s="1796"/>
      <c r="F17" s="1797"/>
      <c r="G17" s="474">
        <f>G347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4649</v>
      </c>
      <c r="F24" s="467">
        <v>0</v>
      </c>
      <c r="G24" s="352">
        <f t="shared" ref="G24" si="0">E24*F24</f>
        <v>0</v>
      </c>
    </row>
    <row r="25" spans="2:8" x14ac:dyDescent="0.2">
      <c r="B25" s="129">
        <v>2</v>
      </c>
      <c r="C25" s="206" t="s">
        <v>96</v>
      </c>
      <c r="D25" s="207" t="s">
        <v>95</v>
      </c>
      <c r="E25" s="353">
        <f>E24</f>
        <v>4649</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11</v>
      </c>
      <c r="F30" s="467">
        <v>0</v>
      </c>
      <c r="G30" s="352">
        <f t="shared" si="1"/>
        <v>0</v>
      </c>
    </row>
    <row r="31" spans="2:8" ht="39.75" customHeight="1" x14ac:dyDescent="0.2">
      <c r="B31" s="129">
        <v>8</v>
      </c>
      <c r="C31" s="3165" t="s">
        <v>2590</v>
      </c>
      <c r="D31" s="210" t="s">
        <v>95</v>
      </c>
      <c r="E31" s="353">
        <v>5394</v>
      </c>
      <c r="F31" s="467">
        <v>0</v>
      </c>
      <c r="G31" s="352">
        <f t="shared" si="1"/>
        <v>0</v>
      </c>
      <c r="H31" s="571"/>
    </row>
    <row r="32" spans="2:8" ht="27.75" customHeight="1" x14ac:dyDescent="0.2">
      <c r="B32" s="129">
        <v>9</v>
      </c>
      <c r="C32" s="3165" t="s">
        <v>2591</v>
      </c>
      <c r="D32" s="210" t="s">
        <v>95</v>
      </c>
      <c r="E32" s="353">
        <v>5394</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7</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4" x14ac:dyDescent="0.2">
      <c r="B42" s="131">
        <v>1</v>
      </c>
      <c r="C42" s="206" t="s">
        <v>111</v>
      </c>
      <c r="D42" s="207" t="s">
        <v>112</v>
      </c>
      <c r="E42" s="353">
        <f>(5394*1*1.4*0.07)</f>
        <v>528.61199999999997</v>
      </c>
      <c r="F42" s="467">
        <v>0</v>
      </c>
      <c r="G42" s="352">
        <f t="shared" ref="G42:G83" si="2">E42*F42</f>
        <v>0</v>
      </c>
      <c r="I42" s="132"/>
    </row>
    <row r="43" spans="2:12" ht="36" x14ac:dyDescent="0.2">
      <c r="B43" s="131">
        <v>2</v>
      </c>
      <c r="C43" s="206" t="s">
        <v>113</v>
      </c>
      <c r="D43" s="207" t="s">
        <v>95</v>
      </c>
      <c r="E43" s="353">
        <f>0.6*5394</f>
        <v>3236.4</v>
      </c>
      <c r="F43" s="467">
        <v>0</v>
      </c>
      <c r="G43" s="352">
        <f t="shared" si="2"/>
        <v>0</v>
      </c>
      <c r="I43" s="132"/>
    </row>
    <row r="44" spans="2:12" ht="36" x14ac:dyDescent="0.2">
      <c r="B44" s="131">
        <v>3</v>
      </c>
      <c r="C44" s="206" t="s">
        <v>114</v>
      </c>
      <c r="D44" s="209" t="s">
        <v>112</v>
      </c>
      <c r="E44" s="353">
        <f>((5394*1*1.4)-E42)*0.1</f>
        <v>702.29880000000003</v>
      </c>
      <c r="F44" s="467">
        <v>0</v>
      </c>
      <c r="G44" s="352">
        <f t="shared" si="2"/>
        <v>0</v>
      </c>
      <c r="I44" s="133"/>
      <c r="K44" s="134"/>
      <c r="L44" s="134"/>
    </row>
    <row r="45" spans="2:12" ht="36" x14ac:dyDescent="0.2">
      <c r="B45" s="131">
        <v>4</v>
      </c>
      <c r="C45" s="206" t="s">
        <v>115</v>
      </c>
      <c r="D45" s="209" t="s">
        <v>112</v>
      </c>
      <c r="E45" s="353">
        <f>((5394*1*1.4)-E42)*0.9</f>
        <v>6320.6891999999998</v>
      </c>
      <c r="F45" s="467">
        <v>0</v>
      </c>
      <c r="G45" s="352">
        <f t="shared" si="2"/>
        <v>0</v>
      </c>
      <c r="I45" s="133"/>
      <c r="J45" s="134"/>
    </row>
    <row r="46" spans="2:12" ht="24" x14ac:dyDescent="0.2">
      <c r="B46" s="131">
        <v>5</v>
      </c>
      <c r="C46" s="311" t="s">
        <v>116</v>
      </c>
      <c r="D46" s="219" t="s">
        <v>117</v>
      </c>
      <c r="E46" s="471">
        <f>5394*1.4</f>
        <v>7551.5999999999995</v>
      </c>
      <c r="F46" s="467">
        <v>0</v>
      </c>
      <c r="G46" s="352">
        <f t="shared" si="2"/>
        <v>0</v>
      </c>
      <c r="I46" s="132"/>
    </row>
    <row r="47" spans="2:12" ht="36" x14ac:dyDescent="0.2">
      <c r="B47" s="131">
        <v>6</v>
      </c>
      <c r="C47" s="206" t="s">
        <v>118</v>
      </c>
      <c r="D47" s="209" t="s">
        <v>117</v>
      </c>
      <c r="E47" s="353">
        <f>5394*1</f>
        <v>5394</v>
      </c>
      <c r="F47" s="467">
        <v>0</v>
      </c>
      <c r="G47" s="352">
        <f t="shared" si="2"/>
        <v>0</v>
      </c>
      <c r="I47" s="132"/>
    </row>
    <row r="48" spans="2:12" ht="24" x14ac:dyDescent="0.2">
      <c r="B48" s="131">
        <v>7</v>
      </c>
      <c r="C48" s="206" t="s">
        <v>304</v>
      </c>
      <c r="D48" s="209" t="s">
        <v>112</v>
      </c>
      <c r="E48" s="353">
        <v>1346.2</v>
      </c>
      <c r="F48" s="467">
        <v>0</v>
      </c>
      <c r="G48" s="352">
        <f t="shared" si="2"/>
        <v>0</v>
      </c>
      <c r="I48" s="133"/>
    </row>
    <row r="49" spans="2:10" ht="24" x14ac:dyDescent="0.2">
      <c r="B49" s="131">
        <v>8</v>
      </c>
      <c r="C49" s="206" t="s">
        <v>119</v>
      </c>
      <c r="D49" s="209" t="s">
        <v>112</v>
      </c>
      <c r="E49" s="353">
        <v>4290.6000000000004</v>
      </c>
      <c r="F49" s="467">
        <v>0</v>
      </c>
      <c r="G49" s="352">
        <f t="shared" si="2"/>
        <v>0</v>
      </c>
      <c r="I49" s="134"/>
    </row>
    <row r="50" spans="2:10" ht="36" x14ac:dyDescent="0.2">
      <c r="B50" s="131">
        <v>9</v>
      </c>
      <c r="C50" s="208" t="s">
        <v>120</v>
      </c>
      <c r="D50" s="209" t="s">
        <v>112</v>
      </c>
      <c r="E50" s="353">
        <v>1221.31</v>
      </c>
      <c r="F50" s="467">
        <v>0</v>
      </c>
      <c r="G50" s="352">
        <f t="shared" si="2"/>
        <v>0</v>
      </c>
      <c r="I50" s="1365"/>
    </row>
    <row r="51" spans="2:10" s="130" customFormat="1" ht="36" x14ac:dyDescent="0.2">
      <c r="B51" s="131">
        <v>10</v>
      </c>
      <c r="C51" s="314" t="s">
        <v>121</v>
      </c>
      <c r="D51" s="210" t="s">
        <v>112</v>
      </c>
      <c r="E51" s="353">
        <v>821.21</v>
      </c>
      <c r="F51" s="467">
        <v>0</v>
      </c>
      <c r="G51" s="352">
        <f t="shared" si="2"/>
        <v>0</v>
      </c>
      <c r="H51" s="565"/>
      <c r="I51" s="1263"/>
      <c r="J51" s="1263"/>
    </row>
    <row r="52" spans="2:10" s="147" customFormat="1" ht="48" x14ac:dyDescent="0.25">
      <c r="B52" s="3187">
        <v>11</v>
      </c>
      <c r="C52" s="308" t="s">
        <v>122</v>
      </c>
      <c r="D52" s="210"/>
      <c r="E52" s="353"/>
      <c r="F52" s="467"/>
      <c r="G52" s="352"/>
      <c r="H52" s="572"/>
      <c r="I52" s="1369"/>
    </row>
    <row r="53" spans="2:10" s="147" customFormat="1" x14ac:dyDescent="0.25">
      <c r="B53" s="3188"/>
      <c r="C53" s="308" t="s">
        <v>124</v>
      </c>
      <c r="D53" s="207" t="s">
        <v>95</v>
      </c>
      <c r="E53" s="353">
        <v>70</v>
      </c>
      <c r="F53" s="467">
        <v>0</v>
      </c>
      <c r="G53" s="352">
        <f t="shared" si="2"/>
        <v>0</v>
      </c>
      <c r="H53" s="572"/>
    </row>
    <row r="54" spans="2:10" s="147" customFormat="1" x14ac:dyDescent="0.25">
      <c r="B54" s="3189"/>
      <c r="C54" s="308" t="s">
        <v>305</v>
      </c>
      <c r="D54" s="207" t="s">
        <v>95</v>
      </c>
      <c r="E54" s="353">
        <v>40</v>
      </c>
      <c r="F54" s="467">
        <v>0</v>
      </c>
      <c r="G54" s="352">
        <f t="shared" si="2"/>
        <v>0</v>
      </c>
      <c r="H54" s="572"/>
    </row>
    <row r="55" spans="2:10" ht="24" x14ac:dyDescent="0.2">
      <c r="B55" s="131">
        <v>12</v>
      </c>
      <c r="C55" s="206" t="s">
        <v>125</v>
      </c>
      <c r="D55" s="209" t="s">
        <v>95</v>
      </c>
      <c r="E55" s="353">
        <v>1618.2</v>
      </c>
      <c r="F55" s="467">
        <v>0</v>
      </c>
      <c r="G55" s="352">
        <f t="shared" si="2"/>
        <v>0</v>
      </c>
      <c r="H55" s="571"/>
    </row>
    <row r="56" spans="2:10" ht="24" x14ac:dyDescent="0.2">
      <c r="B56" s="131">
        <v>13</v>
      </c>
      <c r="C56" s="206" t="s">
        <v>126</v>
      </c>
      <c r="D56" s="207" t="s">
        <v>117</v>
      </c>
      <c r="E56" s="353">
        <v>1660.93</v>
      </c>
      <c r="F56" s="467">
        <v>0</v>
      </c>
      <c r="G56" s="352">
        <f t="shared" si="2"/>
        <v>0</v>
      </c>
      <c r="H56" s="571"/>
      <c r="I56" s="1365">
        <f>E56-E58-E59-E61</f>
        <v>0</v>
      </c>
    </row>
    <row r="57" spans="2:10" ht="48" x14ac:dyDescent="0.2">
      <c r="B57" s="131">
        <v>14</v>
      </c>
      <c r="C57" s="206" t="s">
        <v>127</v>
      </c>
      <c r="D57" s="207" t="s">
        <v>117</v>
      </c>
      <c r="E57" s="353">
        <f>E56</f>
        <v>1660.93</v>
      </c>
      <c r="F57" s="467">
        <v>0</v>
      </c>
      <c r="G57" s="352">
        <f t="shared" si="2"/>
        <v>0</v>
      </c>
      <c r="H57" s="571"/>
      <c r="I57" s="134"/>
    </row>
    <row r="58" spans="2:10" ht="60" x14ac:dyDescent="0.2">
      <c r="B58" s="131">
        <v>15</v>
      </c>
      <c r="C58" s="314" t="s">
        <v>706</v>
      </c>
      <c r="D58" s="209" t="s">
        <v>117</v>
      </c>
      <c r="E58" s="353">
        <v>975.79</v>
      </c>
      <c r="F58" s="467">
        <v>0</v>
      </c>
      <c r="G58" s="352">
        <f t="shared" si="2"/>
        <v>0</v>
      </c>
      <c r="H58" s="571"/>
      <c r="I58" s="1370"/>
    </row>
    <row r="59" spans="2:10" ht="48" x14ac:dyDescent="0.2">
      <c r="B59" s="312" t="s">
        <v>576</v>
      </c>
      <c r="C59" s="208" t="s">
        <v>129</v>
      </c>
      <c r="D59" s="209" t="s">
        <v>117</v>
      </c>
      <c r="E59" s="353">
        <v>372.64</v>
      </c>
      <c r="F59" s="467">
        <v>0</v>
      </c>
      <c r="G59" s="352">
        <f t="shared" si="2"/>
        <v>0</v>
      </c>
      <c r="H59" s="571"/>
      <c r="I59" s="1370"/>
    </row>
    <row r="60" spans="2:10" ht="60" x14ac:dyDescent="0.2">
      <c r="B60" s="312" t="s">
        <v>578</v>
      </c>
      <c r="C60" s="208" t="s">
        <v>708</v>
      </c>
      <c r="D60" s="209" t="s">
        <v>117</v>
      </c>
      <c r="E60" s="353">
        <v>372.64</v>
      </c>
      <c r="F60" s="467">
        <v>0</v>
      </c>
      <c r="G60" s="352">
        <f t="shared" si="2"/>
        <v>0</v>
      </c>
      <c r="H60" s="571"/>
      <c r="I60" s="1365"/>
    </row>
    <row r="61" spans="2:10" ht="72" x14ac:dyDescent="0.2">
      <c r="B61" s="312" t="s">
        <v>580</v>
      </c>
      <c r="C61" s="208" t="s">
        <v>711</v>
      </c>
      <c r="D61" s="209" t="s">
        <v>117</v>
      </c>
      <c r="E61" s="353">
        <v>312.5</v>
      </c>
      <c r="F61" s="467">
        <v>0</v>
      </c>
      <c r="G61" s="352">
        <f>E61*F61</f>
        <v>0</v>
      </c>
      <c r="H61" s="571"/>
    </row>
    <row r="62" spans="2:10" ht="36" x14ac:dyDescent="0.2">
      <c r="B62" s="131">
        <v>19</v>
      </c>
      <c r="C62" s="206" t="s">
        <v>132</v>
      </c>
      <c r="D62" s="207" t="s">
        <v>117</v>
      </c>
      <c r="E62" s="353">
        <v>86</v>
      </c>
      <c r="F62" s="467">
        <v>0</v>
      </c>
      <c r="G62" s="352">
        <f t="shared" si="2"/>
        <v>0</v>
      </c>
    </row>
    <row r="63" spans="2:10" ht="24" x14ac:dyDescent="0.2">
      <c r="B63" s="131">
        <v>20</v>
      </c>
      <c r="C63" s="206" t="s">
        <v>133</v>
      </c>
      <c r="D63" s="209" t="s">
        <v>112</v>
      </c>
      <c r="E63" s="353">
        <v>245</v>
      </c>
      <c r="F63" s="467">
        <v>0</v>
      </c>
      <c r="G63" s="352">
        <f t="shared" si="2"/>
        <v>0</v>
      </c>
      <c r="I63" s="134"/>
    </row>
    <row r="64" spans="2:10" x14ac:dyDescent="0.2">
      <c r="B64" s="131">
        <v>21</v>
      </c>
      <c r="C64" s="206" t="s">
        <v>134</v>
      </c>
      <c r="D64" s="209" t="s">
        <v>112</v>
      </c>
      <c r="E64" s="353">
        <v>4013.68</v>
      </c>
      <c r="F64" s="467">
        <v>0</v>
      </c>
      <c r="G64" s="352">
        <f t="shared" si="2"/>
        <v>0</v>
      </c>
    </row>
    <row r="65" spans="2:9" x14ac:dyDescent="0.2">
      <c r="B65" s="131">
        <v>22</v>
      </c>
      <c r="C65" s="206" t="s">
        <v>135</v>
      </c>
      <c r="D65" s="209" t="s">
        <v>112</v>
      </c>
      <c r="E65" s="353">
        <f>E64</f>
        <v>4013.68</v>
      </c>
      <c r="F65" s="467">
        <v>0</v>
      </c>
      <c r="G65" s="352">
        <f t="shared" si="2"/>
        <v>0</v>
      </c>
    </row>
    <row r="66" spans="2:9" ht="24" x14ac:dyDescent="0.2">
      <c r="B66" s="131">
        <v>23</v>
      </c>
      <c r="C66" s="206" t="s">
        <v>136</v>
      </c>
      <c r="D66" s="209" t="s">
        <v>117</v>
      </c>
      <c r="E66" s="353">
        <v>1780.02</v>
      </c>
      <c r="F66" s="467">
        <v>0</v>
      </c>
      <c r="G66" s="352">
        <f t="shared" si="2"/>
        <v>0</v>
      </c>
    </row>
    <row r="67" spans="2:9" ht="24" x14ac:dyDescent="0.2">
      <c r="B67" s="131">
        <v>24</v>
      </c>
      <c r="C67" s="206" t="s">
        <v>138</v>
      </c>
      <c r="D67" s="207" t="s">
        <v>117</v>
      </c>
      <c r="E67" s="353">
        <v>1916.5</v>
      </c>
      <c r="F67" s="467">
        <v>0</v>
      </c>
      <c r="G67" s="352">
        <f t="shared" si="2"/>
        <v>0</v>
      </c>
      <c r="I67" s="134"/>
    </row>
    <row r="68" spans="2:9" s="130" customFormat="1" ht="48" x14ac:dyDescent="0.2">
      <c r="B68" s="3187">
        <v>25</v>
      </c>
      <c r="C68" s="408" t="s">
        <v>139</v>
      </c>
      <c r="D68" s="221"/>
      <c r="E68" s="353"/>
      <c r="F68" s="467"/>
      <c r="G68" s="352"/>
      <c r="H68" s="565"/>
    </row>
    <row r="69" spans="2:9" s="130" customFormat="1" x14ac:dyDescent="0.2">
      <c r="B69" s="3188"/>
      <c r="C69" s="291" t="s">
        <v>140</v>
      </c>
      <c r="D69" s="221" t="s">
        <v>95</v>
      </c>
      <c r="E69" s="353">
        <v>43</v>
      </c>
      <c r="F69" s="467">
        <v>0</v>
      </c>
      <c r="G69" s="352">
        <f t="shared" si="2"/>
        <v>0</v>
      </c>
      <c r="H69" s="565"/>
    </row>
    <row r="70" spans="2:9" s="130" customFormat="1" x14ac:dyDescent="0.2">
      <c r="B70" s="2722"/>
      <c r="C70" s="291" t="s">
        <v>713</v>
      </c>
      <c r="D70" s="221" t="s">
        <v>95</v>
      </c>
      <c r="E70" s="353">
        <v>72</v>
      </c>
      <c r="F70" s="467">
        <v>0</v>
      </c>
      <c r="G70" s="352">
        <f t="shared" si="2"/>
        <v>0</v>
      </c>
      <c r="H70" s="565"/>
    </row>
    <row r="71" spans="2:9" ht="48" x14ac:dyDescent="0.2">
      <c r="B71" s="2721">
        <v>26</v>
      </c>
      <c r="C71" s="409" t="s">
        <v>309</v>
      </c>
      <c r="D71" s="207"/>
      <c r="E71" s="353"/>
      <c r="F71" s="467"/>
      <c r="G71" s="352"/>
    </row>
    <row r="72" spans="2:9" s="130" customFormat="1" x14ac:dyDescent="0.2">
      <c r="B72" s="2722"/>
      <c r="C72" s="291" t="s">
        <v>715</v>
      </c>
      <c r="D72" s="221" t="s">
        <v>95</v>
      </c>
      <c r="E72" s="353">
        <v>32.5</v>
      </c>
      <c r="F72" s="467">
        <v>0</v>
      </c>
      <c r="G72" s="352">
        <f t="shared" ref="G72:G73" si="3">E72*F72</f>
        <v>0</v>
      </c>
      <c r="H72" s="565"/>
    </row>
    <row r="73" spans="2:9" s="130" customFormat="1" x14ac:dyDescent="0.2">
      <c r="B73" s="2722"/>
      <c r="C73" s="291" t="s">
        <v>716</v>
      </c>
      <c r="D73" s="221" t="s">
        <v>95</v>
      </c>
      <c r="E73" s="353">
        <v>6</v>
      </c>
      <c r="F73" s="467">
        <v>0</v>
      </c>
      <c r="G73" s="352">
        <f t="shared" si="3"/>
        <v>0</v>
      </c>
      <c r="H73" s="565"/>
    </row>
    <row r="74" spans="2:9" s="130" customFormat="1" ht="24" x14ac:dyDescent="0.2">
      <c r="B74" s="2728" t="s">
        <v>598</v>
      </c>
      <c r="C74" s="409" t="s">
        <v>1764</v>
      </c>
      <c r="D74" s="221"/>
      <c r="E74" s="353"/>
      <c r="F74" s="467"/>
      <c r="G74" s="352"/>
      <c r="H74" s="565"/>
    </row>
    <row r="75" spans="2:9" s="130" customFormat="1" x14ac:dyDescent="0.2">
      <c r="B75" s="1371"/>
      <c r="C75" s="291" t="s">
        <v>1765</v>
      </c>
      <c r="D75" s="221" t="s">
        <v>95</v>
      </c>
      <c r="E75" s="353">
        <v>86</v>
      </c>
      <c r="F75" s="467">
        <v>0</v>
      </c>
      <c r="G75" s="352">
        <f>F75*E75</f>
        <v>0</v>
      </c>
      <c r="H75" s="565"/>
    </row>
    <row r="76" spans="2:9" ht="48" x14ac:dyDescent="0.2">
      <c r="B76" s="131">
        <v>28</v>
      </c>
      <c r="C76" s="409" t="s">
        <v>142</v>
      </c>
      <c r="D76" s="207" t="s">
        <v>117</v>
      </c>
      <c r="E76" s="353">
        <v>112.5</v>
      </c>
      <c r="F76" s="467">
        <v>0</v>
      </c>
      <c r="G76" s="352">
        <f t="shared" si="2"/>
        <v>0</v>
      </c>
      <c r="I76" s="1372"/>
    </row>
    <row r="77" spans="2:9" ht="24" x14ac:dyDescent="0.2">
      <c r="B77" s="131">
        <v>29</v>
      </c>
      <c r="C77" s="409" t="s">
        <v>143</v>
      </c>
      <c r="D77" s="207" t="s">
        <v>95</v>
      </c>
      <c r="E77" s="353">
        <v>136</v>
      </c>
      <c r="F77" s="467">
        <v>0</v>
      </c>
      <c r="G77" s="352">
        <f t="shared" si="2"/>
        <v>0</v>
      </c>
      <c r="H77" s="571"/>
    </row>
    <row r="78" spans="2:9" ht="24" x14ac:dyDescent="0.2">
      <c r="B78" s="312" t="s">
        <v>604</v>
      </c>
      <c r="C78" s="409" t="s">
        <v>718</v>
      </c>
      <c r="D78" s="207" t="s">
        <v>95</v>
      </c>
      <c r="E78" s="353">
        <v>76</v>
      </c>
      <c r="F78" s="467">
        <v>0</v>
      </c>
      <c r="G78" s="352">
        <f t="shared" si="2"/>
        <v>0</v>
      </c>
      <c r="H78" s="571"/>
    </row>
    <row r="79" spans="2:9" ht="192" x14ac:dyDescent="0.2">
      <c r="B79" s="312" t="s">
        <v>606</v>
      </c>
      <c r="C79" s="1384" t="s">
        <v>1759</v>
      </c>
      <c r="D79" s="1367" t="s">
        <v>149</v>
      </c>
      <c r="E79" s="1359">
        <v>1</v>
      </c>
      <c r="F79" s="467">
        <v>0</v>
      </c>
      <c r="G79" s="1361">
        <f t="shared" si="2"/>
        <v>0</v>
      </c>
      <c r="H79" s="571"/>
    </row>
    <row r="80" spans="2:9" ht="36" x14ac:dyDescent="0.2">
      <c r="B80" s="411">
        <v>32</v>
      </c>
      <c r="C80" s="410" t="s">
        <v>151</v>
      </c>
      <c r="D80" s="222" t="s">
        <v>112</v>
      </c>
      <c r="E80" s="472">
        <v>14</v>
      </c>
      <c r="F80" s="467">
        <v>0</v>
      </c>
      <c r="G80" s="352">
        <f t="shared" si="2"/>
        <v>0</v>
      </c>
    </row>
    <row r="81" spans="1:8" ht="36" x14ac:dyDescent="0.2">
      <c r="B81" s="131">
        <v>33</v>
      </c>
      <c r="C81" s="1366" t="s">
        <v>152</v>
      </c>
      <c r="D81" s="1367" t="s">
        <v>149</v>
      </c>
      <c r="E81" s="1359">
        <v>55</v>
      </c>
      <c r="F81" s="467">
        <v>0</v>
      </c>
      <c r="G81" s="1361">
        <f t="shared" si="2"/>
        <v>0</v>
      </c>
    </row>
    <row r="82" spans="1:8" ht="36" x14ac:dyDescent="0.2">
      <c r="B82" s="411">
        <v>34</v>
      </c>
      <c r="C82" s="223" t="s">
        <v>153</v>
      </c>
      <c r="D82" s="222" t="s">
        <v>112</v>
      </c>
      <c r="E82" s="472">
        <v>11</v>
      </c>
      <c r="F82" s="467">
        <v>0</v>
      </c>
      <c r="G82" s="352">
        <f t="shared" si="2"/>
        <v>0</v>
      </c>
    </row>
    <row r="83" spans="1:8" ht="24" x14ac:dyDescent="0.2">
      <c r="B83" s="131">
        <v>35</v>
      </c>
      <c r="C83" s="223" t="s">
        <v>155</v>
      </c>
      <c r="D83" s="222" t="s">
        <v>156</v>
      </c>
      <c r="E83" s="472">
        <v>25</v>
      </c>
      <c r="F83" s="467">
        <v>0</v>
      </c>
      <c r="G83" s="352">
        <f t="shared" si="2"/>
        <v>0</v>
      </c>
    </row>
    <row r="84" spans="1:8" s="147" customFormat="1" ht="21.75" customHeight="1" x14ac:dyDescent="0.25">
      <c r="B84" s="327" t="s">
        <v>12</v>
      </c>
      <c r="C84" s="214" t="s">
        <v>157</v>
      </c>
      <c r="D84" s="224"/>
      <c r="E84" s="215"/>
      <c r="F84" s="216"/>
      <c r="G84" s="290">
        <f>SUM(G42:G83)</f>
        <v>0</v>
      </c>
      <c r="H84" s="150"/>
    </row>
    <row r="85" spans="1:8" x14ac:dyDescent="0.2">
      <c r="B85" s="129"/>
      <c r="C85" s="197"/>
      <c r="D85" s="198"/>
      <c r="E85" s="353"/>
      <c r="F85" s="358"/>
      <c r="G85" s="350"/>
    </row>
    <row r="86" spans="1:8" ht="24" x14ac:dyDescent="0.2">
      <c r="B86" s="128" t="s">
        <v>83</v>
      </c>
      <c r="C86" s="192" t="s">
        <v>89</v>
      </c>
      <c r="D86" s="192" t="s">
        <v>90</v>
      </c>
      <c r="E86" s="194" t="s">
        <v>91</v>
      </c>
      <c r="F86" s="195" t="s">
        <v>92</v>
      </c>
      <c r="G86" s="196" t="s">
        <v>93</v>
      </c>
    </row>
    <row r="87" spans="1:8" x14ac:dyDescent="0.2">
      <c r="B87" s="129"/>
      <c r="C87" s="197"/>
      <c r="D87" s="207"/>
      <c r="E87" s="353"/>
      <c r="F87" s="358"/>
      <c r="G87" s="350"/>
    </row>
    <row r="88" spans="1:8" s="295" customFormat="1" ht="20.25" x14ac:dyDescent="0.3">
      <c r="B88" s="296" t="s">
        <v>17</v>
      </c>
      <c r="C88" s="297" t="s">
        <v>158</v>
      </c>
      <c r="D88" s="298"/>
      <c r="E88" s="299"/>
      <c r="F88" s="300"/>
      <c r="G88" s="301"/>
      <c r="H88" s="570"/>
    </row>
    <row r="89" spans="1:8" s="139" customFormat="1" ht="18" customHeight="1" x14ac:dyDescent="0.2">
      <c r="A89" s="140"/>
      <c r="B89" s="143" t="s">
        <v>1</v>
      </c>
      <c r="C89" s="168"/>
      <c r="D89" s="170"/>
      <c r="E89" s="170"/>
      <c r="F89" s="170"/>
      <c r="G89" s="169"/>
    </row>
    <row r="90" spans="1:8" s="139" customFormat="1" ht="18" customHeight="1" x14ac:dyDescent="0.25">
      <c r="A90" s="141"/>
      <c r="B90" s="144" t="s">
        <v>2</v>
      </c>
      <c r="C90" s="171"/>
      <c r="D90" s="172"/>
      <c r="E90" s="173"/>
      <c r="F90" s="173"/>
      <c r="G90" s="172"/>
    </row>
    <row r="91" spans="1:8" s="139" customFormat="1" ht="18" customHeight="1" x14ac:dyDescent="0.2">
      <c r="A91" s="140"/>
      <c r="B91" s="143" t="s">
        <v>3</v>
      </c>
      <c r="C91" s="168"/>
      <c r="D91" s="170"/>
      <c r="E91" s="170"/>
      <c r="F91" s="170"/>
      <c r="G91" s="169"/>
    </row>
    <row r="92" spans="1:8" s="139" customFormat="1" ht="18" customHeight="1" x14ac:dyDescent="0.25">
      <c r="A92" s="141"/>
      <c r="B92" s="144" t="s">
        <v>4</v>
      </c>
      <c r="C92" s="171"/>
      <c r="D92" s="173"/>
      <c r="E92" s="173"/>
      <c r="F92" s="173"/>
      <c r="G92" s="172"/>
    </row>
    <row r="93" spans="1:8" s="130" customFormat="1" ht="18.75" customHeight="1" x14ac:dyDescent="0.2">
      <c r="B93" s="3184" t="s">
        <v>159</v>
      </c>
      <c r="C93" s="3185"/>
      <c r="D93" s="3185"/>
      <c r="E93" s="3185"/>
      <c r="F93" s="3185"/>
      <c r="G93" s="3186"/>
      <c r="H93" s="565"/>
    </row>
    <row r="94" spans="1:8" s="130" customFormat="1" ht="18.75" customHeight="1" x14ac:dyDescent="0.2">
      <c r="B94" s="3184" t="s">
        <v>160</v>
      </c>
      <c r="C94" s="3185"/>
      <c r="D94" s="3185"/>
      <c r="E94" s="3185"/>
      <c r="F94" s="3185"/>
      <c r="G94" s="3186"/>
      <c r="H94" s="565"/>
    </row>
    <row r="95" spans="1:8" s="130" customFormat="1" ht="18.75" customHeight="1" x14ac:dyDescent="0.2">
      <c r="B95" s="3184" t="s">
        <v>161</v>
      </c>
      <c r="C95" s="3185"/>
      <c r="D95" s="3185"/>
      <c r="E95" s="3185"/>
      <c r="F95" s="3185"/>
      <c r="G95" s="3186"/>
      <c r="H95" s="565"/>
    </row>
    <row r="96" spans="1:8" ht="30" customHeight="1" x14ac:dyDescent="0.2">
      <c r="B96" s="153">
        <v>1</v>
      </c>
      <c r="C96" s="1806" t="s">
        <v>162</v>
      </c>
      <c r="D96" s="226"/>
      <c r="E96" s="353"/>
      <c r="F96" s="358"/>
      <c r="G96" s="350"/>
    </row>
    <row r="97" spans="1:9" s="147" customFormat="1" ht="18.75" customHeight="1" x14ac:dyDescent="0.25">
      <c r="B97" s="148"/>
      <c r="C97" s="1823" t="s">
        <v>1720</v>
      </c>
      <c r="D97" s="1367" t="s">
        <v>95</v>
      </c>
      <c r="E97" s="1359">
        <v>552</v>
      </c>
      <c r="F97" s="1360">
        <v>0</v>
      </c>
      <c r="G97" s="1361">
        <f>E97*F97</f>
        <v>0</v>
      </c>
      <c r="H97" s="150"/>
      <c r="I97" s="490"/>
    </row>
    <row r="98" spans="1:9" s="147" customFormat="1" ht="27" customHeight="1" x14ac:dyDescent="0.25">
      <c r="B98" s="148"/>
      <c r="C98" s="1823" t="s">
        <v>1721</v>
      </c>
      <c r="D98" s="1367" t="s">
        <v>95</v>
      </c>
      <c r="E98" s="1359">
        <v>61</v>
      </c>
      <c r="F98" s="1360">
        <v>0</v>
      </c>
      <c r="G98" s="1361">
        <f>E98*F98</f>
        <v>0</v>
      </c>
      <c r="H98" s="150"/>
      <c r="I98" s="490"/>
    </row>
    <row r="99" spans="1:9" s="147" customFormat="1" ht="18.75" customHeight="1" x14ac:dyDescent="0.25">
      <c r="B99" s="148"/>
      <c r="C99" s="1807" t="s">
        <v>723</v>
      </c>
      <c r="D99" s="226" t="s">
        <v>95</v>
      </c>
      <c r="E99" s="353">
        <v>1951</v>
      </c>
      <c r="F99" s="1360">
        <v>0</v>
      </c>
      <c r="G99" s="352">
        <f>E99*F99</f>
        <v>0</v>
      </c>
      <c r="H99" s="150"/>
      <c r="I99" s="490"/>
    </row>
    <row r="100" spans="1:9" s="147" customFormat="1" ht="27" customHeight="1" x14ac:dyDescent="0.25">
      <c r="B100" s="148"/>
      <c r="C100" s="1807" t="s">
        <v>835</v>
      </c>
      <c r="D100" s="226" t="s">
        <v>95</v>
      </c>
      <c r="E100" s="353">
        <v>217</v>
      </c>
      <c r="F100" s="1360">
        <v>0</v>
      </c>
      <c r="G100" s="352">
        <f>E100*F100</f>
        <v>0</v>
      </c>
      <c r="H100" s="150"/>
      <c r="I100" s="490"/>
    </row>
    <row r="101" spans="1:9" s="147" customFormat="1" ht="18.75" customHeight="1" x14ac:dyDescent="0.25">
      <c r="B101" s="148"/>
      <c r="C101" s="1807" t="s">
        <v>1766</v>
      </c>
      <c r="D101" s="226" t="s">
        <v>95</v>
      </c>
      <c r="E101" s="353">
        <v>86</v>
      </c>
      <c r="F101" s="1360">
        <v>0</v>
      </c>
      <c r="G101" s="352">
        <f t="shared" ref="G101:G108" si="4">E101*F101</f>
        <v>0</v>
      </c>
      <c r="H101" s="150"/>
      <c r="I101" s="490"/>
    </row>
    <row r="102" spans="1:9" s="147" customFormat="1" ht="27" customHeight="1" x14ac:dyDescent="0.25">
      <c r="B102" s="148"/>
      <c r="C102" s="1807" t="s">
        <v>1767</v>
      </c>
      <c r="D102" s="226" t="s">
        <v>95</v>
      </c>
      <c r="E102" s="353">
        <v>10</v>
      </c>
      <c r="F102" s="1360">
        <v>0</v>
      </c>
      <c r="G102" s="352">
        <f t="shared" si="4"/>
        <v>0</v>
      </c>
      <c r="H102" s="150"/>
      <c r="I102" s="490"/>
    </row>
    <row r="103" spans="1:9" s="147" customFormat="1" ht="18.75" customHeight="1" x14ac:dyDescent="0.25">
      <c r="B103" s="148"/>
      <c r="C103" s="1807" t="s">
        <v>821</v>
      </c>
      <c r="D103" s="226" t="s">
        <v>95</v>
      </c>
      <c r="E103" s="353">
        <v>1148</v>
      </c>
      <c r="F103" s="1360">
        <v>0</v>
      </c>
      <c r="G103" s="352">
        <f t="shared" si="4"/>
        <v>0</v>
      </c>
      <c r="H103" s="150"/>
      <c r="I103" s="490"/>
    </row>
    <row r="104" spans="1:9" ht="27" customHeight="1" x14ac:dyDescent="0.2">
      <c r="A104" s="130"/>
      <c r="B104" s="148"/>
      <c r="C104" s="1807" t="s">
        <v>822</v>
      </c>
      <c r="D104" s="226" t="s">
        <v>95</v>
      </c>
      <c r="E104" s="353">
        <v>128</v>
      </c>
      <c r="F104" s="1360">
        <v>0</v>
      </c>
      <c r="G104" s="352">
        <f t="shared" si="4"/>
        <v>0</v>
      </c>
    </row>
    <row r="105" spans="1:9" s="147" customFormat="1" ht="18.75" customHeight="1" x14ac:dyDescent="0.25">
      <c r="B105" s="148"/>
      <c r="C105" s="1807" t="s">
        <v>1733</v>
      </c>
      <c r="D105" s="226" t="s">
        <v>95</v>
      </c>
      <c r="E105" s="353">
        <v>446</v>
      </c>
      <c r="F105" s="1360">
        <v>0</v>
      </c>
      <c r="G105" s="352">
        <f t="shared" si="4"/>
        <v>0</v>
      </c>
      <c r="H105" s="150"/>
      <c r="I105" s="490"/>
    </row>
    <row r="106" spans="1:9" ht="27.75" customHeight="1" x14ac:dyDescent="0.2">
      <c r="A106" s="130"/>
      <c r="B106" s="148"/>
      <c r="C106" s="1807" t="s">
        <v>1734</v>
      </c>
      <c r="D106" s="226" t="s">
        <v>95</v>
      </c>
      <c r="E106" s="353">
        <v>50</v>
      </c>
      <c r="F106" s="1360">
        <v>0</v>
      </c>
      <c r="G106" s="352">
        <f t="shared" si="4"/>
        <v>0</v>
      </c>
    </row>
    <row r="107" spans="1:9" s="147" customFormat="1" ht="18.75" customHeight="1" x14ac:dyDescent="0.25">
      <c r="B107" s="148"/>
      <c r="C107" s="1807" t="s">
        <v>165</v>
      </c>
      <c r="D107" s="226" t="s">
        <v>95</v>
      </c>
      <c r="E107" s="353">
        <v>671</v>
      </c>
      <c r="F107" s="1360">
        <v>0</v>
      </c>
      <c r="G107" s="352">
        <f t="shared" si="4"/>
        <v>0</v>
      </c>
      <c r="H107" s="150"/>
      <c r="I107" s="490"/>
    </row>
    <row r="108" spans="1:9" s="147" customFormat="1" ht="27" customHeight="1" x14ac:dyDescent="0.25">
      <c r="B108" s="148"/>
      <c r="C108" s="1807" t="s">
        <v>166</v>
      </c>
      <c r="D108" s="226" t="s">
        <v>95</v>
      </c>
      <c r="E108" s="353">
        <v>74</v>
      </c>
      <c r="F108" s="1360">
        <v>0</v>
      </c>
      <c r="G108" s="352">
        <f t="shared" si="4"/>
        <v>0</v>
      </c>
      <c r="H108" s="150"/>
      <c r="I108" s="490"/>
    </row>
    <row r="109" spans="1:9" s="147" customFormat="1" ht="36" x14ac:dyDescent="0.2">
      <c r="A109" s="121"/>
      <c r="B109" s="3181" t="s">
        <v>167</v>
      </c>
      <c r="C109" s="310" t="s">
        <v>168</v>
      </c>
      <c r="D109" s="221"/>
      <c r="E109" s="353"/>
      <c r="F109" s="467"/>
      <c r="G109" s="352"/>
      <c r="H109" s="150"/>
    </row>
    <row r="110" spans="1:9" s="147" customFormat="1" x14ac:dyDescent="0.2">
      <c r="A110" s="121"/>
      <c r="B110" s="3182"/>
      <c r="C110" s="291" t="s">
        <v>169</v>
      </c>
      <c r="D110" s="221" t="s">
        <v>95</v>
      </c>
      <c r="E110" s="353">
        <v>200</v>
      </c>
      <c r="F110" s="467">
        <v>0</v>
      </c>
      <c r="G110" s="352">
        <f t="shared" ref="G110:G114" si="5">E110*F110</f>
        <v>0</v>
      </c>
      <c r="H110" s="150"/>
    </row>
    <row r="111" spans="1:9" x14ac:dyDescent="0.2">
      <c r="B111" s="3182"/>
      <c r="C111" s="291" t="s">
        <v>170</v>
      </c>
      <c r="D111" s="221" t="s">
        <v>95</v>
      </c>
      <c r="E111" s="353">
        <v>40</v>
      </c>
      <c r="F111" s="467">
        <v>0</v>
      </c>
      <c r="G111" s="352">
        <f t="shared" si="5"/>
        <v>0</v>
      </c>
    </row>
    <row r="112" spans="1:9" s="147" customFormat="1" x14ac:dyDescent="0.2">
      <c r="A112" s="121"/>
      <c r="B112" s="3182"/>
      <c r="C112" s="291" t="s">
        <v>171</v>
      </c>
      <c r="D112" s="221" t="s">
        <v>95</v>
      </c>
      <c r="E112" s="353">
        <v>40</v>
      </c>
      <c r="F112" s="467">
        <v>0</v>
      </c>
      <c r="G112" s="352">
        <f t="shared" si="5"/>
        <v>0</v>
      </c>
      <c r="H112" s="150"/>
    </row>
    <row r="113" spans="1:8" s="147" customFormat="1" ht="60" x14ac:dyDescent="0.2">
      <c r="A113" s="121"/>
      <c r="B113" s="1373" t="s">
        <v>622</v>
      </c>
      <c r="C113" s="310" t="s">
        <v>1768</v>
      </c>
      <c r="D113" s="221" t="s">
        <v>95</v>
      </c>
      <c r="E113" s="353">
        <v>27</v>
      </c>
      <c r="F113" s="467">
        <v>0</v>
      </c>
      <c r="G113" s="352">
        <f t="shared" si="5"/>
        <v>0</v>
      </c>
      <c r="H113" s="150"/>
    </row>
    <row r="114" spans="1:8" s="147" customFormat="1" ht="36" x14ac:dyDescent="0.2">
      <c r="A114" s="121"/>
      <c r="B114" s="154">
        <v>2</v>
      </c>
      <c r="C114" s="227" t="s">
        <v>172</v>
      </c>
      <c r="D114" s="209" t="s">
        <v>95</v>
      </c>
      <c r="E114" s="348">
        <f>E97+E98+E99+E100+E101+E102+E103+E104+E105+E106+E107+E108</f>
        <v>5394</v>
      </c>
      <c r="F114" s="467">
        <v>0</v>
      </c>
      <c r="G114" s="352">
        <f t="shared" si="5"/>
        <v>0</v>
      </c>
      <c r="H114" s="150"/>
    </row>
    <row r="115" spans="1:8" s="136" customFormat="1" ht="36" x14ac:dyDescent="0.2">
      <c r="A115" s="147"/>
      <c r="B115" s="309" t="s">
        <v>173</v>
      </c>
      <c r="C115" s="227" t="s">
        <v>174</v>
      </c>
      <c r="D115" s="209" t="s">
        <v>95</v>
      </c>
      <c r="E115" s="348">
        <f>E97+E98+E99+E100+E101+E102+E103+E104+E105+E106+E107+E108</f>
        <v>5394</v>
      </c>
      <c r="F115" s="467">
        <v>0</v>
      </c>
      <c r="G115" s="352">
        <f>E115*F115</f>
        <v>0</v>
      </c>
      <c r="H115" s="565"/>
    </row>
    <row r="116" spans="1:8" s="136" customFormat="1" ht="24" x14ac:dyDescent="0.2">
      <c r="A116" s="147"/>
      <c r="B116" s="309" t="s">
        <v>175</v>
      </c>
      <c r="C116" s="227" t="s">
        <v>176</v>
      </c>
      <c r="D116" s="209" t="s">
        <v>95</v>
      </c>
      <c r="E116" s="348">
        <f>SUM(E97:E108)</f>
        <v>5394</v>
      </c>
      <c r="F116" s="467">
        <v>0</v>
      </c>
      <c r="G116" s="352">
        <f>E116*F116</f>
        <v>0</v>
      </c>
      <c r="H116" s="565"/>
    </row>
    <row r="117" spans="1:8" s="136" customFormat="1" ht="36" x14ac:dyDescent="0.2">
      <c r="A117" s="121"/>
      <c r="B117" s="309" t="s">
        <v>177</v>
      </c>
      <c r="C117" s="227" t="s">
        <v>178</v>
      </c>
      <c r="D117" s="209" t="s">
        <v>95</v>
      </c>
      <c r="E117" s="348">
        <f>SUM(E97:E108)</f>
        <v>5394</v>
      </c>
      <c r="F117" s="467">
        <v>0</v>
      </c>
      <c r="G117" s="352">
        <f>E117*F117</f>
        <v>0</v>
      </c>
      <c r="H117" s="565"/>
    </row>
    <row r="118" spans="1:8" s="136" customFormat="1" ht="24" x14ac:dyDescent="0.2">
      <c r="A118" s="147"/>
      <c r="B118" s="153">
        <v>3</v>
      </c>
      <c r="C118" s="264" t="s">
        <v>179</v>
      </c>
      <c r="D118" s="231"/>
      <c r="E118" s="232"/>
      <c r="F118" s="233">
        <v>0</v>
      </c>
      <c r="G118" s="234"/>
      <c r="H118" s="565"/>
    </row>
    <row r="119" spans="1:8" s="136" customFormat="1" x14ac:dyDescent="0.2">
      <c r="A119" s="147"/>
      <c r="B119" s="292" t="s">
        <v>180</v>
      </c>
      <c r="C119" s="1808" t="s">
        <v>181</v>
      </c>
      <c r="D119" s="231"/>
      <c r="E119" s="232"/>
      <c r="F119" s="233"/>
      <c r="G119" s="234"/>
      <c r="H119" s="565"/>
    </row>
    <row r="120" spans="1:8" s="136" customFormat="1" x14ac:dyDescent="0.2">
      <c r="B120" s="129"/>
      <c r="C120" s="1808" t="s">
        <v>182</v>
      </c>
      <c r="D120" s="231"/>
      <c r="E120" s="232"/>
      <c r="F120" s="233"/>
      <c r="G120" s="234"/>
      <c r="H120" s="565"/>
    </row>
    <row r="121" spans="1:8" s="136" customFormat="1" x14ac:dyDescent="0.2">
      <c r="B121" s="152"/>
      <c r="C121" s="1826" t="s">
        <v>183</v>
      </c>
      <c r="D121" s="236" t="s">
        <v>149</v>
      </c>
      <c r="E121" s="232">
        <v>10</v>
      </c>
      <c r="F121" s="271">
        <v>0</v>
      </c>
      <c r="G121" s="272">
        <f t="shared" ref="G121:G122" si="6">E121*F121</f>
        <v>0</v>
      </c>
      <c r="H121" s="565"/>
    </row>
    <row r="122" spans="1:8" s="136" customFormat="1" x14ac:dyDescent="0.2">
      <c r="B122" s="152"/>
      <c r="C122" s="1826" t="s">
        <v>184</v>
      </c>
      <c r="D122" s="236" t="s">
        <v>149</v>
      </c>
      <c r="E122" s="232">
        <v>5</v>
      </c>
      <c r="F122" s="271">
        <v>0</v>
      </c>
      <c r="G122" s="272">
        <f t="shared" si="6"/>
        <v>0</v>
      </c>
      <c r="H122" s="565"/>
    </row>
    <row r="123" spans="1:8" s="136" customFormat="1" x14ac:dyDescent="0.2">
      <c r="B123" s="129"/>
      <c r="C123" s="1808" t="s">
        <v>836</v>
      </c>
      <c r="D123" s="231"/>
      <c r="E123" s="232"/>
      <c r="F123" s="233"/>
      <c r="G123" s="234"/>
      <c r="H123" s="565"/>
    </row>
    <row r="124" spans="1:8" s="136" customFormat="1" x14ac:dyDescent="0.2">
      <c r="B124" s="152"/>
      <c r="C124" s="1810" t="s">
        <v>837</v>
      </c>
      <c r="D124" s="236" t="s">
        <v>149</v>
      </c>
      <c r="E124" s="232">
        <v>16</v>
      </c>
      <c r="F124" s="271">
        <v>0</v>
      </c>
      <c r="G124" s="272">
        <f t="shared" ref="G124:G125" si="7">E124*F124</f>
        <v>0</v>
      </c>
      <c r="H124" s="565"/>
    </row>
    <row r="125" spans="1:8" s="136" customFormat="1" x14ac:dyDescent="0.2">
      <c r="B125" s="152"/>
      <c r="C125" s="1810" t="s">
        <v>900</v>
      </c>
      <c r="D125" s="236" t="s">
        <v>149</v>
      </c>
      <c r="E125" s="232">
        <v>6</v>
      </c>
      <c r="F125" s="271">
        <v>0</v>
      </c>
      <c r="G125" s="272">
        <f t="shared" si="7"/>
        <v>0</v>
      </c>
      <c r="H125" s="565"/>
    </row>
    <row r="126" spans="1:8" s="136" customFormat="1" x14ac:dyDescent="0.2">
      <c r="B126" s="292" t="s">
        <v>188</v>
      </c>
      <c r="C126" s="238" t="s">
        <v>189</v>
      </c>
      <c r="D126" s="239"/>
      <c r="E126" s="240"/>
      <c r="F126" s="241">
        <v>0</v>
      </c>
      <c r="G126" s="242"/>
      <c r="H126" s="565"/>
    </row>
    <row r="127" spans="1:8" s="136" customFormat="1" x14ac:dyDescent="0.2">
      <c r="B127" s="135"/>
      <c r="C127" s="238" t="s">
        <v>190</v>
      </c>
      <c r="D127" s="239"/>
      <c r="E127" s="240"/>
      <c r="F127" s="241">
        <v>0</v>
      </c>
      <c r="G127" s="242"/>
      <c r="H127" s="565"/>
    </row>
    <row r="128" spans="1:8" s="136" customFormat="1" x14ac:dyDescent="0.2">
      <c r="B128" s="135"/>
      <c r="C128" s="243" t="s">
        <v>191</v>
      </c>
      <c r="D128" s="239" t="s">
        <v>149</v>
      </c>
      <c r="E128" s="240">
        <v>1</v>
      </c>
      <c r="F128" s="273">
        <v>0</v>
      </c>
      <c r="G128" s="274">
        <f t="shared" ref="G128:G135" si="8">E128*F128</f>
        <v>0</v>
      </c>
      <c r="H128" s="565"/>
    </row>
    <row r="129" spans="2:8" s="136" customFormat="1" ht="36" x14ac:dyDescent="0.2">
      <c r="B129" s="135"/>
      <c r="C129" s="244" t="s">
        <v>192</v>
      </c>
      <c r="D129" s="239" t="s">
        <v>149</v>
      </c>
      <c r="E129" s="240">
        <v>1</v>
      </c>
      <c r="F129" s="273">
        <v>0</v>
      </c>
      <c r="G129" s="274">
        <f t="shared" si="8"/>
        <v>0</v>
      </c>
      <c r="H129" s="565"/>
    </row>
    <row r="130" spans="2:8" s="136" customFormat="1" x14ac:dyDescent="0.2">
      <c r="B130" s="135"/>
      <c r="C130" s="244" t="s">
        <v>193</v>
      </c>
      <c r="D130" s="239" t="s">
        <v>149</v>
      </c>
      <c r="E130" s="240">
        <v>1</v>
      </c>
      <c r="F130" s="273">
        <v>0</v>
      </c>
      <c r="G130" s="274">
        <f t="shared" si="8"/>
        <v>0</v>
      </c>
      <c r="H130" s="565"/>
    </row>
    <row r="131" spans="2:8" s="136" customFormat="1" x14ac:dyDescent="0.2">
      <c r="B131" s="135"/>
      <c r="C131" s="244" t="s">
        <v>194</v>
      </c>
      <c r="D131" s="239" t="s">
        <v>149</v>
      </c>
      <c r="E131" s="240">
        <v>1</v>
      </c>
      <c r="F131" s="273">
        <v>0</v>
      </c>
      <c r="G131" s="274">
        <f t="shared" si="8"/>
        <v>0</v>
      </c>
      <c r="H131" s="565"/>
    </row>
    <row r="132" spans="2:8" s="136" customFormat="1" x14ac:dyDescent="0.2">
      <c r="B132" s="135"/>
      <c r="C132" s="244" t="s">
        <v>195</v>
      </c>
      <c r="D132" s="239" t="s">
        <v>149</v>
      </c>
      <c r="E132" s="240">
        <v>2</v>
      </c>
      <c r="F132" s="273">
        <v>0</v>
      </c>
      <c r="G132" s="274">
        <f t="shared" si="8"/>
        <v>0</v>
      </c>
      <c r="H132" s="565"/>
    </row>
    <row r="133" spans="2:8" s="136" customFormat="1" x14ac:dyDescent="0.2">
      <c r="B133" s="135"/>
      <c r="C133" s="244" t="s">
        <v>196</v>
      </c>
      <c r="D133" s="239" t="s">
        <v>149</v>
      </c>
      <c r="E133" s="240">
        <v>2</v>
      </c>
      <c r="F133" s="273">
        <v>0</v>
      </c>
      <c r="G133" s="274">
        <f t="shared" si="8"/>
        <v>0</v>
      </c>
      <c r="H133" s="565"/>
    </row>
    <row r="134" spans="2:8" s="136" customFormat="1" x14ac:dyDescent="0.2">
      <c r="B134" s="135"/>
      <c r="C134" s="244" t="s">
        <v>197</v>
      </c>
      <c r="D134" s="239" t="s">
        <v>149</v>
      </c>
      <c r="E134" s="240">
        <v>1</v>
      </c>
      <c r="F134" s="273">
        <v>0</v>
      </c>
      <c r="G134" s="274">
        <f t="shared" si="8"/>
        <v>0</v>
      </c>
      <c r="H134" s="565"/>
    </row>
    <row r="135" spans="2:8" s="136" customFormat="1" x14ac:dyDescent="0.2">
      <c r="B135" s="135"/>
      <c r="C135" s="244" t="s">
        <v>198</v>
      </c>
      <c r="D135" s="239" t="s">
        <v>149</v>
      </c>
      <c r="E135" s="240">
        <v>1</v>
      </c>
      <c r="F135" s="273">
        <v>0</v>
      </c>
      <c r="G135" s="274">
        <f t="shared" si="8"/>
        <v>0</v>
      </c>
      <c r="H135" s="565"/>
    </row>
    <row r="136" spans="2:8" s="136" customFormat="1" x14ac:dyDescent="0.2">
      <c r="B136" s="135"/>
      <c r="C136" s="238" t="s">
        <v>838</v>
      </c>
      <c r="D136" s="239"/>
      <c r="E136" s="240"/>
      <c r="F136" s="273"/>
      <c r="G136" s="242"/>
      <c r="H136" s="565"/>
    </row>
    <row r="137" spans="2:8" s="136" customFormat="1" x14ac:dyDescent="0.2">
      <c r="B137" s="135"/>
      <c r="C137" s="243" t="s">
        <v>207</v>
      </c>
      <c r="D137" s="239" t="s">
        <v>149</v>
      </c>
      <c r="E137" s="240">
        <v>5</v>
      </c>
      <c r="F137" s="273">
        <v>0</v>
      </c>
      <c r="G137" s="274">
        <f t="shared" ref="G137:G144" si="9">E137*F137</f>
        <v>0</v>
      </c>
      <c r="H137" s="565"/>
    </row>
    <row r="138" spans="2:8" s="136" customFormat="1" ht="36" x14ac:dyDescent="0.2">
      <c r="B138" s="135"/>
      <c r="C138" s="244" t="s">
        <v>192</v>
      </c>
      <c r="D138" s="239" t="s">
        <v>149</v>
      </c>
      <c r="E138" s="240">
        <v>5</v>
      </c>
      <c r="F138" s="273">
        <v>0</v>
      </c>
      <c r="G138" s="274">
        <f t="shared" si="9"/>
        <v>0</v>
      </c>
      <c r="H138" s="565"/>
    </row>
    <row r="139" spans="2:8" s="136" customFormat="1" x14ac:dyDescent="0.2">
      <c r="B139" s="135"/>
      <c r="C139" s="244" t="s">
        <v>193</v>
      </c>
      <c r="D139" s="239" t="s">
        <v>149</v>
      </c>
      <c r="E139" s="240">
        <v>5</v>
      </c>
      <c r="F139" s="273">
        <v>0</v>
      </c>
      <c r="G139" s="274">
        <f t="shared" si="9"/>
        <v>0</v>
      </c>
      <c r="H139" s="565"/>
    </row>
    <row r="140" spans="2:8" s="136" customFormat="1" x14ac:dyDescent="0.2">
      <c r="B140" s="135"/>
      <c r="C140" s="244" t="s">
        <v>194</v>
      </c>
      <c r="D140" s="239" t="s">
        <v>149</v>
      </c>
      <c r="E140" s="240">
        <v>5</v>
      </c>
      <c r="F140" s="273">
        <v>0</v>
      </c>
      <c r="G140" s="274">
        <f t="shared" si="9"/>
        <v>0</v>
      </c>
      <c r="H140" s="565"/>
    </row>
    <row r="141" spans="2:8" s="136" customFormat="1" x14ac:dyDescent="0.2">
      <c r="B141" s="135"/>
      <c r="C141" s="244" t="s">
        <v>235</v>
      </c>
      <c r="D141" s="239" t="s">
        <v>149</v>
      </c>
      <c r="E141" s="240">
        <v>10</v>
      </c>
      <c r="F141" s="273">
        <v>0</v>
      </c>
      <c r="G141" s="274">
        <f t="shared" si="9"/>
        <v>0</v>
      </c>
      <c r="H141" s="565"/>
    </row>
    <row r="142" spans="2:8" s="136" customFormat="1" x14ac:dyDescent="0.2">
      <c r="B142" s="135"/>
      <c r="C142" s="244" t="s">
        <v>839</v>
      </c>
      <c r="D142" s="239" t="s">
        <v>149</v>
      </c>
      <c r="E142" s="240">
        <v>10</v>
      </c>
      <c r="F142" s="273">
        <v>0</v>
      </c>
      <c r="G142" s="274">
        <f t="shared" si="9"/>
        <v>0</v>
      </c>
      <c r="H142" s="565"/>
    </row>
    <row r="143" spans="2:8" s="136" customFormat="1" x14ac:dyDescent="0.2">
      <c r="B143" s="135"/>
      <c r="C143" s="244" t="s">
        <v>197</v>
      </c>
      <c r="D143" s="239" t="s">
        <v>149</v>
      </c>
      <c r="E143" s="240">
        <v>5</v>
      </c>
      <c r="F143" s="273">
        <v>0</v>
      </c>
      <c r="G143" s="274">
        <f t="shared" si="9"/>
        <v>0</v>
      </c>
      <c r="H143" s="565"/>
    </row>
    <row r="144" spans="2:8" s="136" customFormat="1" x14ac:dyDescent="0.2">
      <c r="B144" s="135"/>
      <c r="C144" s="244" t="s">
        <v>198</v>
      </c>
      <c r="D144" s="239" t="s">
        <v>149</v>
      </c>
      <c r="E144" s="240">
        <v>5</v>
      </c>
      <c r="F144" s="273">
        <v>0</v>
      </c>
      <c r="G144" s="274">
        <f t="shared" si="9"/>
        <v>0</v>
      </c>
      <c r="H144" s="565"/>
    </row>
    <row r="145" spans="2:8" s="136" customFormat="1" ht="12.75" customHeight="1" x14ac:dyDescent="0.2">
      <c r="B145" s="292" t="s">
        <v>199</v>
      </c>
      <c r="C145" s="247" t="s">
        <v>200</v>
      </c>
      <c r="D145" s="202"/>
      <c r="E145" s="248"/>
      <c r="F145" s="249"/>
      <c r="G145" s="205"/>
      <c r="H145" s="565"/>
    </row>
    <row r="146" spans="2:8" s="136" customFormat="1" x14ac:dyDescent="0.2">
      <c r="B146" s="292"/>
      <c r="C146" s="247" t="s">
        <v>1769</v>
      </c>
      <c r="D146" s="202"/>
      <c r="E146" s="248"/>
      <c r="F146" s="249">
        <v>0</v>
      </c>
      <c r="G146" s="205"/>
      <c r="H146" s="565"/>
    </row>
    <row r="147" spans="2:8" s="136" customFormat="1" ht="25.5" customHeight="1" x14ac:dyDescent="0.2">
      <c r="B147" s="135"/>
      <c r="C147" s="250" t="s">
        <v>202</v>
      </c>
      <c r="D147" s="202" t="s">
        <v>149</v>
      </c>
      <c r="E147" s="248">
        <v>1</v>
      </c>
      <c r="F147" s="275">
        <v>0</v>
      </c>
      <c r="G147" s="276">
        <f t="shared" ref="G147:G151" si="10">E147*F147</f>
        <v>0</v>
      </c>
      <c r="H147" s="565"/>
    </row>
    <row r="148" spans="2:8" s="136" customFormat="1" x14ac:dyDescent="0.2">
      <c r="B148" s="135"/>
      <c r="C148" s="1813" t="s">
        <v>1723</v>
      </c>
      <c r="D148" s="202" t="s">
        <v>149</v>
      </c>
      <c r="E148" s="248">
        <v>2</v>
      </c>
      <c r="F148" s="275">
        <v>0</v>
      </c>
      <c r="G148" s="276">
        <f t="shared" si="10"/>
        <v>0</v>
      </c>
      <c r="H148" s="565"/>
    </row>
    <row r="149" spans="2:8" s="136" customFormat="1" x14ac:dyDescent="0.2">
      <c r="B149" s="135"/>
      <c r="C149" s="1813" t="s">
        <v>1770</v>
      </c>
      <c r="D149" s="202" t="s">
        <v>149</v>
      </c>
      <c r="E149" s="248">
        <v>2</v>
      </c>
      <c r="F149" s="275">
        <v>0</v>
      </c>
      <c r="G149" s="276">
        <f t="shared" si="10"/>
        <v>0</v>
      </c>
      <c r="H149" s="565"/>
    </row>
    <row r="150" spans="2:8" s="136" customFormat="1" x14ac:dyDescent="0.2">
      <c r="B150" s="135"/>
      <c r="C150" s="1813" t="s">
        <v>203</v>
      </c>
      <c r="D150" s="202" t="s">
        <v>149</v>
      </c>
      <c r="E150" s="248">
        <v>1</v>
      </c>
      <c r="F150" s="275">
        <v>0</v>
      </c>
      <c r="G150" s="276">
        <f t="shared" si="10"/>
        <v>0</v>
      </c>
      <c r="H150" s="565"/>
    </row>
    <row r="151" spans="2:8" s="136" customFormat="1" x14ac:dyDescent="0.2">
      <c r="B151" s="135"/>
      <c r="C151" s="1818" t="s">
        <v>1725</v>
      </c>
      <c r="D151" s="202" t="s">
        <v>149</v>
      </c>
      <c r="E151" s="248">
        <v>1</v>
      </c>
      <c r="F151" s="275">
        <v>0</v>
      </c>
      <c r="G151" s="276">
        <f t="shared" si="10"/>
        <v>0</v>
      </c>
      <c r="H151" s="565"/>
    </row>
    <row r="152" spans="2:8" s="136" customFormat="1" x14ac:dyDescent="0.2">
      <c r="B152" s="135"/>
      <c r="C152" s="247" t="s">
        <v>1737</v>
      </c>
      <c r="D152" s="202"/>
      <c r="E152" s="248"/>
      <c r="F152" s="275">
        <v>0</v>
      </c>
      <c r="G152" s="205"/>
      <c r="H152" s="565"/>
    </row>
    <row r="153" spans="2:8" s="136" customFormat="1" ht="25.5" customHeight="1" x14ac:dyDescent="0.2">
      <c r="B153" s="135"/>
      <c r="C153" s="250" t="s">
        <v>202</v>
      </c>
      <c r="D153" s="202" t="s">
        <v>149</v>
      </c>
      <c r="E153" s="248">
        <v>2</v>
      </c>
      <c r="F153" s="275">
        <v>0</v>
      </c>
      <c r="G153" s="276">
        <f t="shared" ref="G153:G157" si="11">E153*F153</f>
        <v>0</v>
      </c>
      <c r="H153" s="565"/>
    </row>
    <row r="154" spans="2:8" s="136" customFormat="1" x14ac:dyDescent="0.2">
      <c r="B154" s="135"/>
      <c r="C154" s="1813" t="s">
        <v>1738</v>
      </c>
      <c r="D154" s="202" t="s">
        <v>149</v>
      </c>
      <c r="E154" s="248">
        <v>4</v>
      </c>
      <c r="F154" s="275">
        <v>0</v>
      </c>
      <c r="G154" s="276">
        <f t="shared" si="11"/>
        <v>0</v>
      </c>
      <c r="H154" s="565"/>
    </row>
    <row r="155" spans="2:8" s="136" customFormat="1" x14ac:dyDescent="0.2">
      <c r="B155" s="135"/>
      <c r="C155" s="1813" t="s">
        <v>1739</v>
      </c>
      <c r="D155" s="202" t="s">
        <v>149</v>
      </c>
      <c r="E155" s="248">
        <v>4</v>
      </c>
      <c r="F155" s="275">
        <v>0</v>
      </c>
      <c r="G155" s="276">
        <f t="shared" si="11"/>
        <v>0</v>
      </c>
      <c r="H155" s="565"/>
    </row>
    <row r="156" spans="2:8" s="136" customFormat="1" x14ac:dyDescent="0.2">
      <c r="B156" s="135"/>
      <c r="C156" s="1814" t="s">
        <v>203</v>
      </c>
      <c r="D156" s="202" t="s">
        <v>149</v>
      </c>
      <c r="E156" s="248">
        <v>2</v>
      </c>
      <c r="F156" s="275">
        <v>0</v>
      </c>
      <c r="G156" s="276">
        <f t="shared" si="11"/>
        <v>0</v>
      </c>
      <c r="H156" s="565"/>
    </row>
    <row r="157" spans="2:8" s="136" customFormat="1" x14ac:dyDescent="0.2">
      <c r="B157" s="135"/>
      <c r="C157" s="1815" t="s">
        <v>198</v>
      </c>
      <c r="D157" s="202" t="s">
        <v>149</v>
      </c>
      <c r="E157" s="248">
        <v>2</v>
      </c>
      <c r="F157" s="275">
        <v>0</v>
      </c>
      <c r="G157" s="276">
        <f t="shared" si="11"/>
        <v>0</v>
      </c>
      <c r="H157" s="565"/>
    </row>
    <row r="158" spans="2:8" s="136" customFormat="1" x14ac:dyDescent="0.2">
      <c r="B158" s="292" t="s">
        <v>204</v>
      </c>
      <c r="C158" s="253" t="s">
        <v>205</v>
      </c>
      <c r="D158" s="254"/>
      <c r="E158" s="255"/>
      <c r="F158" s="256"/>
      <c r="G158" s="257"/>
      <c r="H158" s="565"/>
    </row>
    <row r="159" spans="2:8" s="136" customFormat="1" x14ac:dyDescent="0.2">
      <c r="B159" s="135"/>
      <c r="C159" s="253" t="s">
        <v>206</v>
      </c>
      <c r="D159" s="254"/>
      <c r="E159" s="255"/>
      <c r="F159" s="256">
        <v>0</v>
      </c>
      <c r="G159" s="257"/>
      <c r="H159" s="565"/>
    </row>
    <row r="160" spans="2:8" s="136" customFormat="1" x14ac:dyDescent="0.2">
      <c r="B160" s="135"/>
      <c r="C160" s="258" t="s">
        <v>207</v>
      </c>
      <c r="D160" s="254" t="s">
        <v>149</v>
      </c>
      <c r="E160" s="255">
        <v>4</v>
      </c>
      <c r="F160" s="277">
        <v>0</v>
      </c>
      <c r="G160" s="278">
        <f t="shared" ref="G160:G175" si="12">E160*F160</f>
        <v>0</v>
      </c>
      <c r="H160" s="565"/>
    </row>
    <row r="161" spans="1:8" s="136" customFormat="1" x14ac:dyDescent="0.2">
      <c r="A161" s="121"/>
      <c r="B161" s="135"/>
      <c r="C161" s="258" t="s">
        <v>208</v>
      </c>
      <c r="D161" s="254" t="s">
        <v>149</v>
      </c>
      <c r="E161" s="255">
        <v>8</v>
      </c>
      <c r="F161" s="277">
        <v>0</v>
      </c>
      <c r="G161" s="278">
        <f t="shared" si="12"/>
        <v>0</v>
      </c>
      <c r="H161" s="565"/>
    </row>
    <row r="162" spans="1:8" s="136" customFormat="1" x14ac:dyDescent="0.2">
      <c r="B162" s="135"/>
      <c r="C162" s="259" t="s">
        <v>209</v>
      </c>
      <c r="D162" s="254" t="s">
        <v>149</v>
      </c>
      <c r="E162" s="255">
        <v>4</v>
      </c>
      <c r="F162" s="277">
        <v>0</v>
      </c>
      <c r="G162" s="278">
        <f t="shared" si="12"/>
        <v>0</v>
      </c>
      <c r="H162" s="565"/>
    </row>
    <row r="163" spans="1:8" s="136" customFormat="1" x14ac:dyDescent="0.2">
      <c r="B163" s="135"/>
      <c r="C163" s="259" t="s">
        <v>210</v>
      </c>
      <c r="D163" s="254" t="s">
        <v>149</v>
      </c>
      <c r="E163" s="255">
        <v>4</v>
      </c>
      <c r="F163" s="277">
        <v>0</v>
      </c>
      <c r="G163" s="278">
        <f t="shared" si="12"/>
        <v>0</v>
      </c>
      <c r="H163" s="565"/>
    </row>
    <row r="164" spans="1:8" s="136" customFormat="1" x14ac:dyDescent="0.2">
      <c r="B164" s="135"/>
      <c r="C164" s="259" t="s">
        <v>211</v>
      </c>
      <c r="D164" s="254" t="s">
        <v>149</v>
      </c>
      <c r="E164" s="255">
        <v>4</v>
      </c>
      <c r="F164" s="277">
        <v>0</v>
      </c>
      <c r="G164" s="278">
        <f t="shared" si="12"/>
        <v>0</v>
      </c>
      <c r="H164" s="565"/>
    </row>
    <row r="165" spans="1:8" s="136" customFormat="1" x14ac:dyDescent="0.2">
      <c r="B165" s="135"/>
      <c r="C165" s="259" t="s">
        <v>212</v>
      </c>
      <c r="D165" s="254" t="s">
        <v>149</v>
      </c>
      <c r="E165" s="255">
        <v>4</v>
      </c>
      <c r="F165" s="277">
        <v>0</v>
      </c>
      <c r="G165" s="278">
        <f t="shared" si="12"/>
        <v>0</v>
      </c>
      <c r="H165" s="565"/>
    </row>
    <row r="166" spans="1:8" s="136" customFormat="1" x14ac:dyDescent="0.2">
      <c r="B166" s="135"/>
      <c r="C166" s="259" t="s">
        <v>213</v>
      </c>
      <c r="D166" s="254" t="s">
        <v>149</v>
      </c>
      <c r="E166" s="255">
        <v>4</v>
      </c>
      <c r="F166" s="277">
        <v>0</v>
      </c>
      <c r="G166" s="278">
        <f t="shared" si="12"/>
        <v>0</v>
      </c>
      <c r="H166" s="565"/>
    </row>
    <row r="167" spans="1:8" s="136" customFormat="1" x14ac:dyDescent="0.2">
      <c r="B167" s="135"/>
      <c r="C167" s="259" t="s">
        <v>214</v>
      </c>
      <c r="D167" s="254" t="s">
        <v>149</v>
      </c>
      <c r="E167" s="255">
        <v>4</v>
      </c>
      <c r="F167" s="277">
        <v>0</v>
      </c>
      <c r="G167" s="278">
        <f t="shared" si="12"/>
        <v>0</v>
      </c>
      <c r="H167" s="565"/>
    </row>
    <row r="168" spans="1:8" s="136" customFormat="1" x14ac:dyDescent="0.2">
      <c r="B168" s="135"/>
      <c r="C168" s="259" t="s">
        <v>215</v>
      </c>
      <c r="D168" s="254" t="s">
        <v>149</v>
      </c>
      <c r="E168" s="255">
        <v>4</v>
      </c>
      <c r="F168" s="277">
        <v>0</v>
      </c>
      <c r="G168" s="278">
        <f t="shared" si="12"/>
        <v>0</v>
      </c>
      <c r="H168" s="565"/>
    </row>
    <row r="169" spans="1:8" s="136" customFormat="1" x14ac:dyDescent="0.2">
      <c r="B169" s="135"/>
      <c r="C169" s="1816" t="s">
        <v>216</v>
      </c>
      <c r="D169" s="254" t="s">
        <v>149</v>
      </c>
      <c r="E169" s="255">
        <v>4</v>
      </c>
      <c r="F169" s="277">
        <v>0</v>
      </c>
      <c r="G169" s="278">
        <f t="shared" si="12"/>
        <v>0</v>
      </c>
      <c r="H169" s="565"/>
    </row>
    <row r="170" spans="1:8" s="136" customFormat="1" x14ac:dyDescent="0.2">
      <c r="B170" s="135"/>
      <c r="C170" s="1816" t="s">
        <v>217</v>
      </c>
      <c r="D170" s="254" t="s">
        <v>149</v>
      </c>
      <c r="E170" s="255">
        <v>4</v>
      </c>
      <c r="F170" s="277">
        <v>0</v>
      </c>
      <c r="G170" s="278">
        <f t="shared" si="12"/>
        <v>0</v>
      </c>
      <c r="H170" s="565"/>
    </row>
    <row r="171" spans="1:8" s="136" customFormat="1" x14ac:dyDescent="0.2">
      <c r="B171" s="135"/>
      <c r="C171" s="1816" t="s">
        <v>195</v>
      </c>
      <c r="D171" s="254" t="s">
        <v>149</v>
      </c>
      <c r="E171" s="255">
        <v>8</v>
      </c>
      <c r="F171" s="277">
        <v>0</v>
      </c>
      <c r="G171" s="278">
        <f t="shared" si="12"/>
        <v>0</v>
      </c>
      <c r="H171" s="565"/>
    </row>
    <row r="172" spans="1:8" s="136" customFormat="1" x14ac:dyDescent="0.2">
      <c r="B172" s="135"/>
      <c r="C172" s="1816" t="s">
        <v>218</v>
      </c>
      <c r="D172" s="254" t="s">
        <v>149</v>
      </c>
      <c r="E172" s="255">
        <v>8</v>
      </c>
      <c r="F172" s="277">
        <v>0</v>
      </c>
      <c r="G172" s="278">
        <f t="shared" si="12"/>
        <v>0</v>
      </c>
      <c r="H172" s="565"/>
    </row>
    <row r="173" spans="1:8" s="136" customFormat="1" x14ac:dyDescent="0.2">
      <c r="B173" s="135"/>
      <c r="C173" s="1816" t="s">
        <v>219</v>
      </c>
      <c r="D173" s="254" t="s">
        <v>149</v>
      </c>
      <c r="E173" s="255">
        <v>4</v>
      </c>
      <c r="F173" s="277">
        <v>0</v>
      </c>
      <c r="G173" s="278">
        <f t="shared" si="12"/>
        <v>0</v>
      </c>
      <c r="H173" s="565"/>
    </row>
    <row r="174" spans="1:8" s="136" customFormat="1" x14ac:dyDescent="0.2">
      <c r="B174" s="135"/>
      <c r="C174" s="1816" t="s">
        <v>227</v>
      </c>
      <c r="D174" s="254" t="s">
        <v>149</v>
      </c>
      <c r="E174" s="255">
        <v>12</v>
      </c>
      <c r="F174" s="277">
        <v>0</v>
      </c>
      <c r="G174" s="278">
        <f t="shared" si="12"/>
        <v>0</v>
      </c>
      <c r="H174" s="565"/>
    </row>
    <row r="175" spans="1:8" s="136" customFormat="1" x14ac:dyDescent="0.2">
      <c r="B175" s="135"/>
      <c r="C175" s="1817" t="s">
        <v>198</v>
      </c>
      <c r="D175" s="254" t="s">
        <v>149</v>
      </c>
      <c r="E175" s="255">
        <v>4</v>
      </c>
      <c r="F175" s="277">
        <v>0</v>
      </c>
      <c r="G175" s="278">
        <f t="shared" si="12"/>
        <v>0</v>
      </c>
      <c r="H175" s="565"/>
    </row>
    <row r="176" spans="1:8" s="136" customFormat="1" x14ac:dyDescent="0.2">
      <c r="B176" s="135"/>
      <c r="C176" s="253" t="s">
        <v>842</v>
      </c>
      <c r="D176" s="254"/>
      <c r="E176" s="255"/>
      <c r="F176" s="256">
        <v>0</v>
      </c>
      <c r="G176" s="257"/>
      <c r="H176" s="565"/>
    </row>
    <row r="177" spans="1:8" s="136" customFormat="1" x14ac:dyDescent="0.2">
      <c r="B177" s="135"/>
      <c r="C177" s="258" t="s">
        <v>207</v>
      </c>
      <c r="D177" s="254" t="s">
        <v>149</v>
      </c>
      <c r="E177" s="255">
        <v>10</v>
      </c>
      <c r="F177" s="277">
        <v>0</v>
      </c>
      <c r="G177" s="278">
        <f t="shared" ref="G177:G192" si="13">E177*F177</f>
        <v>0</v>
      </c>
      <c r="H177" s="565"/>
    </row>
    <row r="178" spans="1:8" s="136" customFormat="1" x14ac:dyDescent="0.2">
      <c r="B178" s="135"/>
      <c r="C178" s="258" t="s">
        <v>208</v>
      </c>
      <c r="D178" s="254" t="s">
        <v>149</v>
      </c>
      <c r="E178" s="255">
        <v>20</v>
      </c>
      <c r="F178" s="277">
        <v>0</v>
      </c>
      <c r="G178" s="278">
        <f t="shared" si="13"/>
        <v>0</v>
      </c>
      <c r="H178" s="565"/>
    </row>
    <row r="179" spans="1:8" s="136" customFormat="1" x14ac:dyDescent="0.2">
      <c r="B179" s="135"/>
      <c r="C179" s="259" t="s">
        <v>843</v>
      </c>
      <c r="D179" s="254" t="s">
        <v>149</v>
      </c>
      <c r="E179" s="255">
        <v>10</v>
      </c>
      <c r="F179" s="277">
        <v>0</v>
      </c>
      <c r="G179" s="278">
        <f t="shared" si="13"/>
        <v>0</v>
      </c>
      <c r="H179" s="565"/>
    </row>
    <row r="180" spans="1:8" s="136" customFormat="1" x14ac:dyDescent="0.2">
      <c r="B180" s="135"/>
      <c r="C180" s="259" t="s">
        <v>210</v>
      </c>
      <c r="D180" s="254" t="s">
        <v>149</v>
      </c>
      <c r="E180" s="255">
        <v>10</v>
      </c>
      <c r="F180" s="277">
        <v>0</v>
      </c>
      <c r="G180" s="278">
        <f t="shared" si="13"/>
        <v>0</v>
      </c>
      <c r="H180" s="565"/>
    </row>
    <row r="181" spans="1:8" s="136" customFormat="1" x14ac:dyDescent="0.2">
      <c r="B181" s="135"/>
      <c r="C181" s="259" t="s">
        <v>211</v>
      </c>
      <c r="D181" s="254" t="s">
        <v>149</v>
      </c>
      <c r="E181" s="255">
        <v>10</v>
      </c>
      <c r="F181" s="277">
        <v>0</v>
      </c>
      <c r="G181" s="278">
        <f t="shared" si="13"/>
        <v>0</v>
      </c>
      <c r="H181" s="565"/>
    </row>
    <row r="182" spans="1:8" s="136" customFormat="1" x14ac:dyDescent="0.2">
      <c r="B182" s="135"/>
      <c r="C182" s="259" t="s">
        <v>212</v>
      </c>
      <c r="D182" s="254" t="s">
        <v>149</v>
      </c>
      <c r="E182" s="255">
        <v>10</v>
      </c>
      <c r="F182" s="277">
        <v>0</v>
      </c>
      <c r="G182" s="278">
        <f t="shared" si="13"/>
        <v>0</v>
      </c>
      <c r="H182" s="565"/>
    </row>
    <row r="183" spans="1:8" s="136" customFormat="1" x14ac:dyDescent="0.2">
      <c r="B183" s="135"/>
      <c r="C183" s="259" t="s">
        <v>213</v>
      </c>
      <c r="D183" s="254" t="s">
        <v>149</v>
      </c>
      <c r="E183" s="255">
        <v>10</v>
      </c>
      <c r="F183" s="277">
        <v>0</v>
      </c>
      <c r="G183" s="278">
        <f t="shared" si="13"/>
        <v>0</v>
      </c>
      <c r="H183" s="565"/>
    </row>
    <row r="184" spans="1:8" x14ac:dyDescent="0.2">
      <c r="A184" s="136"/>
      <c r="B184" s="135"/>
      <c r="C184" s="259" t="s">
        <v>214</v>
      </c>
      <c r="D184" s="254" t="s">
        <v>149</v>
      </c>
      <c r="E184" s="255">
        <v>10</v>
      </c>
      <c r="F184" s="277">
        <v>0</v>
      </c>
      <c r="G184" s="278">
        <f t="shared" si="13"/>
        <v>0</v>
      </c>
    </row>
    <row r="185" spans="1:8" s="136" customFormat="1" x14ac:dyDescent="0.2">
      <c r="B185" s="135"/>
      <c r="C185" s="259" t="s">
        <v>215</v>
      </c>
      <c r="D185" s="254" t="s">
        <v>149</v>
      </c>
      <c r="E185" s="255">
        <v>10</v>
      </c>
      <c r="F185" s="277">
        <v>0</v>
      </c>
      <c r="G185" s="278">
        <f t="shared" si="13"/>
        <v>0</v>
      </c>
      <c r="H185" s="565"/>
    </row>
    <row r="186" spans="1:8" s="136" customFormat="1" x14ac:dyDescent="0.2">
      <c r="B186" s="135"/>
      <c r="C186" s="1816" t="s">
        <v>216</v>
      </c>
      <c r="D186" s="254" t="s">
        <v>149</v>
      </c>
      <c r="E186" s="255">
        <v>10</v>
      </c>
      <c r="F186" s="277">
        <v>0</v>
      </c>
      <c r="G186" s="278">
        <f t="shared" si="13"/>
        <v>0</v>
      </c>
      <c r="H186" s="565"/>
    </row>
    <row r="187" spans="1:8" s="136" customFormat="1" x14ac:dyDescent="0.2">
      <c r="B187" s="135"/>
      <c r="C187" s="1816" t="s">
        <v>329</v>
      </c>
      <c r="D187" s="254" t="s">
        <v>149</v>
      </c>
      <c r="E187" s="255">
        <v>10</v>
      </c>
      <c r="F187" s="277">
        <v>0</v>
      </c>
      <c r="G187" s="278">
        <f t="shared" si="13"/>
        <v>0</v>
      </c>
      <c r="H187" s="565"/>
    </row>
    <row r="188" spans="1:8" s="136" customFormat="1" x14ac:dyDescent="0.2">
      <c r="B188" s="135"/>
      <c r="C188" s="1816" t="s">
        <v>235</v>
      </c>
      <c r="D188" s="254" t="s">
        <v>149</v>
      </c>
      <c r="E188" s="255">
        <v>20</v>
      </c>
      <c r="F188" s="277">
        <v>0</v>
      </c>
      <c r="G188" s="278">
        <f t="shared" si="13"/>
        <v>0</v>
      </c>
      <c r="H188" s="565"/>
    </row>
    <row r="189" spans="1:8" s="136" customFormat="1" x14ac:dyDescent="0.2">
      <c r="B189" s="135"/>
      <c r="C189" s="1816" t="s">
        <v>236</v>
      </c>
      <c r="D189" s="254" t="s">
        <v>149</v>
      </c>
      <c r="E189" s="255">
        <v>20</v>
      </c>
      <c r="F189" s="277">
        <v>0</v>
      </c>
      <c r="G189" s="278">
        <f t="shared" si="13"/>
        <v>0</v>
      </c>
      <c r="H189" s="565"/>
    </row>
    <row r="190" spans="1:8" s="136" customFormat="1" x14ac:dyDescent="0.2">
      <c r="B190" s="135"/>
      <c r="C190" s="1816" t="s">
        <v>219</v>
      </c>
      <c r="D190" s="254" t="s">
        <v>149</v>
      </c>
      <c r="E190" s="255">
        <v>10</v>
      </c>
      <c r="F190" s="277">
        <v>0</v>
      </c>
      <c r="G190" s="278">
        <f t="shared" si="13"/>
        <v>0</v>
      </c>
      <c r="H190" s="565"/>
    </row>
    <row r="191" spans="1:8" s="136" customFormat="1" x14ac:dyDescent="0.2">
      <c r="B191" s="135"/>
      <c r="C191" s="1816" t="s">
        <v>227</v>
      </c>
      <c r="D191" s="254" t="s">
        <v>149</v>
      </c>
      <c r="E191" s="255">
        <v>30</v>
      </c>
      <c r="F191" s="277">
        <v>0</v>
      </c>
      <c r="G191" s="278">
        <f t="shared" si="13"/>
        <v>0</v>
      </c>
      <c r="H191" s="565"/>
    </row>
    <row r="192" spans="1:8" s="136" customFormat="1" x14ac:dyDescent="0.2">
      <c r="B192" s="135"/>
      <c r="C192" s="1817" t="s">
        <v>198</v>
      </c>
      <c r="D192" s="254" t="s">
        <v>149</v>
      </c>
      <c r="E192" s="255">
        <v>10</v>
      </c>
      <c r="F192" s="277">
        <v>0</v>
      </c>
      <c r="G192" s="278">
        <f t="shared" si="13"/>
        <v>0</v>
      </c>
      <c r="H192" s="565"/>
    </row>
    <row r="193" spans="2:8" s="136" customFormat="1" x14ac:dyDescent="0.2">
      <c r="B193" s="292" t="s">
        <v>220</v>
      </c>
      <c r="C193" s="238" t="s">
        <v>221</v>
      </c>
      <c r="D193" s="239"/>
      <c r="E193" s="240"/>
      <c r="F193" s="241"/>
      <c r="G193" s="242"/>
      <c r="H193" s="565"/>
    </row>
    <row r="194" spans="2:8" s="136" customFormat="1" x14ac:dyDescent="0.2">
      <c r="B194" s="135"/>
      <c r="C194" s="238" t="s">
        <v>222</v>
      </c>
      <c r="D194" s="239"/>
      <c r="E194" s="240"/>
      <c r="F194" s="241">
        <v>0</v>
      </c>
      <c r="G194" s="242"/>
      <c r="H194" s="565"/>
    </row>
    <row r="195" spans="2:8" s="136" customFormat="1" x14ac:dyDescent="0.2">
      <c r="B195" s="135"/>
      <c r="C195" s="243" t="s">
        <v>207</v>
      </c>
      <c r="D195" s="239" t="s">
        <v>149</v>
      </c>
      <c r="E195" s="240">
        <v>1</v>
      </c>
      <c r="F195" s="273">
        <v>0</v>
      </c>
      <c r="G195" s="274">
        <f t="shared" ref="G195:G205" si="14">E195*F195</f>
        <v>0</v>
      </c>
      <c r="H195" s="565"/>
    </row>
    <row r="196" spans="2:8" s="136" customFormat="1" ht="24" x14ac:dyDescent="0.2">
      <c r="B196" s="135"/>
      <c r="C196" s="244" t="s">
        <v>223</v>
      </c>
      <c r="D196" s="239" t="s">
        <v>149</v>
      </c>
      <c r="E196" s="240">
        <v>1</v>
      </c>
      <c r="F196" s="273">
        <v>0</v>
      </c>
      <c r="G196" s="274">
        <f t="shared" si="14"/>
        <v>0</v>
      </c>
      <c r="H196" s="565"/>
    </row>
    <row r="197" spans="2:8" s="136" customFormat="1" x14ac:dyDescent="0.2">
      <c r="B197" s="135"/>
      <c r="C197" s="244" t="s">
        <v>213</v>
      </c>
      <c r="D197" s="239" t="s">
        <v>149</v>
      </c>
      <c r="E197" s="240">
        <v>1</v>
      </c>
      <c r="F197" s="273">
        <v>0</v>
      </c>
      <c r="G197" s="274">
        <f t="shared" si="14"/>
        <v>0</v>
      </c>
      <c r="H197" s="565"/>
    </row>
    <row r="198" spans="2:8" s="136" customFormat="1" x14ac:dyDescent="0.2">
      <c r="B198" s="135"/>
      <c r="C198" s="244" t="s">
        <v>224</v>
      </c>
      <c r="D198" s="239" t="s">
        <v>149</v>
      </c>
      <c r="E198" s="240">
        <v>1</v>
      </c>
      <c r="F198" s="273">
        <v>0</v>
      </c>
      <c r="G198" s="274">
        <f t="shared" si="14"/>
        <v>0</v>
      </c>
      <c r="H198" s="565"/>
    </row>
    <row r="199" spans="2:8" s="136" customFormat="1" x14ac:dyDescent="0.2">
      <c r="B199" s="135"/>
      <c r="C199" s="244" t="s">
        <v>225</v>
      </c>
      <c r="D199" s="239" t="s">
        <v>149</v>
      </c>
      <c r="E199" s="240">
        <v>1</v>
      </c>
      <c r="F199" s="273">
        <v>0</v>
      </c>
      <c r="G199" s="274">
        <f t="shared" si="14"/>
        <v>0</v>
      </c>
      <c r="H199" s="565"/>
    </row>
    <row r="200" spans="2:8" s="136" customFormat="1" x14ac:dyDescent="0.2">
      <c r="B200" s="135"/>
      <c r="C200" s="1811" t="s">
        <v>226</v>
      </c>
      <c r="D200" s="239" t="s">
        <v>149</v>
      </c>
      <c r="E200" s="240">
        <v>1</v>
      </c>
      <c r="F200" s="273">
        <v>0</v>
      </c>
      <c r="G200" s="274">
        <f t="shared" si="14"/>
        <v>0</v>
      </c>
      <c r="H200" s="565"/>
    </row>
    <row r="201" spans="2:8" s="136" customFormat="1" x14ac:dyDescent="0.2">
      <c r="B201" s="135"/>
      <c r="C201" s="1811" t="s">
        <v>217</v>
      </c>
      <c r="D201" s="239" t="s">
        <v>149</v>
      </c>
      <c r="E201" s="240">
        <v>1</v>
      </c>
      <c r="F201" s="273">
        <v>0</v>
      </c>
      <c r="G201" s="274">
        <f t="shared" si="14"/>
        <v>0</v>
      </c>
      <c r="H201" s="565"/>
    </row>
    <row r="202" spans="2:8" s="136" customFormat="1" x14ac:dyDescent="0.2">
      <c r="B202" s="135"/>
      <c r="C202" s="1811" t="s">
        <v>195</v>
      </c>
      <c r="D202" s="239" t="s">
        <v>149</v>
      </c>
      <c r="E202" s="240">
        <v>2</v>
      </c>
      <c r="F202" s="273">
        <v>0</v>
      </c>
      <c r="G202" s="274">
        <f t="shared" si="14"/>
        <v>0</v>
      </c>
      <c r="H202" s="565"/>
    </row>
    <row r="203" spans="2:8" s="136" customFormat="1" x14ac:dyDescent="0.2">
      <c r="B203" s="135"/>
      <c r="C203" s="1811" t="s">
        <v>218</v>
      </c>
      <c r="D203" s="239" t="s">
        <v>149</v>
      </c>
      <c r="E203" s="240">
        <v>2</v>
      </c>
      <c r="F203" s="273">
        <v>0</v>
      </c>
      <c r="G203" s="274">
        <f t="shared" si="14"/>
        <v>0</v>
      </c>
      <c r="H203" s="565"/>
    </row>
    <row r="204" spans="2:8" s="136" customFormat="1" x14ac:dyDescent="0.2">
      <c r="B204" s="135"/>
      <c r="C204" s="1811" t="s">
        <v>227</v>
      </c>
      <c r="D204" s="239" t="s">
        <v>149</v>
      </c>
      <c r="E204" s="240">
        <v>1</v>
      </c>
      <c r="F204" s="273">
        <v>0</v>
      </c>
      <c r="G204" s="274">
        <f t="shared" si="14"/>
        <v>0</v>
      </c>
      <c r="H204" s="565"/>
    </row>
    <row r="205" spans="2:8" s="136" customFormat="1" x14ac:dyDescent="0.2">
      <c r="B205" s="135"/>
      <c r="C205" s="1812" t="s">
        <v>198</v>
      </c>
      <c r="D205" s="239" t="s">
        <v>149</v>
      </c>
      <c r="E205" s="240">
        <v>1</v>
      </c>
      <c r="F205" s="273">
        <v>0</v>
      </c>
      <c r="G205" s="274">
        <f t="shared" si="14"/>
        <v>0</v>
      </c>
      <c r="H205" s="565"/>
    </row>
    <row r="206" spans="2:8" s="136" customFormat="1" x14ac:dyDescent="0.2">
      <c r="B206" s="135"/>
      <c r="C206" s="238" t="s">
        <v>1771</v>
      </c>
      <c r="D206" s="239"/>
      <c r="E206" s="240"/>
      <c r="F206" s="241">
        <v>0</v>
      </c>
      <c r="G206" s="242"/>
      <c r="H206" s="565"/>
    </row>
    <row r="207" spans="2:8" s="136" customFormat="1" x14ac:dyDescent="0.2">
      <c r="B207" s="135"/>
      <c r="C207" s="243" t="s">
        <v>207</v>
      </c>
      <c r="D207" s="239" t="s">
        <v>149</v>
      </c>
      <c r="E207" s="240">
        <v>1</v>
      </c>
      <c r="F207" s="273">
        <v>0</v>
      </c>
      <c r="G207" s="274">
        <f t="shared" ref="G207:G218" si="15">E207*F207</f>
        <v>0</v>
      </c>
      <c r="H207" s="565"/>
    </row>
    <row r="208" spans="2:8" s="136" customFormat="1" ht="24" x14ac:dyDescent="0.2">
      <c r="B208" s="135"/>
      <c r="C208" s="244" t="s">
        <v>223</v>
      </c>
      <c r="D208" s="239" t="s">
        <v>149</v>
      </c>
      <c r="E208" s="240">
        <v>1</v>
      </c>
      <c r="F208" s="273">
        <v>0</v>
      </c>
      <c r="G208" s="274">
        <f t="shared" si="15"/>
        <v>0</v>
      </c>
      <c r="H208" s="565"/>
    </row>
    <row r="209" spans="1:8" s="136" customFormat="1" x14ac:dyDescent="0.2">
      <c r="B209" s="135"/>
      <c r="C209" s="244" t="s">
        <v>213</v>
      </c>
      <c r="D209" s="239" t="s">
        <v>149</v>
      </c>
      <c r="E209" s="240">
        <v>1</v>
      </c>
      <c r="F209" s="273">
        <v>0</v>
      </c>
      <c r="G209" s="274">
        <f t="shared" si="15"/>
        <v>0</v>
      </c>
      <c r="H209" s="565"/>
    </row>
    <row r="210" spans="1:8" s="136" customFormat="1" x14ac:dyDescent="0.2">
      <c r="B210" s="135"/>
      <c r="C210" s="244" t="s">
        <v>224</v>
      </c>
      <c r="D210" s="239" t="s">
        <v>149</v>
      </c>
      <c r="E210" s="240">
        <v>1</v>
      </c>
      <c r="F210" s="273">
        <v>0</v>
      </c>
      <c r="G210" s="274">
        <f t="shared" si="15"/>
        <v>0</v>
      </c>
      <c r="H210" s="565"/>
    </row>
    <row r="211" spans="1:8" s="136" customFormat="1" x14ac:dyDescent="0.2">
      <c r="A211" s="121"/>
      <c r="B211" s="135"/>
      <c r="C211" s="244" t="s">
        <v>225</v>
      </c>
      <c r="D211" s="239" t="s">
        <v>149</v>
      </c>
      <c r="E211" s="240">
        <v>1</v>
      </c>
      <c r="F211" s="273">
        <v>0</v>
      </c>
      <c r="G211" s="274">
        <f t="shared" si="15"/>
        <v>0</v>
      </c>
      <c r="H211" s="565"/>
    </row>
    <row r="212" spans="1:8" s="136" customFormat="1" x14ac:dyDescent="0.2">
      <c r="B212" s="135"/>
      <c r="C212" s="1811" t="s">
        <v>226</v>
      </c>
      <c r="D212" s="239" t="s">
        <v>149</v>
      </c>
      <c r="E212" s="240">
        <v>1</v>
      </c>
      <c r="F212" s="273">
        <v>0</v>
      </c>
      <c r="G212" s="274">
        <f t="shared" si="15"/>
        <v>0</v>
      </c>
      <c r="H212" s="565"/>
    </row>
    <row r="213" spans="1:8" x14ac:dyDescent="0.2">
      <c r="A213" s="147"/>
      <c r="B213" s="135"/>
      <c r="C213" s="1811" t="s">
        <v>217</v>
      </c>
      <c r="D213" s="239" t="s">
        <v>149</v>
      </c>
      <c r="E213" s="240">
        <v>1</v>
      </c>
      <c r="F213" s="273">
        <v>0</v>
      </c>
      <c r="G213" s="274">
        <f t="shared" si="15"/>
        <v>0</v>
      </c>
    </row>
    <row r="214" spans="1:8" s="136" customFormat="1" x14ac:dyDescent="0.2">
      <c r="B214" s="135"/>
      <c r="C214" s="1811" t="s">
        <v>235</v>
      </c>
      <c r="D214" s="239" t="s">
        <v>149</v>
      </c>
      <c r="E214" s="240">
        <v>2</v>
      </c>
      <c r="F214" s="273">
        <v>0</v>
      </c>
      <c r="G214" s="274">
        <f t="shared" si="15"/>
        <v>0</v>
      </c>
      <c r="H214" s="565"/>
    </row>
    <row r="215" spans="1:8" s="147" customFormat="1" x14ac:dyDescent="0.25">
      <c r="B215" s="135"/>
      <c r="C215" s="1811" t="s">
        <v>236</v>
      </c>
      <c r="D215" s="239" t="s">
        <v>149</v>
      </c>
      <c r="E215" s="240">
        <v>2</v>
      </c>
      <c r="F215" s="273">
        <v>0</v>
      </c>
      <c r="G215" s="274">
        <f t="shared" si="15"/>
        <v>0</v>
      </c>
      <c r="H215" s="150"/>
    </row>
    <row r="216" spans="1:8" x14ac:dyDescent="0.2">
      <c r="B216" s="135"/>
      <c r="C216" s="1811" t="s">
        <v>227</v>
      </c>
      <c r="D216" s="239" t="s">
        <v>149</v>
      </c>
      <c r="E216" s="240">
        <v>1</v>
      </c>
      <c r="F216" s="273">
        <v>0</v>
      </c>
      <c r="G216" s="274">
        <f t="shared" si="15"/>
        <v>0</v>
      </c>
    </row>
    <row r="217" spans="1:8" x14ac:dyDescent="0.2">
      <c r="B217" s="135"/>
      <c r="C217" s="1812" t="s">
        <v>198</v>
      </c>
      <c r="D217" s="239" t="s">
        <v>149</v>
      </c>
      <c r="E217" s="240">
        <v>1</v>
      </c>
      <c r="F217" s="273">
        <v>0</v>
      </c>
      <c r="G217" s="274">
        <f t="shared" si="15"/>
        <v>0</v>
      </c>
    </row>
    <row r="218" spans="1:8" ht="24" x14ac:dyDescent="0.2">
      <c r="B218" s="309" t="s">
        <v>228</v>
      </c>
      <c r="C218" s="238" t="s">
        <v>229</v>
      </c>
      <c r="D218" s="239" t="s">
        <v>149</v>
      </c>
      <c r="E218" s="240">
        <v>7</v>
      </c>
      <c r="F218" s="273">
        <v>0</v>
      </c>
      <c r="G218" s="274">
        <f t="shared" si="15"/>
        <v>0</v>
      </c>
    </row>
    <row r="219" spans="1:8" x14ac:dyDescent="0.2">
      <c r="B219" s="292" t="s">
        <v>330</v>
      </c>
      <c r="C219" s="247" t="s">
        <v>331</v>
      </c>
      <c r="D219" s="247"/>
      <c r="E219" s="247"/>
      <c r="F219" s="247"/>
      <c r="G219" s="247"/>
    </row>
    <row r="220" spans="1:8" x14ac:dyDescent="0.2">
      <c r="B220" s="135"/>
      <c r="C220" s="247" t="s">
        <v>1772</v>
      </c>
      <c r="D220" s="202"/>
      <c r="E220" s="248"/>
      <c r="F220" s="249">
        <v>0</v>
      </c>
      <c r="G220" s="205"/>
    </row>
    <row r="221" spans="1:8" ht="24" x14ac:dyDescent="0.2">
      <c r="B221" s="655"/>
      <c r="C221" s="1374" t="s">
        <v>1415</v>
      </c>
      <c r="D221" s="1375" t="s">
        <v>149</v>
      </c>
      <c r="E221" s="1376">
        <v>1</v>
      </c>
      <c r="F221" s="1377">
        <v>0</v>
      </c>
      <c r="G221" s="1378">
        <f t="shared" ref="G221:G225" si="16">E221*F221</f>
        <v>0</v>
      </c>
    </row>
    <row r="222" spans="1:8" x14ac:dyDescent="0.2">
      <c r="B222" s="135"/>
      <c r="C222" s="1813" t="s">
        <v>195</v>
      </c>
      <c r="D222" s="202" t="s">
        <v>149</v>
      </c>
      <c r="E222" s="248">
        <v>2</v>
      </c>
      <c r="F222" s="1377">
        <v>0</v>
      </c>
      <c r="G222" s="276">
        <f t="shared" si="16"/>
        <v>0</v>
      </c>
    </row>
    <row r="223" spans="1:8" x14ac:dyDescent="0.2">
      <c r="B223" s="135"/>
      <c r="C223" s="1813" t="s">
        <v>1723</v>
      </c>
      <c r="D223" s="202" t="s">
        <v>149</v>
      </c>
      <c r="E223" s="248">
        <v>2</v>
      </c>
      <c r="F223" s="1377">
        <v>0</v>
      </c>
      <c r="G223" s="276">
        <f t="shared" si="16"/>
        <v>0</v>
      </c>
    </row>
    <row r="224" spans="1:8" x14ac:dyDescent="0.2">
      <c r="B224" s="135"/>
      <c r="C224" s="1813" t="s">
        <v>227</v>
      </c>
      <c r="D224" s="202" t="s">
        <v>149</v>
      </c>
      <c r="E224" s="248">
        <v>1</v>
      </c>
      <c r="F224" s="1377">
        <v>0</v>
      </c>
      <c r="G224" s="276">
        <f t="shared" si="16"/>
        <v>0</v>
      </c>
    </row>
    <row r="225" spans="2:7" x14ac:dyDescent="0.2">
      <c r="B225" s="135"/>
      <c r="C225" s="1818" t="s">
        <v>1725</v>
      </c>
      <c r="D225" s="202" t="s">
        <v>149</v>
      </c>
      <c r="E225" s="248">
        <v>1</v>
      </c>
      <c r="F225" s="1377">
        <v>0</v>
      </c>
      <c r="G225" s="276">
        <f t="shared" si="16"/>
        <v>0</v>
      </c>
    </row>
    <row r="226" spans="2:7" x14ac:dyDescent="0.2">
      <c r="B226" s="135"/>
      <c r="C226" s="247" t="s">
        <v>1752</v>
      </c>
      <c r="D226" s="202"/>
      <c r="E226" s="248"/>
      <c r="F226" s="249">
        <v>0</v>
      </c>
      <c r="G226" s="205"/>
    </row>
    <row r="227" spans="2:7" ht="24" x14ac:dyDescent="0.2">
      <c r="B227" s="655"/>
      <c r="C227" s="1374" t="s">
        <v>1415</v>
      </c>
      <c r="D227" s="1375" t="s">
        <v>149</v>
      </c>
      <c r="E227" s="1376">
        <v>2</v>
      </c>
      <c r="F227" s="1377">
        <v>0</v>
      </c>
      <c r="G227" s="1378">
        <f t="shared" ref="G227:G231" si="17">E227*F227</f>
        <v>0</v>
      </c>
    </row>
    <row r="228" spans="2:7" x14ac:dyDescent="0.2">
      <c r="B228" s="135"/>
      <c r="C228" s="1814" t="s">
        <v>235</v>
      </c>
      <c r="D228" s="202" t="s">
        <v>149</v>
      </c>
      <c r="E228" s="248">
        <v>4</v>
      </c>
      <c r="F228" s="1377">
        <v>0</v>
      </c>
      <c r="G228" s="276">
        <f t="shared" si="17"/>
        <v>0</v>
      </c>
    </row>
    <row r="229" spans="2:7" x14ac:dyDescent="0.2">
      <c r="B229" s="135"/>
      <c r="C229" s="1814" t="s">
        <v>236</v>
      </c>
      <c r="D229" s="202" t="s">
        <v>149</v>
      </c>
      <c r="E229" s="248">
        <v>4</v>
      </c>
      <c r="F229" s="1377">
        <v>0</v>
      </c>
      <c r="G229" s="276">
        <f t="shared" si="17"/>
        <v>0</v>
      </c>
    </row>
    <row r="230" spans="2:7" x14ac:dyDescent="0.2">
      <c r="B230" s="135"/>
      <c r="C230" s="1814" t="s">
        <v>227</v>
      </c>
      <c r="D230" s="202" t="s">
        <v>149</v>
      </c>
      <c r="E230" s="248">
        <v>2</v>
      </c>
      <c r="F230" s="1377">
        <v>0</v>
      </c>
      <c r="G230" s="276">
        <f t="shared" si="17"/>
        <v>0</v>
      </c>
    </row>
    <row r="231" spans="2:7" x14ac:dyDescent="0.2">
      <c r="B231" s="135"/>
      <c r="C231" s="1815" t="s">
        <v>198</v>
      </c>
      <c r="D231" s="202" t="s">
        <v>149</v>
      </c>
      <c r="E231" s="248">
        <v>2</v>
      </c>
      <c r="F231" s="1377">
        <v>0</v>
      </c>
      <c r="G231" s="276">
        <f t="shared" si="17"/>
        <v>0</v>
      </c>
    </row>
    <row r="232" spans="2:7" x14ac:dyDescent="0.2">
      <c r="B232" s="292" t="s">
        <v>230</v>
      </c>
      <c r="C232" s="253" t="s">
        <v>231</v>
      </c>
      <c r="D232" s="254"/>
      <c r="E232" s="255"/>
      <c r="F232" s="256">
        <v>0</v>
      </c>
      <c r="G232" s="257"/>
    </row>
    <row r="233" spans="2:7" x14ac:dyDescent="0.2">
      <c r="B233" s="135"/>
      <c r="C233" s="253" t="s">
        <v>1724</v>
      </c>
      <c r="D233" s="254"/>
      <c r="E233" s="255"/>
      <c r="F233" s="256">
        <v>0</v>
      </c>
      <c r="G233" s="257"/>
    </row>
    <row r="234" spans="2:7" ht="24" x14ac:dyDescent="0.2">
      <c r="B234" s="655"/>
      <c r="C234" s="1379" t="s">
        <v>1097</v>
      </c>
      <c r="D234" s="1380" t="s">
        <v>149</v>
      </c>
      <c r="E234" s="1381">
        <v>3</v>
      </c>
      <c r="F234" s="1382">
        <v>0</v>
      </c>
      <c r="G234" s="1383">
        <f t="shared" ref="G234:G239" si="18">E234*F234</f>
        <v>0</v>
      </c>
    </row>
    <row r="235" spans="2:7" x14ac:dyDescent="0.2">
      <c r="B235" s="135"/>
      <c r="C235" s="1819" t="s">
        <v>354</v>
      </c>
      <c r="D235" s="254" t="s">
        <v>149</v>
      </c>
      <c r="E235" s="255">
        <v>6</v>
      </c>
      <c r="F235" s="1382">
        <v>0</v>
      </c>
      <c r="G235" s="278">
        <f t="shared" si="18"/>
        <v>0</v>
      </c>
    </row>
    <row r="236" spans="2:7" x14ac:dyDescent="0.2">
      <c r="B236" s="135"/>
      <c r="C236" s="1819" t="s">
        <v>195</v>
      </c>
      <c r="D236" s="254" t="s">
        <v>149</v>
      </c>
      <c r="E236" s="255">
        <v>3</v>
      </c>
      <c r="F236" s="1382">
        <v>0</v>
      </c>
      <c r="G236" s="278">
        <f t="shared" si="18"/>
        <v>0</v>
      </c>
    </row>
    <row r="237" spans="2:7" x14ac:dyDescent="0.2">
      <c r="B237" s="135"/>
      <c r="C237" s="1819" t="s">
        <v>1723</v>
      </c>
      <c r="D237" s="254" t="s">
        <v>149</v>
      </c>
      <c r="E237" s="255">
        <v>3</v>
      </c>
      <c r="F237" s="1382">
        <v>0</v>
      </c>
      <c r="G237" s="278">
        <f t="shared" si="18"/>
        <v>0</v>
      </c>
    </row>
    <row r="238" spans="2:7" x14ac:dyDescent="0.2">
      <c r="B238" s="135"/>
      <c r="C238" s="1819" t="s">
        <v>227</v>
      </c>
      <c r="D238" s="254" t="s">
        <v>149</v>
      </c>
      <c r="E238" s="255">
        <v>3</v>
      </c>
      <c r="F238" s="1382">
        <v>0</v>
      </c>
      <c r="G238" s="278">
        <f t="shared" si="18"/>
        <v>0</v>
      </c>
    </row>
    <row r="239" spans="2:7" x14ac:dyDescent="0.2">
      <c r="B239" s="135"/>
      <c r="C239" s="1820" t="s">
        <v>1725</v>
      </c>
      <c r="D239" s="254" t="s">
        <v>149</v>
      </c>
      <c r="E239" s="255">
        <v>3</v>
      </c>
      <c r="F239" s="1382">
        <v>0</v>
      </c>
      <c r="G239" s="278">
        <f t="shared" si="18"/>
        <v>0</v>
      </c>
    </row>
    <row r="240" spans="2:7" x14ac:dyDescent="0.2">
      <c r="B240" s="135"/>
      <c r="C240" s="253" t="s">
        <v>1773</v>
      </c>
      <c r="D240" s="254"/>
      <c r="E240" s="255"/>
      <c r="F240" s="256">
        <v>0</v>
      </c>
      <c r="G240" s="257"/>
    </row>
    <row r="241" spans="2:7" ht="24" x14ac:dyDescent="0.2">
      <c r="B241" s="655"/>
      <c r="C241" s="1379" t="s">
        <v>238</v>
      </c>
      <c r="D241" s="1380" t="s">
        <v>149</v>
      </c>
      <c r="E241" s="1381">
        <v>4</v>
      </c>
      <c r="F241" s="1382">
        <v>0</v>
      </c>
      <c r="G241" s="1383">
        <f t="shared" ref="G241:G247" si="19">E241*F241</f>
        <v>0</v>
      </c>
    </row>
    <row r="242" spans="2:7" x14ac:dyDescent="0.2">
      <c r="B242" s="135"/>
      <c r="C242" s="1819" t="s">
        <v>195</v>
      </c>
      <c r="D242" s="254" t="s">
        <v>149</v>
      </c>
      <c r="E242" s="255">
        <v>8</v>
      </c>
      <c r="F242" s="1382">
        <v>0</v>
      </c>
      <c r="G242" s="278">
        <f t="shared" si="19"/>
        <v>0</v>
      </c>
    </row>
    <row r="243" spans="2:7" x14ac:dyDescent="0.2">
      <c r="B243" s="135"/>
      <c r="C243" s="1819" t="s">
        <v>239</v>
      </c>
      <c r="D243" s="254" t="s">
        <v>149</v>
      </c>
      <c r="E243" s="255">
        <v>4</v>
      </c>
      <c r="F243" s="1382">
        <v>0</v>
      </c>
      <c r="G243" s="278">
        <f t="shared" si="19"/>
        <v>0</v>
      </c>
    </row>
    <row r="244" spans="2:7" x14ac:dyDescent="0.2">
      <c r="B244" s="135"/>
      <c r="C244" s="1819" t="s">
        <v>1723</v>
      </c>
      <c r="D244" s="254" t="s">
        <v>149</v>
      </c>
      <c r="E244" s="255">
        <v>8</v>
      </c>
      <c r="F244" s="1382">
        <v>0</v>
      </c>
      <c r="G244" s="278">
        <f t="shared" si="19"/>
        <v>0</v>
      </c>
    </row>
    <row r="245" spans="2:7" x14ac:dyDescent="0.2">
      <c r="B245" s="135"/>
      <c r="C245" s="1819" t="s">
        <v>1761</v>
      </c>
      <c r="D245" s="254" t="s">
        <v>149</v>
      </c>
      <c r="E245" s="255">
        <v>4</v>
      </c>
      <c r="F245" s="1382">
        <v>0</v>
      </c>
      <c r="G245" s="278">
        <f t="shared" si="19"/>
        <v>0</v>
      </c>
    </row>
    <row r="246" spans="2:7" x14ac:dyDescent="0.2">
      <c r="B246" s="135"/>
      <c r="C246" s="1819" t="s">
        <v>227</v>
      </c>
      <c r="D246" s="254" t="s">
        <v>149</v>
      </c>
      <c r="E246" s="255">
        <v>4</v>
      </c>
      <c r="F246" s="1382">
        <v>0</v>
      </c>
      <c r="G246" s="278">
        <f t="shared" si="19"/>
        <v>0</v>
      </c>
    </row>
    <row r="247" spans="2:7" x14ac:dyDescent="0.2">
      <c r="B247" s="135"/>
      <c r="C247" s="1820" t="s">
        <v>1725</v>
      </c>
      <c r="D247" s="254" t="s">
        <v>149</v>
      </c>
      <c r="E247" s="255">
        <v>4</v>
      </c>
      <c r="F247" s="1382">
        <v>0</v>
      </c>
      <c r="G247" s="278">
        <f t="shared" si="19"/>
        <v>0</v>
      </c>
    </row>
    <row r="248" spans="2:7" x14ac:dyDescent="0.2">
      <c r="B248" s="135"/>
      <c r="C248" s="253" t="s">
        <v>237</v>
      </c>
      <c r="D248" s="254"/>
      <c r="E248" s="255"/>
      <c r="F248" s="256">
        <v>0</v>
      </c>
      <c r="G248" s="257"/>
    </row>
    <row r="249" spans="2:7" ht="24" x14ac:dyDescent="0.2">
      <c r="B249" s="655"/>
      <c r="C249" s="1379" t="s">
        <v>238</v>
      </c>
      <c r="D249" s="1380" t="s">
        <v>149</v>
      </c>
      <c r="E249" s="1381">
        <v>1</v>
      </c>
      <c r="F249" s="1382">
        <v>0</v>
      </c>
      <c r="G249" s="1383">
        <f t="shared" ref="G249:G257" si="20">E249*F249</f>
        <v>0</v>
      </c>
    </row>
    <row r="250" spans="2:7" x14ac:dyDescent="0.2">
      <c r="B250" s="135"/>
      <c r="C250" s="1819" t="s">
        <v>195</v>
      </c>
      <c r="D250" s="254" t="s">
        <v>149</v>
      </c>
      <c r="E250" s="255">
        <v>2</v>
      </c>
      <c r="F250" s="1382">
        <v>0</v>
      </c>
      <c r="G250" s="278">
        <f t="shared" si="20"/>
        <v>0</v>
      </c>
    </row>
    <row r="251" spans="2:7" x14ac:dyDescent="0.2">
      <c r="B251" s="135"/>
      <c r="C251" s="1819" t="s">
        <v>239</v>
      </c>
      <c r="D251" s="254" t="s">
        <v>149</v>
      </c>
      <c r="E251" s="255">
        <v>1</v>
      </c>
      <c r="F251" s="1382">
        <v>0</v>
      </c>
      <c r="G251" s="278">
        <f t="shared" si="20"/>
        <v>0</v>
      </c>
    </row>
    <row r="252" spans="2:7" x14ac:dyDescent="0.2">
      <c r="B252" s="135"/>
      <c r="C252" s="1819" t="s">
        <v>1723</v>
      </c>
      <c r="D252" s="254" t="s">
        <v>149</v>
      </c>
      <c r="E252" s="255">
        <v>2</v>
      </c>
      <c r="F252" s="1382">
        <v>0</v>
      </c>
      <c r="G252" s="278">
        <f t="shared" si="20"/>
        <v>0</v>
      </c>
    </row>
    <row r="253" spans="2:7" x14ac:dyDescent="0.2">
      <c r="B253" s="135"/>
      <c r="C253" s="1819" t="s">
        <v>1761</v>
      </c>
      <c r="D253" s="254" t="s">
        <v>149</v>
      </c>
      <c r="E253" s="255">
        <v>1</v>
      </c>
      <c r="F253" s="1382">
        <v>0</v>
      </c>
      <c r="G253" s="278">
        <f t="shared" si="20"/>
        <v>0</v>
      </c>
    </row>
    <row r="254" spans="2:7" x14ac:dyDescent="0.2">
      <c r="B254" s="135"/>
      <c r="C254" s="1819" t="s">
        <v>1774</v>
      </c>
      <c r="D254" s="254" t="s">
        <v>149</v>
      </c>
      <c r="E254" s="255">
        <v>1</v>
      </c>
      <c r="F254" s="1382">
        <v>0</v>
      </c>
      <c r="G254" s="278">
        <f t="shared" si="20"/>
        <v>0</v>
      </c>
    </row>
    <row r="255" spans="2:7" x14ac:dyDescent="0.2">
      <c r="B255" s="135"/>
      <c r="C255" s="1819" t="s">
        <v>1775</v>
      </c>
      <c r="D255" s="254" t="s">
        <v>149</v>
      </c>
      <c r="E255" s="255">
        <v>1</v>
      </c>
      <c r="F255" s="1382">
        <v>0</v>
      </c>
      <c r="G255" s="278">
        <f t="shared" si="20"/>
        <v>0</v>
      </c>
    </row>
    <row r="256" spans="2:7" x14ac:dyDescent="0.2">
      <c r="B256" s="135"/>
      <c r="C256" s="1819" t="s">
        <v>227</v>
      </c>
      <c r="D256" s="254" t="s">
        <v>149</v>
      </c>
      <c r="E256" s="255">
        <v>1</v>
      </c>
      <c r="F256" s="1382">
        <v>0</v>
      </c>
      <c r="G256" s="278">
        <f t="shared" si="20"/>
        <v>0</v>
      </c>
    </row>
    <row r="257" spans="2:7" x14ac:dyDescent="0.2">
      <c r="B257" s="135"/>
      <c r="C257" s="1820" t="s">
        <v>1725</v>
      </c>
      <c r="D257" s="254" t="s">
        <v>149</v>
      </c>
      <c r="E257" s="255">
        <v>1</v>
      </c>
      <c r="F257" s="1382">
        <v>0</v>
      </c>
      <c r="G257" s="278">
        <f t="shared" si="20"/>
        <v>0</v>
      </c>
    </row>
    <row r="258" spans="2:7" x14ac:dyDescent="0.2">
      <c r="B258" s="135"/>
      <c r="C258" s="253" t="s">
        <v>1753</v>
      </c>
      <c r="D258" s="254"/>
      <c r="E258" s="255"/>
      <c r="F258" s="256">
        <v>0</v>
      </c>
      <c r="G258" s="257"/>
    </row>
    <row r="259" spans="2:7" ht="24" x14ac:dyDescent="0.2">
      <c r="B259" s="655"/>
      <c r="C259" s="1379" t="s">
        <v>233</v>
      </c>
      <c r="D259" s="1380" t="s">
        <v>149</v>
      </c>
      <c r="E259" s="1381">
        <v>1</v>
      </c>
      <c r="F259" s="1382">
        <v>0</v>
      </c>
      <c r="G259" s="1383">
        <f t="shared" ref="G259:G263" si="21">E259*F259</f>
        <v>0</v>
      </c>
    </row>
    <row r="260" spans="2:7" x14ac:dyDescent="0.2">
      <c r="B260" s="135"/>
      <c r="C260" s="1819" t="s">
        <v>235</v>
      </c>
      <c r="D260" s="254" t="s">
        <v>149</v>
      </c>
      <c r="E260" s="255">
        <v>3</v>
      </c>
      <c r="F260" s="1382">
        <v>0</v>
      </c>
      <c r="G260" s="278">
        <f t="shared" si="21"/>
        <v>0</v>
      </c>
    </row>
    <row r="261" spans="2:7" x14ac:dyDescent="0.2">
      <c r="B261" s="135"/>
      <c r="C261" s="1819" t="s">
        <v>1738</v>
      </c>
      <c r="D261" s="254" t="s">
        <v>149</v>
      </c>
      <c r="E261" s="255">
        <v>3</v>
      </c>
      <c r="F261" s="1382">
        <v>0</v>
      </c>
      <c r="G261" s="278">
        <f t="shared" si="21"/>
        <v>0</v>
      </c>
    </row>
    <row r="262" spans="2:7" x14ac:dyDescent="0.2">
      <c r="B262" s="135"/>
      <c r="C262" s="1819" t="s">
        <v>227</v>
      </c>
      <c r="D262" s="254" t="s">
        <v>149</v>
      </c>
      <c r="E262" s="255">
        <v>1</v>
      </c>
      <c r="F262" s="1382">
        <v>0</v>
      </c>
      <c r="G262" s="278">
        <f t="shared" si="21"/>
        <v>0</v>
      </c>
    </row>
    <row r="263" spans="2:7" x14ac:dyDescent="0.2">
      <c r="B263" s="135"/>
      <c r="C263" s="1820" t="s">
        <v>1725</v>
      </c>
      <c r="D263" s="254" t="s">
        <v>149</v>
      </c>
      <c r="E263" s="255">
        <v>1</v>
      </c>
      <c r="F263" s="1382">
        <v>0</v>
      </c>
      <c r="G263" s="278">
        <f t="shared" si="21"/>
        <v>0</v>
      </c>
    </row>
    <row r="264" spans="2:7" x14ac:dyDescent="0.2">
      <c r="B264" s="135"/>
      <c r="C264" s="253" t="s">
        <v>1748</v>
      </c>
      <c r="D264" s="254"/>
      <c r="E264" s="255"/>
      <c r="F264" s="256">
        <v>0</v>
      </c>
      <c r="G264" s="257"/>
    </row>
    <row r="265" spans="2:7" ht="24" x14ac:dyDescent="0.2">
      <c r="B265" s="655"/>
      <c r="C265" s="1379" t="s">
        <v>238</v>
      </c>
      <c r="D265" s="1380" t="s">
        <v>149</v>
      </c>
      <c r="E265" s="1381">
        <v>1</v>
      </c>
      <c r="F265" s="1382">
        <v>0</v>
      </c>
      <c r="G265" s="1383">
        <f t="shared" ref="G265:G271" si="22">E265*F265</f>
        <v>0</v>
      </c>
    </row>
    <row r="266" spans="2:7" x14ac:dyDescent="0.2">
      <c r="B266" s="135"/>
      <c r="C266" s="1816" t="s">
        <v>235</v>
      </c>
      <c r="D266" s="254" t="s">
        <v>149</v>
      </c>
      <c r="E266" s="255">
        <v>2</v>
      </c>
      <c r="F266" s="1382">
        <v>0</v>
      </c>
      <c r="G266" s="278">
        <f t="shared" si="22"/>
        <v>0</v>
      </c>
    </row>
    <row r="267" spans="2:7" x14ac:dyDescent="0.2">
      <c r="B267" s="135"/>
      <c r="C267" s="1816" t="s">
        <v>239</v>
      </c>
      <c r="D267" s="254" t="s">
        <v>149</v>
      </c>
      <c r="E267" s="255">
        <v>1</v>
      </c>
      <c r="F267" s="1382">
        <v>0</v>
      </c>
      <c r="G267" s="278">
        <f t="shared" si="22"/>
        <v>0</v>
      </c>
    </row>
    <row r="268" spans="2:7" x14ac:dyDescent="0.2">
      <c r="B268" s="135"/>
      <c r="C268" s="1816" t="s">
        <v>236</v>
      </c>
      <c r="D268" s="254" t="s">
        <v>149</v>
      </c>
      <c r="E268" s="255">
        <v>2</v>
      </c>
      <c r="F268" s="1382">
        <v>0</v>
      </c>
      <c r="G268" s="278">
        <f t="shared" si="22"/>
        <v>0</v>
      </c>
    </row>
    <row r="269" spans="2:7" x14ac:dyDescent="0.2">
      <c r="B269" s="135"/>
      <c r="C269" s="1816" t="s">
        <v>240</v>
      </c>
      <c r="D269" s="254" t="s">
        <v>149</v>
      </c>
      <c r="E269" s="255">
        <v>1</v>
      </c>
      <c r="F269" s="1382">
        <v>0</v>
      </c>
      <c r="G269" s="278">
        <f t="shared" si="22"/>
        <v>0</v>
      </c>
    </row>
    <row r="270" spans="2:7" x14ac:dyDescent="0.2">
      <c r="B270" s="135"/>
      <c r="C270" s="1816" t="s">
        <v>227</v>
      </c>
      <c r="D270" s="254" t="s">
        <v>149</v>
      </c>
      <c r="E270" s="255">
        <v>1</v>
      </c>
      <c r="F270" s="1382">
        <v>0</v>
      </c>
      <c r="G270" s="278">
        <f t="shared" si="22"/>
        <v>0</v>
      </c>
    </row>
    <row r="271" spans="2:7" x14ac:dyDescent="0.2">
      <c r="B271" s="135"/>
      <c r="C271" s="1817" t="s">
        <v>198</v>
      </c>
      <c r="D271" s="254" t="s">
        <v>149</v>
      </c>
      <c r="E271" s="255">
        <v>1</v>
      </c>
      <c r="F271" s="1382">
        <v>0</v>
      </c>
      <c r="G271" s="278">
        <f t="shared" si="22"/>
        <v>0</v>
      </c>
    </row>
    <row r="272" spans="2:7" x14ac:dyDescent="0.2">
      <c r="B272" s="135"/>
      <c r="C272" s="253" t="s">
        <v>844</v>
      </c>
      <c r="D272" s="254"/>
      <c r="E272" s="255"/>
      <c r="F272" s="256">
        <v>0</v>
      </c>
      <c r="G272" s="257"/>
    </row>
    <row r="273" spans="2:7" ht="24" x14ac:dyDescent="0.2">
      <c r="B273" s="655"/>
      <c r="C273" s="1379" t="s">
        <v>238</v>
      </c>
      <c r="D273" s="1380" t="s">
        <v>149</v>
      </c>
      <c r="E273" s="1381">
        <v>5</v>
      </c>
      <c r="F273" s="1382">
        <v>0</v>
      </c>
      <c r="G273" s="1383">
        <f t="shared" ref="G273:G281" si="23">E273*F273</f>
        <v>0</v>
      </c>
    </row>
    <row r="274" spans="2:7" x14ac:dyDescent="0.2">
      <c r="B274" s="135"/>
      <c r="C274" s="1819" t="s">
        <v>235</v>
      </c>
      <c r="D274" s="254" t="s">
        <v>149</v>
      </c>
      <c r="E274" s="255">
        <v>10</v>
      </c>
      <c r="F274" s="1382">
        <v>0</v>
      </c>
      <c r="G274" s="278">
        <f t="shared" si="23"/>
        <v>0</v>
      </c>
    </row>
    <row r="275" spans="2:7" x14ac:dyDescent="0.2">
      <c r="B275" s="135"/>
      <c r="C275" s="1819" t="s">
        <v>239</v>
      </c>
      <c r="D275" s="254" t="s">
        <v>149</v>
      </c>
      <c r="E275" s="255">
        <v>5</v>
      </c>
      <c r="F275" s="1382">
        <v>0</v>
      </c>
      <c r="G275" s="278">
        <f t="shared" si="23"/>
        <v>0</v>
      </c>
    </row>
    <row r="276" spans="2:7" x14ac:dyDescent="0.2">
      <c r="B276" s="135"/>
      <c r="C276" s="1819" t="s">
        <v>1738</v>
      </c>
      <c r="D276" s="254" t="s">
        <v>149</v>
      </c>
      <c r="E276" s="255">
        <v>10</v>
      </c>
      <c r="F276" s="1382">
        <v>0</v>
      </c>
      <c r="G276" s="278">
        <f t="shared" si="23"/>
        <v>0</v>
      </c>
    </row>
    <row r="277" spans="2:7" x14ac:dyDescent="0.2">
      <c r="B277" s="135"/>
      <c r="C277" s="1819" t="s">
        <v>1761</v>
      </c>
      <c r="D277" s="254" t="s">
        <v>149</v>
      </c>
      <c r="E277" s="255">
        <v>5</v>
      </c>
      <c r="F277" s="1382">
        <v>0</v>
      </c>
      <c r="G277" s="278">
        <f t="shared" si="23"/>
        <v>0</v>
      </c>
    </row>
    <row r="278" spans="2:7" x14ac:dyDescent="0.2">
      <c r="B278" s="135"/>
      <c r="C278" s="1819" t="s">
        <v>1774</v>
      </c>
      <c r="D278" s="254" t="s">
        <v>149</v>
      </c>
      <c r="E278" s="255">
        <v>5</v>
      </c>
      <c r="F278" s="1382">
        <v>0</v>
      </c>
      <c r="G278" s="278">
        <f t="shared" si="23"/>
        <v>0</v>
      </c>
    </row>
    <row r="279" spans="2:7" x14ac:dyDescent="0.2">
      <c r="B279" s="135"/>
      <c r="C279" s="1819" t="s">
        <v>1775</v>
      </c>
      <c r="D279" s="254" t="s">
        <v>149</v>
      </c>
      <c r="E279" s="255">
        <v>5</v>
      </c>
      <c r="F279" s="1382">
        <v>0</v>
      </c>
      <c r="G279" s="278">
        <f t="shared" si="23"/>
        <v>0</v>
      </c>
    </row>
    <row r="280" spans="2:7" x14ac:dyDescent="0.2">
      <c r="B280" s="135"/>
      <c r="C280" s="1819" t="s">
        <v>227</v>
      </c>
      <c r="D280" s="254" t="s">
        <v>149</v>
      </c>
      <c r="E280" s="255">
        <v>5</v>
      </c>
      <c r="F280" s="1382">
        <v>0</v>
      </c>
      <c r="G280" s="278">
        <f t="shared" si="23"/>
        <v>0</v>
      </c>
    </row>
    <row r="281" spans="2:7" x14ac:dyDescent="0.2">
      <c r="B281" s="135"/>
      <c r="C281" s="1820" t="s">
        <v>1725</v>
      </c>
      <c r="D281" s="254" t="s">
        <v>149</v>
      </c>
      <c r="E281" s="255">
        <v>5</v>
      </c>
      <c r="F281" s="1382">
        <v>0</v>
      </c>
      <c r="G281" s="278">
        <f t="shared" si="23"/>
        <v>0</v>
      </c>
    </row>
    <row r="282" spans="2:7" x14ac:dyDescent="0.2">
      <c r="B282" s="135"/>
      <c r="C282" s="253" t="s">
        <v>1776</v>
      </c>
      <c r="D282" s="254"/>
      <c r="E282" s="255"/>
      <c r="F282" s="256">
        <v>0</v>
      </c>
      <c r="G282" s="257"/>
    </row>
    <row r="283" spans="2:7" ht="24" x14ac:dyDescent="0.2">
      <c r="B283" s="655"/>
      <c r="C283" s="1379" t="s">
        <v>1679</v>
      </c>
      <c r="D283" s="1380" t="s">
        <v>149</v>
      </c>
      <c r="E283" s="1381">
        <v>1</v>
      </c>
      <c r="F283" s="1382">
        <v>0</v>
      </c>
      <c r="G283" s="1383">
        <f t="shared" ref="G283:G287" si="24">E283*F283</f>
        <v>0</v>
      </c>
    </row>
    <row r="284" spans="2:7" x14ac:dyDescent="0.2">
      <c r="B284" s="135"/>
      <c r="C284" s="1819" t="s">
        <v>239</v>
      </c>
      <c r="D284" s="254" t="s">
        <v>149</v>
      </c>
      <c r="E284" s="255">
        <v>3</v>
      </c>
      <c r="F284" s="1382">
        <v>0</v>
      </c>
      <c r="G284" s="278">
        <f t="shared" si="24"/>
        <v>0</v>
      </c>
    </row>
    <row r="285" spans="2:7" x14ac:dyDescent="0.2">
      <c r="B285" s="135"/>
      <c r="C285" s="1819" t="s">
        <v>1761</v>
      </c>
      <c r="D285" s="254" t="s">
        <v>149</v>
      </c>
      <c r="E285" s="255">
        <v>3</v>
      </c>
      <c r="F285" s="1382">
        <v>0</v>
      </c>
      <c r="G285" s="278">
        <f t="shared" si="24"/>
        <v>0</v>
      </c>
    </row>
    <row r="286" spans="2:7" x14ac:dyDescent="0.2">
      <c r="B286" s="135"/>
      <c r="C286" s="1819" t="s">
        <v>227</v>
      </c>
      <c r="D286" s="254" t="s">
        <v>149</v>
      </c>
      <c r="E286" s="255">
        <v>1</v>
      </c>
      <c r="F286" s="1382">
        <v>0</v>
      </c>
      <c r="G286" s="278">
        <f t="shared" si="24"/>
        <v>0</v>
      </c>
    </row>
    <row r="287" spans="2:7" x14ac:dyDescent="0.2">
      <c r="B287" s="135"/>
      <c r="C287" s="1820" t="s">
        <v>1725</v>
      </c>
      <c r="D287" s="254" t="s">
        <v>149</v>
      </c>
      <c r="E287" s="255">
        <v>1</v>
      </c>
      <c r="F287" s="1382">
        <v>0</v>
      </c>
      <c r="G287" s="278">
        <f t="shared" si="24"/>
        <v>0</v>
      </c>
    </row>
    <row r="288" spans="2:7" x14ac:dyDescent="0.2">
      <c r="B288" s="135"/>
      <c r="C288" s="253" t="s">
        <v>845</v>
      </c>
      <c r="D288" s="254"/>
      <c r="E288" s="255"/>
      <c r="F288" s="256">
        <v>0</v>
      </c>
      <c r="G288" s="257"/>
    </row>
    <row r="289" spans="2:7" ht="24" x14ac:dyDescent="0.2">
      <c r="B289" s="655"/>
      <c r="C289" s="1379" t="s">
        <v>1679</v>
      </c>
      <c r="D289" s="1380" t="s">
        <v>149</v>
      </c>
      <c r="E289" s="1381">
        <v>3</v>
      </c>
      <c r="F289" s="1382">
        <v>0</v>
      </c>
      <c r="G289" s="1383">
        <f t="shared" ref="G289:G295" si="25">E289*F289</f>
        <v>0</v>
      </c>
    </row>
    <row r="290" spans="2:7" x14ac:dyDescent="0.2">
      <c r="B290" s="135"/>
      <c r="C290" s="1819" t="s">
        <v>239</v>
      </c>
      <c r="D290" s="254" t="s">
        <v>149</v>
      </c>
      <c r="E290" s="255">
        <v>9</v>
      </c>
      <c r="F290" s="1382">
        <v>0</v>
      </c>
      <c r="G290" s="278">
        <f t="shared" si="25"/>
        <v>0</v>
      </c>
    </row>
    <row r="291" spans="2:7" x14ac:dyDescent="0.2">
      <c r="B291" s="135"/>
      <c r="C291" s="1816" t="s">
        <v>240</v>
      </c>
      <c r="D291" s="254" t="s">
        <v>149</v>
      </c>
      <c r="E291" s="255">
        <v>9</v>
      </c>
      <c r="F291" s="1382">
        <v>0</v>
      </c>
      <c r="G291" s="278">
        <f t="shared" si="25"/>
        <v>0</v>
      </c>
    </row>
    <row r="292" spans="2:7" x14ac:dyDescent="0.2">
      <c r="B292" s="135"/>
      <c r="C292" s="1816" t="s">
        <v>241</v>
      </c>
      <c r="D292" s="254" t="s">
        <v>149</v>
      </c>
      <c r="E292" s="255">
        <v>9</v>
      </c>
      <c r="F292" s="1382">
        <v>0</v>
      </c>
      <c r="G292" s="278">
        <f t="shared" si="25"/>
        <v>0</v>
      </c>
    </row>
    <row r="293" spans="2:7" x14ac:dyDescent="0.2">
      <c r="B293" s="135"/>
      <c r="C293" s="1816" t="s">
        <v>242</v>
      </c>
      <c r="D293" s="254" t="s">
        <v>149</v>
      </c>
      <c r="E293" s="255">
        <v>9</v>
      </c>
      <c r="F293" s="1382">
        <v>0</v>
      </c>
      <c r="G293" s="278">
        <f t="shared" si="25"/>
        <v>0</v>
      </c>
    </row>
    <row r="294" spans="2:7" x14ac:dyDescent="0.2">
      <c r="B294" s="135"/>
      <c r="C294" s="1816" t="s">
        <v>227</v>
      </c>
      <c r="D294" s="254" t="s">
        <v>149</v>
      </c>
      <c r="E294" s="255">
        <v>3</v>
      </c>
      <c r="F294" s="1382">
        <v>0</v>
      </c>
      <c r="G294" s="278">
        <f t="shared" si="25"/>
        <v>0</v>
      </c>
    </row>
    <row r="295" spans="2:7" x14ac:dyDescent="0.2">
      <c r="B295" s="135"/>
      <c r="C295" s="1817" t="s">
        <v>198</v>
      </c>
      <c r="D295" s="254" t="s">
        <v>149</v>
      </c>
      <c r="E295" s="255">
        <v>1</v>
      </c>
      <c r="F295" s="1382">
        <v>0</v>
      </c>
      <c r="G295" s="278">
        <f t="shared" si="25"/>
        <v>0</v>
      </c>
    </row>
    <row r="296" spans="2:7" x14ac:dyDescent="0.2">
      <c r="B296" s="292" t="s">
        <v>243</v>
      </c>
      <c r="C296" s="247" t="s">
        <v>244</v>
      </c>
      <c r="D296" s="202"/>
      <c r="E296" s="248"/>
      <c r="F296" s="249"/>
      <c r="G296" s="205"/>
    </row>
    <row r="297" spans="2:7" x14ac:dyDescent="0.2">
      <c r="B297" s="135"/>
      <c r="C297" s="247" t="s">
        <v>1777</v>
      </c>
      <c r="D297" s="202"/>
      <c r="E297" s="248"/>
      <c r="F297" s="249">
        <v>0</v>
      </c>
      <c r="G297" s="205"/>
    </row>
    <row r="298" spans="2:7" ht="36" x14ac:dyDescent="0.2">
      <c r="B298" s="135"/>
      <c r="C298" s="262" t="s">
        <v>1778</v>
      </c>
      <c r="D298" s="202" t="s">
        <v>149</v>
      </c>
      <c r="E298" s="248">
        <v>5</v>
      </c>
      <c r="F298" s="275">
        <v>0</v>
      </c>
      <c r="G298" s="276">
        <f t="shared" ref="G298:G300" si="26">E298*F298</f>
        <v>0</v>
      </c>
    </row>
    <row r="299" spans="2:7" x14ac:dyDescent="0.2">
      <c r="B299" s="135"/>
      <c r="C299" s="1814" t="s">
        <v>247</v>
      </c>
      <c r="D299" s="202" t="s">
        <v>149</v>
      </c>
      <c r="E299" s="248">
        <v>10</v>
      </c>
      <c r="F299" s="275">
        <v>0</v>
      </c>
      <c r="G299" s="276">
        <f t="shared" si="26"/>
        <v>0</v>
      </c>
    </row>
    <row r="300" spans="2:7" x14ac:dyDescent="0.2">
      <c r="B300" s="135"/>
      <c r="C300" s="1821" t="s">
        <v>248</v>
      </c>
      <c r="D300" s="202" t="s">
        <v>149</v>
      </c>
      <c r="E300" s="248">
        <v>10</v>
      </c>
      <c r="F300" s="275">
        <v>0</v>
      </c>
      <c r="G300" s="276">
        <f t="shared" si="26"/>
        <v>0</v>
      </c>
    </row>
    <row r="301" spans="2:7" x14ac:dyDescent="0.2">
      <c r="B301" s="135"/>
      <c r="C301" s="247" t="s">
        <v>249</v>
      </c>
      <c r="D301" s="202"/>
      <c r="E301" s="248"/>
      <c r="F301" s="249">
        <v>0</v>
      </c>
      <c r="G301" s="205"/>
    </row>
    <row r="302" spans="2:7" ht="36" x14ac:dyDescent="0.2">
      <c r="B302" s="135"/>
      <c r="C302" s="262" t="s">
        <v>250</v>
      </c>
      <c r="D302" s="202" t="s">
        <v>149</v>
      </c>
      <c r="E302" s="248">
        <v>5</v>
      </c>
      <c r="F302" s="275">
        <v>0</v>
      </c>
      <c r="G302" s="276">
        <f t="shared" ref="G302:G304" si="27">E302*F302</f>
        <v>0</v>
      </c>
    </row>
    <row r="303" spans="2:7" x14ac:dyDescent="0.2">
      <c r="B303" s="135"/>
      <c r="C303" s="1814" t="s">
        <v>247</v>
      </c>
      <c r="D303" s="202" t="s">
        <v>149</v>
      </c>
      <c r="E303" s="248">
        <v>5</v>
      </c>
      <c r="F303" s="275">
        <v>0</v>
      </c>
      <c r="G303" s="276">
        <f t="shared" si="27"/>
        <v>0</v>
      </c>
    </row>
    <row r="304" spans="2:7" x14ac:dyDescent="0.2">
      <c r="B304" s="135"/>
      <c r="C304" s="1815" t="s">
        <v>198</v>
      </c>
      <c r="D304" s="202" t="s">
        <v>149</v>
      </c>
      <c r="E304" s="248">
        <v>5</v>
      </c>
      <c r="F304" s="275">
        <v>0</v>
      </c>
      <c r="G304" s="276">
        <f t="shared" si="27"/>
        <v>0</v>
      </c>
    </row>
    <row r="305" spans="2:7" x14ac:dyDescent="0.2">
      <c r="B305" s="135"/>
      <c r="C305" s="247" t="s">
        <v>849</v>
      </c>
      <c r="D305" s="202"/>
      <c r="E305" s="248"/>
      <c r="F305" s="249">
        <v>0</v>
      </c>
      <c r="G305" s="205"/>
    </row>
    <row r="306" spans="2:7" ht="36" x14ac:dyDescent="0.2">
      <c r="B306" s="135"/>
      <c r="C306" s="262" t="s">
        <v>850</v>
      </c>
      <c r="D306" s="202" t="s">
        <v>149</v>
      </c>
      <c r="E306" s="248">
        <v>25</v>
      </c>
      <c r="F306" s="275">
        <v>0</v>
      </c>
      <c r="G306" s="276">
        <f t="shared" ref="G306:G308" si="28">E306*F306</f>
        <v>0</v>
      </c>
    </row>
    <row r="307" spans="2:7" x14ac:dyDescent="0.2">
      <c r="B307" s="135"/>
      <c r="C307" s="1814" t="s">
        <v>247</v>
      </c>
      <c r="D307" s="202" t="s">
        <v>149</v>
      </c>
      <c r="E307" s="248">
        <v>25</v>
      </c>
      <c r="F307" s="275">
        <v>0</v>
      </c>
      <c r="G307" s="276">
        <f t="shared" si="28"/>
        <v>0</v>
      </c>
    </row>
    <row r="308" spans="2:7" x14ac:dyDescent="0.2">
      <c r="B308" s="135"/>
      <c r="C308" s="1815" t="s">
        <v>198</v>
      </c>
      <c r="D308" s="202" t="s">
        <v>149</v>
      </c>
      <c r="E308" s="248">
        <v>25</v>
      </c>
      <c r="F308" s="275">
        <v>0</v>
      </c>
      <c r="G308" s="276">
        <f t="shared" si="28"/>
        <v>0</v>
      </c>
    </row>
    <row r="309" spans="2:7" x14ac:dyDescent="0.2">
      <c r="B309" s="135"/>
      <c r="C309" s="247" t="s">
        <v>826</v>
      </c>
      <c r="D309" s="202"/>
      <c r="E309" s="248"/>
      <c r="F309" s="249">
        <v>0</v>
      </c>
      <c r="G309" s="205"/>
    </row>
    <row r="310" spans="2:7" ht="36" x14ac:dyDescent="0.2">
      <c r="B310" s="135"/>
      <c r="C310" s="262" t="s">
        <v>827</v>
      </c>
      <c r="D310" s="202" t="s">
        <v>149</v>
      </c>
      <c r="E310" s="248">
        <v>3</v>
      </c>
      <c r="F310" s="275">
        <v>0</v>
      </c>
      <c r="G310" s="276">
        <f t="shared" ref="G310:G312" si="29">E310*F310</f>
        <v>0</v>
      </c>
    </row>
    <row r="311" spans="2:7" x14ac:dyDescent="0.2">
      <c r="B311" s="135"/>
      <c r="C311" s="1814" t="s">
        <v>247</v>
      </c>
      <c r="D311" s="202" t="s">
        <v>149</v>
      </c>
      <c r="E311" s="248">
        <v>3</v>
      </c>
      <c r="F311" s="275">
        <v>0</v>
      </c>
      <c r="G311" s="276">
        <f t="shared" si="29"/>
        <v>0</v>
      </c>
    </row>
    <row r="312" spans="2:7" x14ac:dyDescent="0.2">
      <c r="B312" s="135"/>
      <c r="C312" s="1821" t="s">
        <v>248</v>
      </c>
      <c r="D312" s="202" t="s">
        <v>149</v>
      </c>
      <c r="E312" s="248">
        <v>3</v>
      </c>
      <c r="F312" s="275">
        <v>0</v>
      </c>
      <c r="G312" s="276">
        <f t="shared" si="29"/>
        <v>0</v>
      </c>
    </row>
    <row r="313" spans="2:7" x14ac:dyDescent="0.2">
      <c r="B313" s="135"/>
      <c r="C313" s="247" t="s">
        <v>828</v>
      </c>
      <c r="D313" s="202"/>
      <c r="E313" s="248"/>
      <c r="F313" s="249">
        <v>0</v>
      </c>
      <c r="G313" s="205"/>
    </row>
    <row r="314" spans="2:7" ht="36" x14ac:dyDescent="0.2">
      <c r="B314" s="135"/>
      <c r="C314" s="262" t="s">
        <v>829</v>
      </c>
      <c r="D314" s="202" t="s">
        <v>149</v>
      </c>
      <c r="E314" s="248">
        <v>26</v>
      </c>
      <c r="F314" s="275">
        <v>0</v>
      </c>
      <c r="G314" s="276">
        <f t="shared" ref="G314:G316" si="30">E314*F314</f>
        <v>0</v>
      </c>
    </row>
    <row r="315" spans="2:7" x14ac:dyDescent="0.2">
      <c r="B315" s="135"/>
      <c r="C315" s="1814" t="s">
        <v>247</v>
      </c>
      <c r="D315" s="202" t="s">
        <v>149</v>
      </c>
      <c r="E315" s="248">
        <v>26</v>
      </c>
      <c r="F315" s="275">
        <v>0</v>
      </c>
      <c r="G315" s="276">
        <f t="shared" si="30"/>
        <v>0</v>
      </c>
    </row>
    <row r="316" spans="2:7" x14ac:dyDescent="0.2">
      <c r="B316" s="135"/>
      <c r="C316" s="1815" t="s">
        <v>198</v>
      </c>
      <c r="D316" s="202" t="s">
        <v>149</v>
      </c>
      <c r="E316" s="248">
        <v>26</v>
      </c>
      <c r="F316" s="275">
        <v>0</v>
      </c>
      <c r="G316" s="276">
        <f t="shared" si="30"/>
        <v>0</v>
      </c>
    </row>
    <row r="317" spans="2:7" x14ac:dyDescent="0.2">
      <c r="B317" s="292" t="s">
        <v>251</v>
      </c>
      <c r="C317" s="264" t="s">
        <v>1762</v>
      </c>
      <c r="D317" s="231"/>
      <c r="E317" s="265"/>
      <c r="F317" s="266">
        <v>0</v>
      </c>
      <c r="G317" s="234"/>
    </row>
    <row r="318" spans="2:7" x14ac:dyDescent="0.2">
      <c r="B318" s="129"/>
      <c r="C318" s="267" t="s">
        <v>289</v>
      </c>
      <c r="D318" s="231" t="s">
        <v>149</v>
      </c>
      <c r="E318" s="265">
        <v>4</v>
      </c>
      <c r="F318" s="279">
        <v>0</v>
      </c>
      <c r="G318" s="272">
        <f>E318*F318</f>
        <v>0</v>
      </c>
    </row>
    <row r="319" spans="2:7" x14ac:dyDescent="0.2">
      <c r="B319" s="129"/>
      <c r="C319" s="267" t="s">
        <v>213</v>
      </c>
      <c r="D319" s="231" t="s">
        <v>149</v>
      </c>
      <c r="E319" s="265">
        <v>2</v>
      </c>
      <c r="F319" s="279">
        <v>0</v>
      </c>
      <c r="G319" s="272">
        <f t="shared" ref="G319:G343" si="31">E319*F319</f>
        <v>0</v>
      </c>
    </row>
    <row r="320" spans="2:7" x14ac:dyDescent="0.2">
      <c r="B320" s="129"/>
      <c r="C320" s="267" t="s">
        <v>290</v>
      </c>
      <c r="D320" s="231" t="s">
        <v>149</v>
      </c>
      <c r="E320" s="265">
        <v>2</v>
      </c>
      <c r="F320" s="279">
        <v>0</v>
      </c>
      <c r="G320" s="272">
        <f t="shared" si="31"/>
        <v>0</v>
      </c>
    </row>
    <row r="321" spans="2:7" ht="24" x14ac:dyDescent="0.2">
      <c r="B321" s="129"/>
      <c r="C321" s="267" t="s">
        <v>291</v>
      </c>
      <c r="D321" s="231" t="s">
        <v>149</v>
      </c>
      <c r="E321" s="265">
        <v>2</v>
      </c>
      <c r="F321" s="279">
        <v>0</v>
      </c>
      <c r="G321" s="272">
        <f t="shared" si="31"/>
        <v>0</v>
      </c>
    </row>
    <row r="322" spans="2:7" ht="24" x14ac:dyDescent="0.2">
      <c r="B322" s="129"/>
      <c r="C322" s="267" t="s">
        <v>274</v>
      </c>
      <c r="D322" s="231" t="s">
        <v>149</v>
      </c>
      <c r="E322" s="265">
        <v>2</v>
      </c>
      <c r="F322" s="279">
        <v>0</v>
      </c>
      <c r="G322" s="272">
        <f t="shared" si="31"/>
        <v>0</v>
      </c>
    </row>
    <row r="323" spans="2:7" x14ac:dyDescent="0.2">
      <c r="B323" s="129"/>
      <c r="C323" s="267" t="s">
        <v>292</v>
      </c>
      <c r="D323" s="231" t="s">
        <v>149</v>
      </c>
      <c r="E323" s="265">
        <v>1</v>
      </c>
      <c r="F323" s="279">
        <v>0</v>
      </c>
      <c r="G323" s="272">
        <f t="shared" si="31"/>
        <v>0</v>
      </c>
    </row>
    <row r="324" spans="2:7" x14ac:dyDescent="0.2">
      <c r="B324" s="129"/>
      <c r="C324" s="268" t="s">
        <v>293</v>
      </c>
      <c r="D324" s="231" t="s">
        <v>149</v>
      </c>
      <c r="E324" s="265">
        <v>2</v>
      </c>
      <c r="F324" s="279">
        <v>0</v>
      </c>
      <c r="G324" s="272">
        <f t="shared" si="31"/>
        <v>0</v>
      </c>
    </row>
    <row r="325" spans="2:7" x14ac:dyDescent="0.2">
      <c r="B325" s="129"/>
      <c r="C325" s="268" t="s">
        <v>294</v>
      </c>
      <c r="D325" s="231" t="s">
        <v>149</v>
      </c>
      <c r="E325" s="265">
        <v>1</v>
      </c>
      <c r="F325" s="279">
        <v>0</v>
      </c>
      <c r="G325" s="272">
        <f t="shared" si="31"/>
        <v>0</v>
      </c>
    </row>
    <row r="326" spans="2:7" x14ac:dyDescent="0.2">
      <c r="B326" s="129"/>
      <c r="C326" s="268" t="s">
        <v>278</v>
      </c>
      <c r="D326" s="231" t="s">
        <v>149</v>
      </c>
      <c r="E326" s="265">
        <v>1</v>
      </c>
      <c r="F326" s="279">
        <v>0</v>
      </c>
      <c r="G326" s="272">
        <f t="shared" si="31"/>
        <v>0</v>
      </c>
    </row>
    <row r="327" spans="2:7" x14ac:dyDescent="0.2">
      <c r="B327" s="129"/>
      <c r="C327" s="268" t="s">
        <v>295</v>
      </c>
      <c r="D327" s="231" t="s">
        <v>149</v>
      </c>
      <c r="E327" s="265">
        <v>1</v>
      </c>
      <c r="F327" s="279">
        <v>0</v>
      </c>
      <c r="G327" s="272">
        <f t="shared" si="31"/>
        <v>0</v>
      </c>
    </row>
    <row r="328" spans="2:7" x14ac:dyDescent="0.2">
      <c r="B328" s="129"/>
      <c r="C328" s="268" t="s">
        <v>296</v>
      </c>
      <c r="D328" s="231" t="s">
        <v>149</v>
      </c>
      <c r="E328" s="265">
        <v>1</v>
      </c>
      <c r="F328" s="279">
        <v>0</v>
      </c>
      <c r="G328" s="272">
        <f t="shared" si="31"/>
        <v>0</v>
      </c>
    </row>
    <row r="329" spans="2:7" x14ac:dyDescent="0.2">
      <c r="B329" s="129"/>
      <c r="C329" s="268" t="s">
        <v>297</v>
      </c>
      <c r="D329" s="231" t="s">
        <v>149</v>
      </c>
      <c r="E329" s="265">
        <v>1</v>
      </c>
      <c r="F329" s="279">
        <v>0</v>
      </c>
      <c r="G329" s="272">
        <f t="shared" si="31"/>
        <v>0</v>
      </c>
    </row>
    <row r="330" spans="2:7" x14ac:dyDescent="0.2">
      <c r="B330" s="129"/>
      <c r="C330" s="268" t="s">
        <v>281</v>
      </c>
      <c r="D330" s="231" t="s">
        <v>149</v>
      </c>
      <c r="E330" s="265">
        <v>1</v>
      </c>
      <c r="F330" s="279">
        <v>0</v>
      </c>
      <c r="G330" s="272">
        <f t="shared" si="31"/>
        <v>0</v>
      </c>
    </row>
    <row r="331" spans="2:7" x14ac:dyDescent="0.2">
      <c r="B331" s="129"/>
      <c r="C331" s="268" t="s">
        <v>282</v>
      </c>
      <c r="D331" s="231" t="s">
        <v>149</v>
      </c>
      <c r="E331" s="265">
        <v>1</v>
      </c>
      <c r="F331" s="279">
        <v>0</v>
      </c>
      <c r="G331" s="272">
        <f t="shared" si="31"/>
        <v>0</v>
      </c>
    </row>
    <row r="332" spans="2:7" x14ac:dyDescent="0.2">
      <c r="B332" s="129"/>
      <c r="C332" s="1810" t="s">
        <v>283</v>
      </c>
      <c r="D332" s="231" t="s">
        <v>149</v>
      </c>
      <c r="E332" s="265">
        <v>2</v>
      </c>
      <c r="F332" s="279">
        <v>0</v>
      </c>
      <c r="G332" s="272">
        <f t="shared" si="31"/>
        <v>0</v>
      </c>
    </row>
    <row r="333" spans="2:7" ht="48" x14ac:dyDescent="0.2">
      <c r="B333" s="129"/>
      <c r="C333" s="1810" t="s">
        <v>284</v>
      </c>
      <c r="D333" s="231" t="s">
        <v>149</v>
      </c>
      <c r="E333" s="265">
        <v>1</v>
      </c>
      <c r="F333" s="279">
        <v>0</v>
      </c>
      <c r="G333" s="272">
        <f t="shared" si="31"/>
        <v>0</v>
      </c>
    </row>
    <row r="334" spans="2:7" ht="36" x14ac:dyDescent="0.2">
      <c r="B334" s="129"/>
      <c r="C334" s="268" t="s">
        <v>285</v>
      </c>
      <c r="D334" s="231" t="s">
        <v>149</v>
      </c>
      <c r="E334" s="265">
        <v>1</v>
      </c>
      <c r="F334" s="279">
        <v>0</v>
      </c>
      <c r="G334" s="272">
        <f t="shared" si="31"/>
        <v>0</v>
      </c>
    </row>
    <row r="335" spans="2:7" x14ac:dyDescent="0.2">
      <c r="B335" s="129"/>
      <c r="C335" s="267" t="s">
        <v>298</v>
      </c>
      <c r="D335" s="231" t="s">
        <v>149</v>
      </c>
      <c r="E335" s="265">
        <v>2</v>
      </c>
      <c r="F335" s="279">
        <v>0</v>
      </c>
      <c r="G335" s="272">
        <f t="shared" si="31"/>
        <v>0</v>
      </c>
    </row>
    <row r="336" spans="2:7" x14ac:dyDescent="0.2">
      <c r="B336" s="129"/>
      <c r="C336" s="268" t="s">
        <v>193</v>
      </c>
      <c r="D336" s="231" t="s">
        <v>149</v>
      </c>
      <c r="E336" s="265">
        <v>1</v>
      </c>
      <c r="F336" s="279">
        <v>0</v>
      </c>
      <c r="G336" s="272">
        <f t="shared" si="31"/>
        <v>0</v>
      </c>
    </row>
    <row r="337" spans="2:8" x14ac:dyDescent="0.2">
      <c r="B337" s="129"/>
      <c r="C337" s="268" t="s">
        <v>194</v>
      </c>
      <c r="D337" s="231" t="s">
        <v>149</v>
      </c>
      <c r="E337" s="265">
        <v>1</v>
      </c>
      <c r="F337" s="279">
        <v>0</v>
      </c>
      <c r="G337" s="272">
        <f t="shared" si="31"/>
        <v>0</v>
      </c>
    </row>
    <row r="338" spans="2:8" x14ac:dyDescent="0.2">
      <c r="B338" s="129"/>
      <c r="C338" s="267" t="s">
        <v>286</v>
      </c>
      <c r="D338" s="231" t="s">
        <v>149</v>
      </c>
      <c r="E338" s="265">
        <v>1</v>
      </c>
      <c r="F338" s="279">
        <v>0</v>
      </c>
      <c r="G338" s="272">
        <f t="shared" si="31"/>
        <v>0</v>
      </c>
    </row>
    <row r="339" spans="2:8" x14ac:dyDescent="0.2">
      <c r="B339" s="129"/>
      <c r="C339" s="1810" t="s">
        <v>239</v>
      </c>
      <c r="D339" s="231" t="s">
        <v>149</v>
      </c>
      <c r="E339" s="265">
        <v>6</v>
      </c>
      <c r="F339" s="279">
        <v>0</v>
      </c>
      <c r="G339" s="272">
        <f t="shared" si="31"/>
        <v>0</v>
      </c>
    </row>
    <row r="340" spans="2:8" x14ac:dyDescent="0.2">
      <c r="B340" s="129"/>
      <c r="C340" s="1810" t="s">
        <v>240</v>
      </c>
      <c r="D340" s="231" t="s">
        <v>149</v>
      </c>
      <c r="E340" s="265">
        <v>6</v>
      </c>
      <c r="F340" s="279">
        <v>0</v>
      </c>
      <c r="G340" s="272">
        <f t="shared" si="31"/>
        <v>0</v>
      </c>
    </row>
    <row r="341" spans="2:8" x14ac:dyDescent="0.2">
      <c r="B341" s="129"/>
      <c r="C341" s="1810" t="s">
        <v>227</v>
      </c>
      <c r="D341" s="231" t="s">
        <v>149</v>
      </c>
      <c r="E341" s="265">
        <v>2</v>
      </c>
      <c r="F341" s="279">
        <v>0</v>
      </c>
      <c r="G341" s="272">
        <f t="shared" si="31"/>
        <v>0</v>
      </c>
    </row>
    <row r="342" spans="2:8" x14ac:dyDescent="0.2">
      <c r="B342" s="129"/>
      <c r="C342" s="1810" t="s">
        <v>197</v>
      </c>
      <c r="D342" s="231" t="s">
        <v>149</v>
      </c>
      <c r="E342" s="265">
        <v>1</v>
      </c>
      <c r="F342" s="279">
        <v>0</v>
      </c>
      <c r="G342" s="272">
        <f t="shared" si="31"/>
        <v>0</v>
      </c>
    </row>
    <row r="343" spans="2:8" x14ac:dyDescent="0.2">
      <c r="B343" s="129"/>
      <c r="C343" s="1809" t="s">
        <v>198</v>
      </c>
      <c r="D343" s="231" t="s">
        <v>149</v>
      </c>
      <c r="E343" s="265">
        <v>1</v>
      </c>
      <c r="F343" s="279">
        <v>0</v>
      </c>
      <c r="G343" s="272">
        <f t="shared" si="31"/>
        <v>0</v>
      </c>
    </row>
    <row r="344" spans="2:8" x14ac:dyDescent="0.2">
      <c r="B344" s="1464"/>
      <c r="C344" s="264"/>
      <c r="D344" s="486"/>
      <c r="E344" s="487"/>
      <c r="F344" s="279"/>
      <c r="G344" s="272"/>
    </row>
    <row r="345" spans="2:8" x14ac:dyDescent="0.2">
      <c r="B345" s="292" t="s">
        <v>270</v>
      </c>
      <c r="C345" s="280" t="s">
        <v>300</v>
      </c>
      <c r="D345" s="281"/>
      <c r="E345" s="282"/>
      <c r="F345" s="283"/>
      <c r="G345" s="284"/>
    </row>
    <row r="346" spans="2:8" ht="60" x14ac:dyDescent="0.2">
      <c r="B346" s="135"/>
      <c r="C346" s="285" t="s">
        <v>301</v>
      </c>
      <c r="D346" s="286" t="s">
        <v>149</v>
      </c>
      <c r="E346" s="287">
        <v>55</v>
      </c>
      <c r="F346" s="288">
        <v>0</v>
      </c>
      <c r="G346" s="289">
        <f t="shared" ref="G346" si="32">E346*F346</f>
        <v>0</v>
      </c>
    </row>
    <row r="347" spans="2:8" s="136" customFormat="1" ht="25.5" customHeight="1" x14ac:dyDescent="0.2">
      <c r="B347" s="293" t="s">
        <v>17</v>
      </c>
      <c r="C347" s="294" t="s">
        <v>302</v>
      </c>
      <c r="D347" s="218"/>
      <c r="E347" s="203"/>
      <c r="F347" s="204"/>
      <c r="G347" s="290">
        <f>SUM(G96:G346)</f>
        <v>0</v>
      </c>
      <c r="H347" s="565"/>
    </row>
  </sheetData>
  <mergeCells count="8">
    <mergeCell ref="B95:G95"/>
    <mergeCell ref="B109:B112"/>
    <mergeCell ref="C6:G6"/>
    <mergeCell ref="B41:G41"/>
    <mergeCell ref="B52:B54"/>
    <mergeCell ref="B68:B69"/>
    <mergeCell ref="B93:G93"/>
    <mergeCell ref="B94:G94"/>
  </mergeCells>
  <pageMargins left="0.7" right="0.7" top="0.75" bottom="0.75" header="0.3" footer="0.3"/>
  <pageSetup paperSize="9" scale="85" orientation="portrait" r:id="rId1"/>
  <headerFooter alignWithMargins="0">
    <oddFooter>&amp;C&amp;8&amp;P/&amp;N</oddFooter>
  </headerFooter>
  <rowBreaks count="4" manualBreakCount="4">
    <brk id="19" max="16383" man="1"/>
    <brk id="37" max="16383" man="1"/>
    <brk id="85" max="16383" man="1"/>
    <brk id="344"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3CC0-1F8A-4921-BD98-8A6CFA9CFEFE}">
  <sheetPr>
    <tabColor theme="0" tint="-0.14999847407452621"/>
  </sheetPr>
  <dimension ref="A2:L144"/>
  <sheetViews>
    <sheetView showZeros="0" topLeftCell="A58" zoomScale="110" zoomScaleNormal="110" zoomScaleSheetLayoutView="100" workbookViewId="0">
      <selection activeCell="C66" sqref="C6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1779</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G75</f>
        <v>0</v>
      </c>
      <c r="H16" s="569"/>
    </row>
    <row r="17" spans="2:8" s="1792" customFormat="1" ht="18.75" customHeight="1" x14ac:dyDescent="0.25">
      <c r="B17" s="1793" t="s">
        <v>17</v>
      </c>
      <c r="C17" s="1794" t="s">
        <v>87</v>
      </c>
      <c r="D17" s="1795"/>
      <c r="E17" s="1796"/>
      <c r="F17" s="1797"/>
      <c r="G17" s="474">
        <f>G144</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1897</v>
      </c>
      <c r="F24" s="467">
        <v>0</v>
      </c>
      <c r="G24" s="352">
        <f t="shared" ref="G24" si="0">E24*F24</f>
        <v>0</v>
      </c>
    </row>
    <row r="25" spans="2:8" x14ac:dyDescent="0.2">
      <c r="B25" s="129">
        <v>2</v>
      </c>
      <c r="C25" s="206" t="s">
        <v>96</v>
      </c>
      <c r="D25" s="207" t="s">
        <v>95</v>
      </c>
      <c r="E25" s="353">
        <f>E24</f>
        <v>1897</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3</v>
      </c>
      <c r="F29" s="467">
        <v>0</v>
      </c>
      <c r="G29" s="352">
        <f t="shared" si="1"/>
        <v>0</v>
      </c>
    </row>
    <row r="30" spans="2:8" ht="36" x14ac:dyDescent="0.2">
      <c r="B30" s="129">
        <v>7</v>
      </c>
      <c r="C30" s="3165" t="s">
        <v>2590</v>
      </c>
      <c r="D30" s="210" t="s">
        <v>95</v>
      </c>
      <c r="E30" s="353">
        <v>2099</v>
      </c>
      <c r="F30" s="467">
        <v>0</v>
      </c>
      <c r="G30" s="352">
        <f t="shared" si="1"/>
        <v>0</v>
      </c>
      <c r="H30" s="571"/>
    </row>
    <row r="31" spans="2:8" ht="27.75" customHeight="1" x14ac:dyDescent="0.2">
      <c r="B31" s="129">
        <v>8</v>
      </c>
      <c r="C31" s="3165" t="s">
        <v>2591</v>
      </c>
      <c r="D31" s="210" t="s">
        <v>95</v>
      </c>
      <c r="E31" s="353">
        <v>2099</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(2099*1*1.4*0.07)</f>
        <v>205.70200000000003</v>
      </c>
      <c r="F41" s="467">
        <v>0</v>
      </c>
      <c r="G41" s="352">
        <f t="shared" ref="G41:G74" si="2">E41*F41</f>
        <v>0</v>
      </c>
      <c r="I41" s="132"/>
    </row>
    <row r="42" spans="2:12" ht="39" customHeight="1" x14ac:dyDescent="0.2">
      <c r="B42" s="131">
        <v>2</v>
      </c>
      <c r="C42" s="206" t="s">
        <v>113</v>
      </c>
      <c r="D42" s="207" t="s">
        <v>95</v>
      </c>
      <c r="E42" s="353">
        <f>0.6*2099</f>
        <v>1259.3999999999999</v>
      </c>
      <c r="F42" s="467">
        <v>0</v>
      </c>
      <c r="G42" s="352">
        <f t="shared" si="2"/>
        <v>0</v>
      </c>
      <c r="I42" s="132"/>
    </row>
    <row r="43" spans="2:12" ht="36" x14ac:dyDescent="0.2">
      <c r="B43" s="131">
        <v>3</v>
      </c>
      <c r="C43" s="206" t="s">
        <v>114</v>
      </c>
      <c r="D43" s="209" t="s">
        <v>112</v>
      </c>
      <c r="E43" s="353">
        <f>((2099*1*1.4)-E41)*0.1</f>
        <v>273.28979999999996</v>
      </c>
      <c r="F43" s="467">
        <v>0</v>
      </c>
      <c r="G43" s="352">
        <f t="shared" si="2"/>
        <v>0</v>
      </c>
      <c r="I43" s="133"/>
      <c r="K43" s="134"/>
      <c r="L43" s="134"/>
    </row>
    <row r="44" spans="2:12" ht="39.75" customHeight="1" x14ac:dyDescent="0.2">
      <c r="B44" s="131">
        <v>4</v>
      </c>
      <c r="C44" s="206" t="s">
        <v>115</v>
      </c>
      <c r="D44" s="209" t="s">
        <v>112</v>
      </c>
      <c r="E44" s="353">
        <f>((2099*1*1.4)-E41)*0.9</f>
        <v>2459.6081999999997</v>
      </c>
      <c r="F44" s="467">
        <v>0</v>
      </c>
      <c r="G44" s="352">
        <f t="shared" si="2"/>
        <v>0</v>
      </c>
      <c r="I44" s="133"/>
      <c r="J44" s="134"/>
    </row>
    <row r="45" spans="2:12" ht="29.25" customHeight="1" x14ac:dyDescent="0.2">
      <c r="B45" s="131">
        <v>5</v>
      </c>
      <c r="C45" s="311" t="s">
        <v>116</v>
      </c>
      <c r="D45" s="219" t="s">
        <v>117</v>
      </c>
      <c r="E45" s="471">
        <f>2099*1.4</f>
        <v>2938.6</v>
      </c>
      <c r="F45" s="467">
        <v>0</v>
      </c>
      <c r="G45" s="352">
        <f t="shared" si="2"/>
        <v>0</v>
      </c>
      <c r="I45" s="132"/>
    </row>
    <row r="46" spans="2:12" ht="29.25" customHeight="1" x14ac:dyDescent="0.2">
      <c r="B46" s="131">
        <v>6</v>
      </c>
      <c r="C46" s="206" t="s">
        <v>118</v>
      </c>
      <c r="D46" s="209" t="s">
        <v>117</v>
      </c>
      <c r="E46" s="353">
        <f>2099*1</f>
        <v>2099</v>
      </c>
      <c r="F46" s="467">
        <v>0</v>
      </c>
      <c r="G46" s="352">
        <f t="shared" si="2"/>
        <v>0</v>
      </c>
      <c r="I46" s="132"/>
    </row>
    <row r="47" spans="2:12" ht="27" customHeight="1" x14ac:dyDescent="0.2">
      <c r="B47" s="131">
        <v>7</v>
      </c>
      <c r="C47" s="206" t="s">
        <v>304</v>
      </c>
      <c r="D47" s="209" t="s">
        <v>112</v>
      </c>
      <c r="E47" s="353">
        <v>596.73</v>
      </c>
      <c r="F47" s="467">
        <v>0</v>
      </c>
      <c r="G47" s="352">
        <f t="shared" si="2"/>
        <v>0</v>
      </c>
      <c r="I47" s="133"/>
    </row>
    <row r="48" spans="2:12" ht="24" x14ac:dyDescent="0.2">
      <c r="B48" s="131">
        <v>8</v>
      </c>
      <c r="C48" s="206" t="s">
        <v>119</v>
      </c>
      <c r="D48" s="209" t="s">
        <v>112</v>
      </c>
      <c r="E48" s="353">
        <v>1566.57</v>
      </c>
      <c r="F48" s="467">
        <v>0</v>
      </c>
      <c r="G48" s="352">
        <f t="shared" si="2"/>
        <v>0</v>
      </c>
      <c r="I48" s="134"/>
    </row>
    <row r="49" spans="2:11" ht="40.5" customHeight="1" x14ac:dyDescent="0.2">
      <c r="B49" s="131">
        <v>9</v>
      </c>
      <c r="C49" s="208" t="s">
        <v>120</v>
      </c>
      <c r="D49" s="209" t="s">
        <v>112</v>
      </c>
      <c r="E49" s="353">
        <v>492.14</v>
      </c>
      <c r="F49" s="467">
        <v>0</v>
      </c>
      <c r="G49" s="352">
        <f t="shared" si="2"/>
        <v>0</v>
      </c>
      <c r="I49" s="1365"/>
      <c r="J49" s="1365"/>
      <c r="K49" s="1365"/>
    </row>
    <row r="50" spans="2:11" s="130" customFormat="1" ht="39" customHeight="1" x14ac:dyDescent="0.2">
      <c r="B50" s="131">
        <v>10</v>
      </c>
      <c r="C50" s="314" t="s">
        <v>1780</v>
      </c>
      <c r="D50" s="210" t="s">
        <v>112</v>
      </c>
      <c r="E50" s="353">
        <v>343.88</v>
      </c>
      <c r="F50" s="467">
        <v>0</v>
      </c>
      <c r="G50" s="352">
        <f t="shared" si="2"/>
        <v>0</v>
      </c>
      <c r="H50" s="565"/>
      <c r="I50" s="1263"/>
      <c r="J50" s="1263"/>
    </row>
    <row r="51" spans="2:11" s="147" customFormat="1" ht="54" customHeight="1" x14ac:dyDescent="0.25">
      <c r="B51" s="3187">
        <v>11</v>
      </c>
      <c r="C51" s="308" t="s">
        <v>122</v>
      </c>
      <c r="D51" s="210"/>
      <c r="E51" s="353"/>
      <c r="F51" s="467"/>
      <c r="G51" s="352"/>
      <c r="H51" s="572"/>
    </row>
    <row r="52" spans="2:11" s="147" customFormat="1" ht="15" customHeight="1" x14ac:dyDescent="0.25">
      <c r="B52" s="3188"/>
      <c r="C52" s="308" t="s">
        <v>124</v>
      </c>
      <c r="D52" s="207" t="s">
        <v>95</v>
      </c>
      <c r="E52" s="353">
        <v>40</v>
      </c>
      <c r="F52" s="467">
        <v>0</v>
      </c>
      <c r="G52" s="352">
        <f t="shared" si="2"/>
        <v>0</v>
      </c>
      <c r="H52" s="572"/>
    </row>
    <row r="53" spans="2:11" s="147" customFormat="1" ht="15" customHeight="1" x14ac:dyDescent="0.25">
      <c r="B53" s="3189"/>
      <c r="C53" s="308" t="s">
        <v>305</v>
      </c>
      <c r="D53" s="207" t="s">
        <v>95</v>
      </c>
      <c r="E53" s="353">
        <v>15</v>
      </c>
      <c r="F53" s="467">
        <v>0</v>
      </c>
      <c r="G53" s="352">
        <f t="shared" si="2"/>
        <v>0</v>
      </c>
      <c r="H53" s="572"/>
    </row>
    <row r="54" spans="2:11" ht="25.5" customHeight="1" x14ac:dyDescent="0.2">
      <c r="B54" s="131">
        <v>12</v>
      </c>
      <c r="C54" s="206" t="s">
        <v>125</v>
      </c>
      <c r="D54" s="209" t="s">
        <v>95</v>
      </c>
      <c r="E54" s="353">
        <v>635.70000000000005</v>
      </c>
      <c r="F54" s="467">
        <v>0</v>
      </c>
      <c r="G54" s="352">
        <f t="shared" si="2"/>
        <v>0</v>
      </c>
      <c r="H54" s="571"/>
    </row>
    <row r="55" spans="2:11" ht="16.5" customHeight="1" x14ac:dyDescent="0.2">
      <c r="B55" s="131">
        <v>13</v>
      </c>
      <c r="C55" s="206" t="s">
        <v>126</v>
      </c>
      <c r="D55" s="207" t="s">
        <v>117</v>
      </c>
      <c r="E55" s="353">
        <f>E54*1.15</f>
        <v>731.05499999999995</v>
      </c>
      <c r="F55" s="467">
        <v>0</v>
      </c>
      <c r="G55" s="352">
        <f t="shared" si="2"/>
        <v>0</v>
      </c>
      <c r="H55" s="571"/>
    </row>
    <row r="56" spans="2:11" ht="48" x14ac:dyDescent="0.2">
      <c r="B56" s="131">
        <v>14</v>
      </c>
      <c r="C56" s="206" t="s">
        <v>127</v>
      </c>
      <c r="D56" s="207" t="s">
        <v>117</v>
      </c>
      <c r="E56" s="353">
        <f>E55</f>
        <v>731.05499999999995</v>
      </c>
      <c r="F56" s="467">
        <v>0</v>
      </c>
      <c r="G56" s="352">
        <f t="shared" si="2"/>
        <v>0</v>
      </c>
      <c r="H56" s="571"/>
    </row>
    <row r="57" spans="2:11" ht="65.25" customHeight="1" x14ac:dyDescent="0.2">
      <c r="B57" s="131">
        <v>15</v>
      </c>
      <c r="C57" s="314" t="s">
        <v>706</v>
      </c>
      <c r="D57" s="209" t="s">
        <v>117</v>
      </c>
      <c r="E57" s="353">
        <v>414.04</v>
      </c>
      <c r="F57" s="467">
        <v>0</v>
      </c>
      <c r="G57" s="352">
        <f t="shared" si="2"/>
        <v>0</v>
      </c>
      <c r="H57" s="571"/>
      <c r="I57" s="1370"/>
    </row>
    <row r="58" spans="2:11" ht="51.75" customHeight="1" x14ac:dyDescent="0.2">
      <c r="B58" s="312" t="s">
        <v>576</v>
      </c>
      <c r="C58" s="208" t="s">
        <v>129</v>
      </c>
      <c r="D58" s="209" t="s">
        <v>117</v>
      </c>
      <c r="E58" s="353">
        <v>185.02</v>
      </c>
      <c r="F58" s="467">
        <v>0</v>
      </c>
      <c r="G58" s="352">
        <f t="shared" si="2"/>
        <v>0</v>
      </c>
      <c r="H58" s="571"/>
      <c r="K58" s="1368"/>
    </row>
    <row r="59" spans="2:11" ht="64.5" customHeight="1" x14ac:dyDescent="0.2">
      <c r="B59" s="312" t="s">
        <v>578</v>
      </c>
      <c r="C59" s="208" t="s">
        <v>708</v>
      </c>
      <c r="D59" s="209" t="s">
        <v>117</v>
      </c>
      <c r="E59" s="353">
        <v>185.02</v>
      </c>
      <c r="F59" s="467">
        <v>0</v>
      </c>
      <c r="G59" s="352">
        <f t="shared" si="2"/>
        <v>0</v>
      </c>
      <c r="H59" s="571"/>
      <c r="I59" s="1365"/>
    </row>
    <row r="60" spans="2:11" ht="76.5" customHeight="1" x14ac:dyDescent="0.2">
      <c r="B60" s="312" t="s">
        <v>580</v>
      </c>
      <c r="C60" s="208" t="s">
        <v>711</v>
      </c>
      <c r="D60" s="209" t="s">
        <v>117</v>
      </c>
      <c r="E60" s="353">
        <v>132</v>
      </c>
      <c r="F60" s="467">
        <v>0</v>
      </c>
      <c r="G60" s="352">
        <f>E60*F60</f>
        <v>0</v>
      </c>
      <c r="H60" s="571"/>
    </row>
    <row r="61" spans="2:11" ht="38.25" customHeight="1" x14ac:dyDescent="0.2">
      <c r="B61" s="312" t="s">
        <v>582</v>
      </c>
      <c r="C61" s="206" t="s">
        <v>132</v>
      </c>
      <c r="D61" s="207" t="s">
        <v>117</v>
      </c>
      <c r="E61" s="353">
        <v>49</v>
      </c>
      <c r="F61" s="467">
        <v>0</v>
      </c>
      <c r="G61" s="352">
        <f t="shared" si="2"/>
        <v>0</v>
      </c>
    </row>
    <row r="62" spans="2:11" ht="14.25" customHeight="1" x14ac:dyDescent="0.2">
      <c r="B62" s="312" t="s">
        <v>584</v>
      </c>
      <c r="C62" s="206" t="s">
        <v>134</v>
      </c>
      <c r="D62" s="209" t="s">
        <v>112</v>
      </c>
      <c r="E62" s="353">
        <v>1372.03</v>
      </c>
      <c r="F62" s="467">
        <v>0</v>
      </c>
      <c r="G62" s="352">
        <f t="shared" si="2"/>
        <v>0</v>
      </c>
      <c r="I62" s="1365"/>
    </row>
    <row r="63" spans="2:11" ht="15.75" customHeight="1" x14ac:dyDescent="0.2">
      <c r="B63" s="312" t="s">
        <v>586</v>
      </c>
      <c r="C63" s="206" t="s">
        <v>135</v>
      </c>
      <c r="D63" s="209" t="s">
        <v>112</v>
      </c>
      <c r="E63" s="353">
        <v>1372.03</v>
      </c>
      <c r="F63" s="467">
        <v>0</v>
      </c>
      <c r="G63" s="352">
        <f t="shared" si="2"/>
        <v>0</v>
      </c>
    </row>
    <row r="64" spans="2:11" ht="27.75" customHeight="1" x14ac:dyDescent="0.2">
      <c r="B64" s="312" t="s">
        <v>588</v>
      </c>
      <c r="C64" s="206" t="s">
        <v>136</v>
      </c>
      <c r="D64" s="209" t="s">
        <v>117</v>
      </c>
      <c r="E64" s="353">
        <v>699.27</v>
      </c>
      <c r="F64" s="467">
        <v>0</v>
      </c>
      <c r="G64" s="352">
        <f t="shared" si="2"/>
        <v>0</v>
      </c>
    </row>
    <row r="65" spans="1:9" ht="30" customHeight="1" x14ac:dyDescent="0.2">
      <c r="B65" s="312" t="s">
        <v>590</v>
      </c>
      <c r="C65" s="206" t="s">
        <v>138</v>
      </c>
      <c r="D65" s="207" t="s">
        <v>117</v>
      </c>
      <c r="E65" s="353">
        <v>877</v>
      </c>
      <c r="F65" s="467">
        <v>0</v>
      </c>
      <c r="G65" s="352">
        <f t="shared" si="2"/>
        <v>0</v>
      </c>
    </row>
    <row r="66" spans="1:9" s="130" customFormat="1" ht="51.75" customHeight="1" x14ac:dyDescent="0.2">
      <c r="B66" s="2721">
        <v>24</v>
      </c>
      <c r="C66" s="408" t="s">
        <v>139</v>
      </c>
      <c r="D66" s="221"/>
      <c r="E66" s="353"/>
      <c r="F66" s="467"/>
      <c r="G66" s="352"/>
      <c r="H66" s="565"/>
    </row>
    <row r="67" spans="1:9" s="130" customFormat="1" x14ac:dyDescent="0.2">
      <c r="B67" s="2722"/>
      <c r="C67" s="291" t="s">
        <v>713</v>
      </c>
      <c r="D67" s="221" t="s">
        <v>95</v>
      </c>
      <c r="E67" s="353">
        <v>43</v>
      </c>
      <c r="F67" s="467">
        <v>0</v>
      </c>
      <c r="G67" s="352">
        <f t="shared" si="2"/>
        <v>0</v>
      </c>
      <c r="H67" s="565"/>
    </row>
    <row r="68" spans="1:9" ht="39.75" customHeight="1" x14ac:dyDescent="0.2">
      <c r="B68" s="131">
        <v>25</v>
      </c>
      <c r="C68" s="409" t="s">
        <v>142</v>
      </c>
      <c r="D68" s="207" t="s">
        <v>117</v>
      </c>
      <c r="E68" s="353">
        <v>32</v>
      </c>
      <c r="F68" s="467">
        <v>0</v>
      </c>
      <c r="G68" s="352">
        <f t="shared" si="2"/>
        <v>0</v>
      </c>
      <c r="I68" s="1372"/>
    </row>
    <row r="69" spans="1:9" ht="25.5" customHeight="1" x14ac:dyDescent="0.2">
      <c r="B69" s="131">
        <v>26</v>
      </c>
      <c r="C69" s="409" t="s">
        <v>143</v>
      </c>
      <c r="D69" s="207" t="s">
        <v>95</v>
      </c>
      <c r="E69" s="353">
        <v>49</v>
      </c>
      <c r="F69" s="467">
        <v>0</v>
      </c>
      <c r="G69" s="352">
        <f t="shared" si="2"/>
        <v>0</v>
      </c>
      <c r="H69" s="571"/>
    </row>
    <row r="70" spans="1:9" ht="25.5" customHeight="1" x14ac:dyDescent="0.2">
      <c r="B70" s="131">
        <v>27</v>
      </c>
      <c r="C70" s="409" t="s">
        <v>718</v>
      </c>
      <c r="D70" s="207" t="s">
        <v>95</v>
      </c>
      <c r="E70" s="353">
        <v>28</v>
      </c>
      <c r="F70" s="467">
        <v>0</v>
      </c>
      <c r="G70" s="352">
        <f t="shared" si="2"/>
        <v>0</v>
      </c>
      <c r="H70" s="571"/>
    </row>
    <row r="71" spans="1:9" ht="29.25" customHeight="1" x14ac:dyDescent="0.2">
      <c r="B71" s="131">
        <v>28</v>
      </c>
      <c r="C71" s="410" t="s">
        <v>151</v>
      </c>
      <c r="D71" s="222" t="s">
        <v>112</v>
      </c>
      <c r="E71" s="472">
        <v>5.5</v>
      </c>
      <c r="F71" s="467">
        <v>0</v>
      </c>
      <c r="G71" s="352">
        <f t="shared" si="2"/>
        <v>0</v>
      </c>
    </row>
    <row r="72" spans="1:9" ht="36.75" customHeight="1" x14ac:dyDescent="0.2">
      <c r="B72" s="131">
        <v>29</v>
      </c>
      <c r="C72" s="1366" t="s">
        <v>152</v>
      </c>
      <c r="D72" s="1367" t="s">
        <v>149</v>
      </c>
      <c r="E72" s="1359">
        <v>20</v>
      </c>
      <c r="F72" s="467">
        <v>0</v>
      </c>
      <c r="G72" s="1361">
        <f t="shared" si="2"/>
        <v>0</v>
      </c>
    </row>
    <row r="73" spans="1:9" ht="30" customHeight="1" x14ac:dyDescent="0.2">
      <c r="B73" s="131">
        <v>30</v>
      </c>
      <c r="C73" s="223" t="s">
        <v>153</v>
      </c>
      <c r="D73" s="222" t="s">
        <v>112</v>
      </c>
      <c r="E73" s="472">
        <v>5</v>
      </c>
      <c r="F73" s="467">
        <v>0</v>
      </c>
      <c r="G73" s="352">
        <f t="shared" si="2"/>
        <v>0</v>
      </c>
    </row>
    <row r="74" spans="1:9" ht="28.5" customHeight="1" x14ac:dyDescent="0.2">
      <c r="B74" s="131">
        <v>31</v>
      </c>
      <c r="C74" s="223" t="s">
        <v>155</v>
      </c>
      <c r="D74" s="222" t="s">
        <v>156</v>
      </c>
      <c r="E74" s="472">
        <v>10</v>
      </c>
      <c r="F74" s="467">
        <v>0</v>
      </c>
      <c r="G74" s="352">
        <f t="shared" si="2"/>
        <v>0</v>
      </c>
    </row>
    <row r="75" spans="1:9" s="147" customFormat="1" ht="21.75" customHeight="1" x14ac:dyDescent="0.25">
      <c r="B75" s="327" t="s">
        <v>12</v>
      </c>
      <c r="C75" s="214" t="s">
        <v>157</v>
      </c>
      <c r="D75" s="224"/>
      <c r="E75" s="215"/>
      <c r="F75" s="216"/>
      <c r="G75" s="290">
        <f>SUM(G41:G74)</f>
        <v>0</v>
      </c>
      <c r="H75" s="150"/>
    </row>
    <row r="76" spans="1:9" x14ac:dyDescent="0.2">
      <c r="B76" s="129"/>
      <c r="C76" s="197"/>
      <c r="D76" s="198"/>
      <c r="E76" s="353"/>
      <c r="F76" s="358"/>
      <c r="G76" s="350"/>
    </row>
    <row r="77" spans="1:9" ht="24" x14ac:dyDescent="0.2">
      <c r="B77" s="128" t="s">
        <v>83</v>
      </c>
      <c r="C77" s="192" t="s">
        <v>89</v>
      </c>
      <c r="D77" s="192" t="s">
        <v>90</v>
      </c>
      <c r="E77" s="194" t="s">
        <v>91</v>
      </c>
      <c r="F77" s="195" t="s">
        <v>92</v>
      </c>
      <c r="G77" s="196" t="s">
        <v>93</v>
      </c>
    </row>
    <row r="78" spans="1:9" x14ac:dyDescent="0.2">
      <c r="B78" s="129"/>
      <c r="C78" s="197"/>
      <c r="D78" s="207"/>
      <c r="E78" s="353"/>
      <c r="F78" s="358"/>
      <c r="G78" s="350"/>
    </row>
    <row r="79" spans="1:9" s="295" customFormat="1" ht="20.25" x14ac:dyDescent="0.3">
      <c r="B79" s="296" t="s">
        <v>17</v>
      </c>
      <c r="C79" s="297" t="s">
        <v>158</v>
      </c>
      <c r="D79" s="298"/>
      <c r="E79" s="299"/>
      <c r="F79" s="300"/>
      <c r="G79" s="301"/>
      <c r="H79" s="570"/>
    </row>
    <row r="80" spans="1:9" s="139" customFormat="1" ht="18" customHeight="1" x14ac:dyDescent="0.2">
      <c r="A80" s="140"/>
      <c r="B80" s="143" t="s">
        <v>1</v>
      </c>
      <c r="C80" s="168"/>
      <c r="D80" s="170"/>
      <c r="E80" s="170"/>
      <c r="F80" s="170"/>
      <c r="G80" s="169"/>
    </row>
    <row r="81" spans="1:9" s="139" customFormat="1" ht="18" customHeight="1" x14ac:dyDescent="0.25">
      <c r="A81" s="141"/>
      <c r="B81" s="144" t="s">
        <v>2</v>
      </c>
      <c r="C81" s="171"/>
      <c r="D81" s="172"/>
      <c r="E81" s="173"/>
      <c r="F81" s="173"/>
      <c r="G81" s="172"/>
    </row>
    <row r="82" spans="1:9" s="139" customFormat="1" ht="18" customHeight="1" x14ac:dyDescent="0.2">
      <c r="A82" s="140"/>
      <c r="B82" s="143" t="s">
        <v>3</v>
      </c>
      <c r="C82" s="168"/>
      <c r="D82" s="170"/>
      <c r="E82" s="170"/>
      <c r="F82" s="170"/>
      <c r="G82" s="169"/>
    </row>
    <row r="83" spans="1:9" s="139" customFormat="1" ht="18" customHeight="1" x14ac:dyDescent="0.25">
      <c r="A83" s="141"/>
      <c r="B83" s="144" t="s">
        <v>4</v>
      </c>
      <c r="C83" s="171"/>
      <c r="D83" s="173"/>
      <c r="E83" s="173"/>
      <c r="F83" s="173"/>
      <c r="G83" s="172"/>
    </row>
    <row r="84" spans="1:9" s="130" customFormat="1" ht="18.75" customHeight="1" x14ac:dyDescent="0.2">
      <c r="B84" s="3184" t="s">
        <v>159</v>
      </c>
      <c r="C84" s="3185"/>
      <c r="D84" s="3185"/>
      <c r="E84" s="3185"/>
      <c r="F84" s="3185"/>
      <c r="G84" s="3186"/>
      <c r="H84" s="565"/>
    </row>
    <row r="85" spans="1:9" s="130" customFormat="1" ht="18.75" customHeight="1" x14ac:dyDescent="0.2">
      <c r="B85" s="3184" t="s">
        <v>160</v>
      </c>
      <c r="C85" s="3185"/>
      <c r="D85" s="3185"/>
      <c r="E85" s="3185"/>
      <c r="F85" s="3185"/>
      <c r="G85" s="3186"/>
      <c r="H85" s="565"/>
    </row>
    <row r="86" spans="1:9" s="130" customFormat="1" ht="18.75" customHeight="1" x14ac:dyDescent="0.2">
      <c r="B86" s="3184" t="s">
        <v>161</v>
      </c>
      <c r="C86" s="3185"/>
      <c r="D86" s="3185"/>
      <c r="E86" s="3185"/>
      <c r="F86" s="3185"/>
      <c r="G86" s="3186"/>
      <c r="H86" s="565"/>
    </row>
    <row r="87" spans="1:9" ht="30" customHeight="1" x14ac:dyDescent="0.2">
      <c r="B87" s="153">
        <v>1</v>
      </c>
      <c r="C87" s="1806" t="s">
        <v>162</v>
      </c>
      <c r="D87" s="226"/>
      <c r="E87" s="353"/>
      <c r="F87" s="358"/>
      <c r="G87" s="350"/>
    </row>
    <row r="88" spans="1:9" s="147" customFormat="1" ht="18.75" customHeight="1" x14ac:dyDescent="0.25">
      <c r="B88" s="148"/>
      <c r="C88" s="1807" t="s">
        <v>821</v>
      </c>
      <c r="D88" s="226" t="s">
        <v>95</v>
      </c>
      <c r="E88" s="353">
        <v>1397</v>
      </c>
      <c r="F88" s="467">
        <v>0</v>
      </c>
      <c r="G88" s="352">
        <f t="shared" ref="G88:G93" si="3">E88*F88</f>
        <v>0</v>
      </c>
      <c r="H88" s="150"/>
      <c r="I88" s="490"/>
    </row>
    <row r="89" spans="1:9" s="147" customFormat="1" ht="27" customHeight="1" x14ac:dyDescent="0.25">
      <c r="B89" s="148"/>
      <c r="C89" s="1807" t="s">
        <v>822</v>
      </c>
      <c r="D89" s="226" t="s">
        <v>95</v>
      </c>
      <c r="E89" s="353">
        <v>155</v>
      </c>
      <c r="F89" s="467">
        <v>0</v>
      </c>
      <c r="G89" s="352">
        <f t="shared" si="3"/>
        <v>0</v>
      </c>
      <c r="H89" s="150"/>
      <c r="I89" s="490"/>
    </row>
    <row r="90" spans="1:9" s="147" customFormat="1" ht="18.75" customHeight="1" x14ac:dyDescent="0.25">
      <c r="B90" s="148"/>
      <c r="C90" s="1807" t="s">
        <v>1781</v>
      </c>
      <c r="D90" s="226" t="s">
        <v>95</v>
      </c>
      <c r="E90" s="353">
        <v>310</v>
      </c>
      <c r="F90" s="467">
        <v>0</v>
      </c>
      <c r="G90" s="352">
        <f t="shared" si="3"/>
        <v>0</v>
      </c>
      <c r="H90" s="150"/>
      <c r="I90" s="490"/>
    </row>
    <row r="91" spans="1:9" s="147" customFormat="1" ht="27" customHeight="1" x14ac:dyDescent="0.25">
      <c r="B91" s="148"/>
      <c r="C91" s="1807" t="s">
        <v>1782</v>
      </c>
      <c r="D91" s="226" t="s">
        <v>95</v>
      </c>
      <c r="E91" s="353">
        <v>35</v>
      </c>
      <c r="F91" s="467">
        <v>0</v>
      </c>
      <c r="G91" s="352">
        <f t="shared" si="3"/>
        <v>0</v>
      </c>
      <c r="H91" s="150"/>
      <c r="I91" s="490"/>
    </row>
    <row r="92" spans="1:9" s="147" customFormat="1" ht="18.75" customHeight="1" x14ac:dyDescent="0.25">
      <c r="B92" s="148"/>
      <c r="C92" s="1807" t="s">
        <v>165</v>
      </c>
      <c r="D92" s="226" t="s">
        <v>95</v>
      </c>
      <c r="E92" s="353">
        <v>181</v>
      </c>
      <c r="F92" s="467">
        <v>0</v>
      </c>
      <c r="G92" s="352">
        <f t="shared" si="3"/>
        <v>0</v>
      </c>
      <c r="H92" s="150"/>
      <c r="I92" s="490"/>
    </row>
    <row r="93" spans="1:9" s="147" customFormat="1" ht="27" customHeight="1" x14ac:dyDescent="0.25">
      <c r="B93" s="148"/>
      <c r="C93" s="1807" t="s">
        <v>166</v>
      </c>
      <c r="D93" s="226" t="s">
        <v>95</v>
      </c>
      <c r="E93" s="353">
        <v>21</v>
      </c>
      <c r="F93" s="467">
        <v>0</v>
      </c>
      <c r="G93" s="352">
        <f t="shared" si="3"/>
        <v>0</v>
      </c>
      <c r="H93" s="150"/>
      <c r="I93" s="490"/>
    </row>
    <row r="94" spans="1:9" s="130" customFormat="1" ht="36" x14ac:dyDescent="0.2">
      <c r="B94" s="3181" t="s">
        <v>167</v>
      </c>
      <c r="C94" s="310" t="s">
        <v>168</v>
      </c>
      <c r="D94" s="221"/>
      <c r="E94" s="353"/>
      <c r="F94" s="467"/>
      <c r="G94" s="352"/>
      <c r="H94" s="565"/>
    </row>
    <row r="95" spans="1:9" ht="12.75" customHeight="1" x14ac:dyDescent="0.2">
      <c r="B95" s="3182"/>
      <c r="C95" s="291" t="s">
        <v>169</v>
      </c>
      <c r="D95" s="221" t="s">
        <v>95</v>
      </c>
      <c r="E95" s="353">
        <v>80</v>
      </c>
      <c r="F95" s="467">
        <v>0</v>
      </c>
      <c r="G95" s="352">
        <f t="shared" ref="G95:G97" si="4">E95*F95</f>
        <v>0</v>
      </c>
    </row>
    <row r="96" spans="1:9" ht="12.75" customHeight="1" x14ac:dyDescent="0.2">
      <c r="B96" s="3183"/>
      <c r="C96" s="291" t="s">
        <v>170</v>
      </c>
      <c r="D96" s="221" t="s">
        <v>95</v>
      </c>
      <c r="E96" s="353">
        <v>20</v>
      </c>
      <c r="F96" s="467">
        <v>0</v>
      </c>
      <c r="G96" s="352">
        <f t="shared" si="4"/>
        <v>0</v>
      </c>
    </row>
    <row r="97" spans="2:8" ht="36" x14ac:dyDescent="0.2">
      <c r="B97" s="154">
        <v>2</v>
      </c>
      <c r="C97" s="227" t="s">
        <v>172</v>
      </c>
      <c r="D97" s="209" t="s">
        <v>95</v>
      </c>
      <c r="E97" s="348">
        <f>SUM(E88:E93)</f>
        <v>2099</v>
      </c>
      <c r="F97" s="467">
        <v>0</v>
      </c>
      <c r="G97" s="352">
        <f t="shared" si="4"/>
        <v>0</v>
      </c>
    </row>
    <row r="98" spans="2:8" ht="39" customHeight="1" x14ac:dyDescent="0.2">
      <c r="B98" s="309" t="s">
        <v>173</v>
      </c>
      <c r="C98" s="227" t="s">
        <v>174</v>
      </c>
      <c r="D98" s="209" t="s">
        <v>95</v>
      </c>
      <c r="E98" s="348">
        <f>SUM(E88:E93)</f>
        <v>2099</v>
      </c>
      <c r="F98" s="467">
        <v>0</v>
      </c>
      <c r="G98" s="352">
        <f>E98*F98</f>
        <v>0</v>
      </c>
    </row>
    <row r="99" spans="2:8" ht="27.75" customHeight="1" x14ac:dyDescent="0.2">
      <c r="B99" s="309" t="s">
        <v>175</v>
      </c>
      <c r="C99" s="227" t="s">
        <v>176</v>
      </c>
      <c r="D99" s="209" t="s">
        <v>95</v>
      </c>
      <c r="E99" s="348">
        <f>SUM(E88:E93)</f>
        <v>2099</v>
      </c>
      <c r="F99" s="467">
        <v>0</v>
      </c>
      <c r="G99" s="352">
        <f>E99*F99</f>
        <v>0</v>
      </c>
    </row>
    <row r="100" spans="2:8" ht="36" x14ac:dyDescent="0.2">
      <c r="B100" s="309" t="s">
        <v>177</v>
      </c>
      <c r="C100" s="227" t="s">
        <v>178</v>
      </c>
      <c r="D100" s="209" t="s">
        <v>95</v>
      </c>
      <c r="E100" s="348">
        <f>SUM(E88:E93)</f>
        <v>2099</v>
      </c>
      <c r="F100" s="467">
        <v>0</v>
      </c>
      <c r="G100" s="352">
        <f>E100*F100</f>
        <v>0</v>
      </c>
    </row>
    <row r="101" spans="2:8" ht="24" x14ac:dyDescent="0.2">
      <c r="B101" s="153">
        <v>3</v>
      </c>
      <c r="C101" s="264" t="s">
        <v>179</v>
      </c>
      <c r="D101" s="231"/>
      <c r="E101" s="232"/>
      <c r="F101" s="233">
        <v>0</v>
      </c>
      <c r="G101" s="234"/>
    </row>
    <row r="102" spans="2:8" s="147" customFormat="1" x14ac:dyDescent="0.25">
      <c r="B102" s="292" t="s">
        <v>180</v>
      </c>
      <c r="C102" s="1808" t="s">
        <v>181</v>
      </c>
      <c r="D102" s="231"/>
      <c r="E102" s="232"/>
      <c r="F102" s="233"/>
      <c r="G102" s="234"/>
      <c r="H102" s="150"/>
    </row>
    <row r="103" spans="2:8" s="147" customFormat="1" x14ac:dyDescent="0.25">
      <c r="B103" s="129"/>
      <c r="C103" s="1808" t="s">
        <v>185</v>
      </c>
      <c r="D103" s="231"/>
      <c r="E103" s="232"/>
      <c r="F103" s="233"/>
      <c r="G103" s="234"/>
      <c r="H103" s="150"/>
    </row>
    <row r="104" spans="2:8" x14ac:dyDescent="0.2">
      <c r="B104" s="152"/>
      <c r="C104" s="1810" t="s">
        <v>186</v>
      </c>
      <c r="D104" s="236" t="s">
        <v>149</v>
      </c>
      <c r="E104" s="232">
        <v>18</v>
      </c>
      <c r="F104" s="271">
        <v>0</v>
      </c>
      <c r="G104" s="272">
        <f t="shared" ref="G104:G105" si="5">E104*F104</f>
        <v>0</v>
      </c>
    </row>
    <row r="105" spans="2:8" s="147" customFormat="1" x14ac:dyDescent="0.25">
      <c r="B105" s="152"/>
      <c r="C105" s="1810" t="s">
        <v>187</v>
      </c>
      <c r="D105" s="236" t="s">
        <v>149</v>
      </c>
      <c r="E105" s="232">
        <v>10</v>
      </c>
      <c r="F105" s="271">
        <v>0</v>
      </c>
      <c r="G105" s="272">
        <f t="shared" si="5"/>
        <v>0</v>
      </c>
      <c r="H105" s="150"/>
    </row>
    <row r="106" spans="2:8" s="147" customFormat="1" x14ac:dyDescent="0.25">
      <c r="B106" s="292" t="s">
        <v>188</v>
      </c>
      <c r="C106" s="238" t="s">
        <v>189</v>
      </c>
      <c r="D106" s="239"/>
      <c r="E106" s="240"/>
      <c r="F106" s="241">
        <v>0</v>
      </c>
      <c r="G106" s="242"/>
      <c r="H106" s="150"/>
    </row>
    <row r="107" spans="2:8" s="136" customFormat="1" x14ac:dyDescent="0.2">
      <c r="B107" s="135"/>
      <c r="C107" s="238" t="s">
        <v>840</v>
      </c>
      <c r="D107" s="239"/>
      <c r="E107" s="240"/>
      <c r="F107" s="241">
        <v>0</v>
      </c>
      <c r="G107" s="242"/>
      <c r="H107" s="565"/>
    </row>
    <row r="108" spans="2:8" s="136" customFormat="1" x14ac:dyDescent="0.2">
      <c r="B108" s="135"/>
      <c r="C108" s="243" t="s">
        <v>841</v>
      </c>
      <c r="D108" s="239" t="s">
        <v>149</v>
      </c>
      <c r="E108" s="240">
        <v>3</v>
      </c>
      <c r="F108" s="273">
        <v>0</v>
      </c>
      <c r="G108" s="274">
        <f t="shared" ref="G108:G117" si="6">E108*F108</f>
        <v>0</v>
      </c>
      <c r="H108" s="565"/>
    </row>
    <row r="109" spans="2:8" s="136" customFormat="1" ht="36" x14ac:dyDescent="0.2">
      <c r="B109" s="135"/>
      <c r="C109" s="244" t="s">
        <v>285</v>
      </c>
      <c r="D109" s="239" t="s">
        <v>149</v>
      </c>
      <c r="E109" s="240">
        <v>3</v>
      </c>
      <c r="F109" s="273">
        <v>0</v>
      </c>
      <c r="G109" s="274">
        <f t="shared" si="6"/>
        <v>0</v>
      </c>
      <c r="H109" s="565"/>
    </row>
    <row r="110" spans="2:8" s="136" customFormat="1" x14ac:dyDescent="0.2">
      <c r="B110" s="135"/>
      <c r="C110" s="244" t="s">
        <v>193</v>
      </c>
      <c r="D110" s="239" t="s">
        <v>149</v>
      </c>
      <c r="E110" s="240">
        <v>3</v>
      </c>
      <c r="F110" s="273">
        <v>0</v>
      </c>
      <c r="G110" s="274">
        <f t="shared" si="6"/>
        <v>0</v>
      </c>
      <c r="H110" s="565"/>
    </row>
    <row r="111" spans="2:8" s="136" customFormat="1" x14ac:dyDescent="0.2">
      <c r="B111" s="135"/>
      <c r="C111" s="244" t="s">
        <v>194</v>
      </c>
      <c r="D111" s="239" t="s">
        <v>149</v>
      </c>
      <c r="E111" s="240">
        <v>3</v>
      </c>
      <c r="F111" s="273">
        <v>0</v>
      </c>
      <c r="G111" s="274">
        <f t="shared" si="6"/>
        <v>0</v>
      </c>
      <c r="H111" s="565"/>
    </row>
    <row r="112" spans="2:8" s="136" customFormat="1" x14ac:dyDescent="0.2">
      <c r="B112" s="135"/>
      <c r="C112" s="1811" t="s">
        <v>239</v>
      </c>
      <c r="D112" s="239" t="s">
        <v>149</v>
      </c>
      <c r="E112" s="240">
        <v>6</v>
      </c>
      <c r="F112" s="273">
        <v>0</v>
      </c>
      <c r="G112" s="274">
        <f t="shared" si="6"/>
        <v>0</v>
      </c>
      <c r="H112" s="565"/>
    </row>
    <row r="113" spans="2:8" s="136" customFormat="1" x14ac:dyDescent="0.2">
      <c r="B113" s="135"/>
      <c r="C113" s="1811" t="s">
        <v>240</v>
      </c>
      <c r="D113" s="239" t="s">
        <v>149</v>
      </c>
      <c r="E113" s="240">
        <v>6</v>
      </c>
      <c r="F113" s="273">
        <v>0</v>
      </c>
      <c r="G113" s="274">
        <f t="shared" si="6"/>
        <v>0</v>
      </c>
      <c r="H113" s="565"/>
    </row>
    <row r="114" spans="2:8" s="136" customFormat="1" x14ac:dyDescent="0.2">
      <c r="B114" s="135"/>
      <c r="C114" s="1811" t="s">
        <v>241</v>
      </c>
      <c r="D114" s="239" t="s">
        <v>149</v>
      </c>
      <c r="E114" s="240">
        <v>6</v>
      </c>
      <c r="F114" s="273">
        <v>0</v>
      </c>
      <c r="G114" s="274">
        <f t="shared" si="6"/>
        <v>0</v>
      </c>
      <c r="H114" s="565"/>
    </row>
    <row r="115" spans="2:8" s="136" customFormat="1" x14ac:dyDescent="0.2">
      <c r="B115" s="135"/>
      <c r="C115" s="1811" t="s">
        <v>242</v>
      </c>
      <c r="D115" s="239" t="s">
        <v>149</v>
      </c>
      <c r="E115" s="240">
        <v>6</v>
      </c>
      <c r="F115" s="273">
        <v>0</v>
      </c>
      <c r="G115" s="274">
        <f t="shared" si="6"/>
        <v>0</v>
      </c>
      <c r="H115" s="565"/>
    </row>
    <row r="116" spans="2:8" s="136" customFormat="1" x14ac:dyDescent="0.2">
      <c r="B116" s="135"/>
      <c r="C116" s="1811" t="s">
        <v>197</v>
      </c>
      <c r="D116" s="239" t="s">
        <v>149</v>
      </c>
      <c r="E116" s="240">
        <v>3</v>
      </c>
      <c r="F116" s="273">
        <v>0</v>
      </c>
      <c r="G116" s="274">
        <f t="shared" si="6"/>
        <v>0</v>
      </c>
      <c r="H116" s="565"/>
    </row>
    <row r="117" spans="2:8" s="136" customFormat="1" x14ac:dyDescent="0.2">
      <c r="B117" s="135"/>
      <c r="C117" s="1812" t="s">
        <v>198</v>
      </c>
      <c r="D117" s="239" t="s">
        <v>149</v>
      </c>
      <c r="E117" s="240">
        <v>3</v>
      </c>
      <c r="F117" s="273">
        <v>0</v>
      </c>
      <c r="G117" s="274">
        <f t="shared" si="6"/>
        <v>0</v>
      </c>
      <c r="H117" s="565"/>
    </row>
    <row r="118" spans="2:8" s="136" customFormat="1" x14ac:dyDescent="0.2">
      <c r="B118" s="292" t="s">
        <v>199</v>
      </c>
      <c r="C118" s="247" t="s">
        <v>200</v>
      </c>
      <c r="D118" s="202"/>
      <c r="E118" s="248"/>
      <c r="F118" s="249"/>
      <c r="G118" s="205"/>
      <c r="H118" s="565"/>
    </row>
    <row r="119" spans="2:8" s="136" customFormat="1" x14ac:dyDescent="0.2">
      <c r="B119" s="292"/>
      <c r="C119" s="247" t="s">
        <v>201</v>
      </c>
      <c r="D119" s="202"/>
      <c r="E119" s="248"/>
      <c r="F119" s="249">
        <v>0</v>
      </c>
      <c r="G119" s="205"/>
      <c r="H119" s="565"/>
    </row>
    <row r="120" spans="2:8" s="136" customFormat="1" ht="24.75" customHeight="1" x14ac:dyDescent="0.2">
      <c r="B120" s="135"/>
      <c r="C120" s="250" t="s">
        <v>202</v>
      </c>
      <c r="D120" s="202" t="s">
        <v>149</v>
      </c>
      <c r="E120" s="248">
        <v>2</v>
      </c>
      <c r="F120" s="275">
        <v>0</v>
      </c>
      <c r="G120" s="276">
        <f t="shared" ref="G120:G122" si="7">E120*F120</f>
        <v>0</v>
      </c>
      <c r="H120" s="565"/>
    </row>
    <row r="121" spans="2:8" s="136" customFormat="1" x14ac:dyDescent="0.2">
      <c r="B121" s="135"/>
      <c r="C121" s="1814" t="s">
        <v>203</v>
      </c>
      <c r="D121" s="202" t="s">
        <v>149</v>
      </c>
      <c r="E121" s="248">
        <v>2</v>
      </c>
      <c r="F121" s="275">
        <v>0</v>
      </c>
      <c r="G121" s="276">
        <f t="shared" si="7"/>
        <v>0</v>
      </c>
      <c r="H121" s="565"/>
    </row>
    <row r="122" spans="2:8" s="136" customFormat="1" x14ac:dyDescent="0.2">
      <c r="B122" s="135"/>
      <c r="C122" s="1815" t="s">
        <v>198</v>
      </c>
      <c r="D122" s="202" t="s">
        <v>149</v>
      </c>
      <c r="E122" s="248">
        <v>2</v>
      </c>
      <c r="F122" s="275">
        <v>0</v>
      </c>
      <c r="G122" s="276">
        <f t="shared" si="7"/>
        <v>0</v>
      </c>
      <c r="H122" s="565"/>
    </row>
    <row r="123" spans="2:8" s="136" customFormat="1" x14ac:dyDescent="0.2">
      <c r="B123" s="292" t="s">
        <v>204</v>
      </c>
      <c r="C123" s="253" t="s">
        <v>231</v>
      </c>
      <c r="D123" s="254"/>
      <c r="E123" s="255"/>
      <c r="F123" s="256"/>
      <c r="G123" s="257"/>
      <c r="H123" s="565"/>
    </row>
    <row r="124" spans="2:8" s="136" customFormat="1" x14ac:dyDescent="0.2">
      <c r="B124" s="135"/>
      <c r="C124" s="253" t="s">
        <v>845</v>
      </c>
      <c r="D124" s="254"/>
      <c r="E124" s="255"/>
      <c r="F124" s="256">
        <v>0</v>
      </c>
      <c r="G124" s="257"/>
      <c r="H124" s="565"/>
    </row>
    <row r="125" spans="2:8" s="136" customFormat="1" ht="24" x14ac:dyDescent="0.2">
      <c r="B125" s="135"/>
      <c r="C125" s="258" t="s">
        <v>1679</v>
      </c>
      <c r="D125" s="254" t="s">
        <v>149</v>
      </c>
      <c r="E125" s="255">
        <v>1</v>
      </c>
      <c r="F125" s="277">
        <v>0</v>
      </c>
      <c r="G125" s="278">
        <f t="shared" ref="G125:G131" si="8">E125*F125</f>
        <v>0</v>
      </c>
      <c r="H125" s="565"/>
    </row>
    <row r="126" spans="2:8" s="136" customFormat="1" x14ac:dyDescent="0.2">
      <c r="B126" s="135"/>
      <c r="C126" s="1816" t="s">
        <v>239</v>
      </c>
      <c r="D126" s="254" t="s">
        <v>149</v>
      </c>
      <c r="E126" s="255">
        <v>3</v>
      </c>
      <c r="F126" s="277">
        <v>0</v>
      </c>
      <c r="G126" s="278">
        <f t="shared" si="8"/>
        <v>0</v>
      </c>
      <c r="H126" s="565"/>
    </row>
    <row r="127" spans="2:8" s="136" customFormat="1" x14ac:dyDescent="0.2">
      <c r="B127" s="135"/>
      <c r="C127" s="1816" t="s">
        <v>240</v>
      </c>
      <c r="D127" s="254" t="s">
        <v>149</v>
      </c>
      <c r="E127" s="255">
        <v>3</v>
      </c>
      <c r="F127" s="277">
        <v>0</v>
      </c>
      <c r="G127" s="278">
        <f t="shared" si="8"/>
        <v>0</v>
      </c>
      <c r="H127" s="565"/>
    </row>
    <row r="128" spans="2:8" s="136" customFormat="1" x14ac:dyDescent="0.2">
      <c r="B128" s="135"/>
      <c r="C128" s="1816" t="s">
        <v>241</v>
      </c>
      <c r="D128" s="254" t="s">
        <v>149</v>
      </c>
      <c r="E128" s="255">
        <v>3</v>
      </c>
      <c r="F128" s="277">
        <v>0</v>
      </c>
      <c r="G128" s="278">
        <f t="shared" si="8"/>
        <v>0</v>
      </c>
      <c r="H128" s="565"/>
    </row>
    <row r="129" spans="2:8" s="136" customFormat="1" x14ac:dyDescent="0.2">
      <c r="B129" s="135"/>
      <c r="C129" s="1816" t="s">
        <v>242</v>
      </c>
      <c r="D129" s="254" t="s">
        <v>149</v>
      </c>
      <c r="E129" s="255">
        <v>3</v>
      </c>
      <c r="F129" s="277">
        <v>0</v>
      </c>
      <c r="G129" s="278">
        <f t="shared" si="8"/>
        <v>0</v>
      </c>
      <c r="H129" s="565"/>
    </row>
    <row r="130" spans="2:8" s="136" customFormat="1" ht="12.75" customHeight="1" x14ac:dyDescent="0.2">
      <c r="B130" s="135"/>
      <c r="C130" s="1816" t="s">
        <v>227</v>
      </c>
      <c r="D130" s="254" t="s">
        <v>149</v>
      </c>
      <c r="E130" s="255">
        <v>1</v>
      </c>
      <c r="F130" s="277">
        <v>0</v>
      </c>
      <c r="G130" s="278">
        <f t="shared" si="8"/>
        <v>0</v>
      </c>
      <c r="H130" s="565"/>
    </row>
    <row r="131" spans="2:8" s="136" customFormat="1" x14ac:dyDescent="0.2">
      <c r="B131" s="135"/>
      <c r="C131" s="1817" t="s">
        <v>198</v>
      </c>
      <c r="D131" s="254" t="s">
        <v>149</v>
      </c>
      <c r="E131" s="255">
        <v>1</v>
      </c>
      <c r="F131" s="277">
        <v>0</v>
      </c>
      <c r="G131" s="278">
        <f t="shared" si="8"/>
        <v>0</v>
      </c>
      <c r="H131" s="565"/>
    </row>
    <row r="132" spans="2:8" s="136" customFormat="1" x14ac:dyDescent="0.2">
      <c r="B132" s="292" t="s">
        <v>220</v>
      </c>
      <c r="C132" s="247" t="s">
        <v>244</v>
      </c>
      <c r="D132" s="202"/>
      <c r="E132" s="248"/>
      <c r="F132" s="249"/>
      <c r="G132" s="205"/>
      <c r="H132" s="565"/>
    </row>
    <row r="133" spans="2:8" s="136" customFormat="1" x14ac:dyDescent="0.2">
      <c r="B133" s="135"/>
      <c r="C133" s="247" t="s">
        <v>1783</v>
      </c>
      <c r="D133" s="202"/>
      <c r="E133" s="248"/>
      <c r="F133" s="249">
        <v>0</v>
      </c>
      <c r="G133" s="205"/>
      <c r="H133" s="565"/>
    </row>
    <row r="134" spans="2:8" s="136" customFormat="1" ht="36" x14ac:dyDescent="0.2">
      <c r="B134" s="135"/>
      <c r="C134" s="262" t="s">
        <v>1784</v>
      </c>
      <c r="D134" s="202" t="s">
        <v>149</v>
      </c>
      <c r="E134" s="248">
        <v>4</v>
      </c>
      <c r="F134" s="275">
        <v>0</v>
      </c>
      <c r="G134" s="276">
        <f t="shared" ref="G134:G136" si="9">E134*F134</f>
        <v>0</v>
      </c>
      <c r="H134" s="565"/>
    </row>
    <row r="135" spans="2:8" s="136" customFormat="1" x14ac:dyDescent="0.2">
      <c r="B135" s="135"/>
      <c r="C135" s="1814" t="s">
        <v>247</v>
      </c>
      <c r="D135" s="202" t="s">
        <v>149</v>
      </c>
      <c r="E135" s="248">
        <v>4</v>
      </c>
      <c r="F135" s="275">
        <v>0</v>
      </c>
      <c r="G135" s="276">
        <f t="shared" si="9"/>
        <v>0</v>
      </c>
      <c r="H135" s="565"/>
    </row>
    <row r="136" spans="2:8" s="136" customFormat="1" x14ac:dyDescent="0.2">
      <c r="B136" s="135"/>
      <c r="C136" s="1821" t="s">
        <v>248</v>
      </c>
      <c r="D136" s="202" t="s">
        <v>149</v>
      </c>
      <c r="E136" s="248">
        <v>4</v>
      </c>
      <c r="F136" s="275">
        <v>0</v>
      </c>
      <c r="G136" s="276">
        <f t="shared" si="9"/>
        <v>0</v>
      </c>
      <c r="H136" s="565"/>
    </row>
    <row r="137" spans="2:8" s="136" customFormat="1" x14ac:dyDescent="0.2">
      <c r="B137" s="135"/>
      <c r="C137" s="247" t="s">
        <v>828</v>
      </c>
      <c r="D137" s="202"/>
      <c r="E137" s="248"/>
      <c r="F137" s="249">
        <v>0</v>
      </c>
      <c r="G137" s="205"/>
      <c r="H137" s="565"/>
    </row>
    <row r="138" spans="2:8" s="136" customFormat="1" ht="36" x14ac:dyDescent="0.2">
      <c r="B138" s="135"/>
      <c r="C138" s="262" t="s">
        <v>829</v>
      </c>
      <c r="D138" s="202" t="s">
        <v>149</v>
      </c>
      <c r="E138" s="248">
        <v>16</v>
      </c>
      <c r="F138" s="275">
        <v>0</v>
      </c>
      <c r="G138" s="276">
        <f t="shared" ref="G138:G141" si="10">E138*F138</f>
        <v>0</v>
      </c>
      <c r="H138" s="565"/>
    </row>
    <row r="139" spans="2:8" s="136" customFormat="1" x14ac:dyDescent="0.2">
      <c r="B139" s="135"/>
      <c r="C139" s="1814" t="s">
        <v>247</v>
      </c>
      <c r="D139" s="202" t="s">
        <v>149</v>
      </c>
      <c r="E139" s="248">
        <v>16</v>
      </c>
      <c r="F139" s="275">
        <v>0</v>
      </c>
      <c r="G139" s="276">
        <f t="shared" si="10"/>
        <v>0</v>
      </c>
      <c r="H139" s="565"/>
    </row>
    <row r="140" spans="2:8" s="136" customFormat="1" x14ac:dyDescent="0.2">
      <c r="B140" s="135"/>
      <c r="C140" s="1815" t="s">
        <v>198</v>
      </c>
      <c r="D140" s="202" t="s">
        <v>149</v>
      </c>
      <c r="E140" s="248">
        <v>16</v>
      </c>
      <c r="F140" s="275">
        <v>0</v>
      </c>
      <c r="G140" s="276">
        <f t="shared" si="10"/>
        <v>0</v>
      </c>
      <c r="H140" s="565"/>
    </row>
    <row r="141" spans="2:8" s="136" customFormat="1" x14ac:dyDescent="0.2">
      <c r="B141" s="135"/>
      <c r="C141" s="1815" t="s">
        <v>1727</v>
      </c>
      <c r="D141" s="202" t="s">
        <v>149</v>
      </c>
      <c r="E141" s="248">
        <v>4</v>
      </c>
      <c r="F141" s="275">
        <v>0</v>
      </c>
      <c r="G141" s="276">
        <f t="shared" si="10"/>
        <v>0</v>
      </c>
      <c r="H141" s="565"/>
    </row>
    <row r="142" spans="2:8" s="136" customFormat="1" x14ac:dyDescent="0.2">
      <c r="B142" s="292" t="s">
        <v>330</v>
      </c>
      <c r="C142" s="280" t="s">
        <v>300</v>
      </c>
      <c r="D142" s="281"/>
      <c r="E142" s="282"/>
      <c r="F142" s="283"/>
      <c r="G142" s="284"/>
      <c r="H142" s="565"/>
    </row>
    <row r="143" spans="2:8" s="136" customFormat="1" ht="60" x14ac:dyDescent="0.2">
      <c r="B143" s="135"/>
      <c r="C143" s="285" t="s">
        <v>301</v>
      </c>
      <c r="D143" s="286" t="s">
        <v>149</v>
      </c>
      <c r="E143" s="287">
        <v>20</v>
      </c>
      <c r="F143" s="288">
        <v>0</v>
      </c>
      <c r="G143" s="289">
        <f t="shared" ref="G143" si="11">E143*F143</f>
        <v>0</v>
      </c>
      <c r="H143" s="565"/>
    </row>
    <row r="144" spans="2:8" s="147" customFormat="1" ht="25.5" customHeight="1" x14ac:dyDescent="0.25">
      <c r="B144" s="293" t="s">
        <v>17</v>
      </c>
      <c r="C144" s="294" t="s">
        <v>302</v>
      </c>
      <c r="D144" s="218"/>
      <c r="E144" s="203"/>
      <c r="F144" s="204"/>
      <c r="G144" s="290">
        <f>SUM(G87:G143)</f>
        <v>0</v>
      </c>
      <c r="H144" s="150"/>
    </row>
  </sheetData>
  <mergeCells count="6">
    <mergeCell ref="B94:B96"/>
    <mergeCell ref="B40:G40"/>
    <mergeCell ref="B51:B53"/>
    <mergeCell ref="B84:G84"/>
    <mergeCell ref="B85:G85"/>
    <mergeCell ref="B86:G86"/>
  </mergeCells>
  <pageMargins left="0.7" right="0.7" top="0.75" bottom="0.75" header="0.3" footer="0.3"/>
  <pageSetup paperSize="9" scale="85" orientation="portrait" r:id="rId1"/>
  <headerFooter alignWithMargins="0">
    <oddFooter>&amp;C&amp;8&amp;P/&amp;N</oddFooter>
  </headerFooter>
  <rowBreaks count="3" manualBreakCount="3">
    <brk id="19" max="16383" man="1"/>
    <brk id="36" max="16383" man="1"/>
    <brk id="7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BE74-1FB8-4D08-B5AA-9BFD7A10C9DE}">
  <sheetPr>
    <tabColor theme="0" tint="-0.14999847407452621"/>
  </sheetPr>
  <dimension ref="A2:L189"/>
  <sheetViews>
    <sheetView showZeros="0" topLeftCell="A58" zoomScale="110" zoomScaleNormal="110" zoomScaleSheetLayoutView="100" workbookViewId="0">
      <selection activeCell="C66" sqref="C6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1785</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G77</f>
        <v>0</v>
      </c>
      <c r="H16" s="569"/>
    </row>
    <row r="17" spans="2:8" s="1792" customFormat="1" ht="18.75" customHeight="1" x14ac:dyDescent="0.25">
      <c r="B17" s="1793" t="s">
        <v>17</v>
      </c>
      <c r="C17" s="1794" t="s">
        <v>87</v>
      </c>
      <c r="D17" s="1795"/>
      <c r="E17" s="1796"/>
      <c r="F17" s="1797"/>
      <c r="G17" s="474">
        <f>G189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829</v>
      </c>
      <c r="F24" s="467">
        <v>0</v>
      </c>
      <c r="G24" s="352">
        <f t="shared" ref="G24" si="0">E24*F24</f>
        <v>0</v>
      </c>
    </row>
    <row r="25" spans="2:8" x14ac:dyDescent="0.2">
      <c r="B25" s="129">
        <v>2</v>
      </c>
      <c r="C25" s="206" t="s">
        <v>96</v>
      </c>
      <c r="D25" s="207" t="s">
        <v>95</v>
      </c>
      <c r="E25" s="353">
        <f>E24</f>
        <v>829</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2</v>
      </c>
      <c r="F29" s="467">
        <v>0</v>
      </c>
      <c r="G29" s="352">
        <f t="shared" si="1"/>
        <v>0</v>
      </c>
    </row>
    <row r="30" spans="2:8" ht="36" x14ac:dyDescent="0.2">
      <c r="B30" s="129">
        <v>7</v>
      </c>
      <c r="C30" s="3165" t="s">
        <v>2590</v>
      </c>
      <c r="D30" s="210" t="s">
        <v>95</v>
      </c>
      <c r="E30" s="353">
        <v>1083</v>
      </c>
      <c r="F30" s="467">
        <v>0</v>
      </c>
      <c r="G30" s="352">
        <f t="shared" si="1"/>
        <v>0</v>
      </c>
      <c r="H30" s="571"/>
    </row>
    <row r="31" spans="2:8" ht="27.75" customHeight="1" x14ac:dyDescent="0.2">
      <c r="B31" s="129">
        <v>8</v>
      </c>
      <c r="C31" s="3165" t="s">
        <v>2591</v>
      </c>
      <c r="D31" s="210" t="s">
        <v>95</v>
      </c>
      <c r="E31" s="353">
        <v>1083</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(1083*1*1.4*0.07)</f>
        <v>106.134</v>
      </c>
      <c r="F41" s="467">
        <v>0</v>
      </c>
      <c r="G41" s="352">
        <f t="shared" ref="G41:G76" si="2">E41*F41</f>
        <v>0</v>
      </c>
      <c r="I41" s="132"/>
    </row>
    <row r="42" spans="2:12" ht="39" customHeight="1" x14ac:dyDescent="0.2">
      <c r="B42" s="131">
        <v>2</v>
      </c>
      <c r="C42" s="206" t="s">
        <v>113</v>
      </c>
      <c r="D42" s="207" t="s">
        <v>95</v>
      </c>
      <c r="E42" s="353">
        <f>0.6*1083</f>
        <v>649.79999999999995</v>
      </c>
      <c r="F42" s="467">
        <v>0</v>
      </c>
      <c r="G42" s="352">
        <f t="shared" si="2"/>
        <v>0</v>
      </c>
      <c r="I42" s="132"/>
    </row>
    <row r="43" spans="2:12" ht="36" x14ac:dyDescent="0.2">
      <c r="B43" s="131">
        <v>3</v>
      </c>
      <c r="C43" s="206" t="s">
        <v>114</v>
      </c>
      <c r="D43" s="209" t="s">
        <v>112</v>
      </c>
      <c r="E43" s="353">
        <f>((1083*1*1.4)-E41)*0.1</f>
        <v>141.00659999999999</v>
      </c>
      <c r="F43" s="467">
        <v>0</v>
      </c>
      <c r="G43" s="352">
        <f t="shared" si="2"/>
        <v>0</v>
      </c>
      <c r="I43" s="133"/>
      <c r="J43" s="1365"/>
      <c r="K43" s="134"/>
      <c r="L43" s="134"/>
    </row>
    <row r="44" spans="2:12" ht="39.75" customHeight="1" x14ac:dyDescent="0.2">
      <c r="B44" s="131">
        <v>4</v>
      </c>
      <c r="C44" s="206" t="s">
        <v>115</v>
      </c>
      <c r="D44" s="209" t="s">
        <v>112</v>
      </c>
      <c r="E44" s="353">
        <f>((1083*1*1.4)-E41)*0.9</f>
        <v>1269.0593999999999</v>
      </c>
      <c r="F44" s="467">
        <v>0</v>
      </c>
      <c r="G44" s="352">
        <f t="shared" si="2"/>
        <v>0</v>
      </c>
      <c r="I44" s="133"/>
      <c r="J44" s="134"/>
      <c r="K44" s="134"/>
    </row>
    <row r="45" spans="2:12" ht="29.25" customHeight="1" x14ac:dyDescent="0.2">
      <c r="B45" s="131">
        <v>5</v>
      </c>
      <c r="C45" s="311" t="s">
        <v>116</v>
      </c>
      <c r="D45" s="219" t="s">
        <v>117</v>
      </c>
      <c r="E45" s="471">
        <f>1083*1.4</f>
        <v>1516.1999999999998</v>
      </c>
      <c r="F45" s="467">
        <v>0</v>
      </c>
      <c r="G45" s="352">
        <f t="shared" si="2"/>
        <v>0</v>
      </c>
      <c r="I45" s="132"/>
    </row>
    <row r="46" spans="2:12" ht="29.25" customHeight="1" x14ac:dyDescent="0.2">
      <c r="B46" s="131">
        <v>6</v>
      </c>
      <c r="C46" s="206" t="s">
        <v>118</v>
      </c>
      <c r="D46" s="209" t="s">
        <v>117</v>
      </c>
      <c r="E46" s="353">
        <f>1083*1</f>
        <v>1083</v>
      </c>
      <c r="F46" s="467">
        <v>0</v>
      </c>
      <c r="G46" s="352">
        <f t="shared" si="2"/>
        <v>0</v>
      </c>
      <c r="I46" s="1364"/>
      <c r="J46" s="134"/>
    </row>
    <row r="47" spans="2:12" ht="27" customHeight="1" x14ac:dyDescent="0.2">
      <c r="B47" s="131">
        <v>7</v>
      </c>
      <c r="C47" s="206" t="s">
        <v>304</v>
      </c>
      <c r="D47" s="209" t="s">
        <v>112</v>
      </c>
      <c r="E47" s="353">
        <f>1083*1*0.3</f>
        <v>324.89999999999998</v>
      </c>
      <c r="F47" s="467">
        <v>0</v>
      </c>
      <c r="G47" s="352">
        <f t="shared" si="2"/>
        <v>0</v>
      </c>
      <c r="I47" s="133"/>
    </row>
    <row r="48" spans="2:12" ht="24" x14ac:dyDescent="0.2">
      <c r="B48" s="131">
        <v>8</v>
      </c>
      <c r="C48" s="206" t="s">
        <v>119</v>
      </c>
      <c r="D48" s="209" t="s">
        <v>112</v>
      </c>
      <c r="E48" s="353">
        <v>717.03</v>
      </c>
      <c r="F48" s="467">
        <v>0</v>
      </c>
      <c r="G48" s="352">
        <f t="shared" si="2"/>
        <v>0</v>
      </c>
      <c r="I48" s="134"/>
    </row>
    <row r="49" spans="2:11" ht="40.5" customHeight="1" x14ac:dyDescent="0.2">
      <c r="B49" s="131">
        <v>9</v>
      </c>
      <c r="C49" s="208" t="s">
        <v>120</v>
      </c>
      <c r="D49" s="209" t="s">
        <v>112</v>
      </c>
      <c r="E49" s="353">
        <v>309.23</v>
      </c>
      <c r="F49" s="467">
        <v>0</v>
      </c>
      <c r="G49" s="352">
        <f t="shared" si="2"/>
        <v>0</v>
      </c>
      <c r="I49" s="1365"/>
      <c r="J49" s="1365"/>
      <c r="K49" s="1365"/>
    </row>
    <row r="50" spans="2:11" s="130" customFormat="1" ht="39" customHeight="1" x14ac:dyDescent="0.2">
      <c r="B50" s="131">
        <v>10</v>
      </c>
      <c r="C50" s="314" t="s">
        <v>121</v>
      </c>
      <c r="D50" s="210" t="s">
        <v>112</v>
      </c>
      <c r="E50" s="353">
        <v>208.49</v>
      </c>
      <c r="F50" s="467">
        <v>0</v>
      </c>
      <c r="G50" s="352">
        <f t="shared" si="2"/>
        <v>0</v>
      </c>
      <c r="H50" s="565"/>
      <c r="I50" s="1263"/>
      <c r="J50" s="1263"/>
    </row>
    <row r="51" spans="2:11" s="147" customFormat="1" ht="54" customHeight="1" x14ac:dyDescent="0.25">
      <c r="B51" s="3187">
        <v>11</v>
      </c>
      <c r="C51" s="308" t="s">
        <v>122</v>
      </c>
      <c r="D51" s="210"/>
      <c r="E51" s="353"/>
      <c r="F51" s="467"/>
      <c r="G51" s="352"/>
      <c r="H51" s="572"/>
      <c r="I51" s="490"/>
    </row>
    <row r="52" spans="2:11" s="147" customFormat="1" ht="15" customHeight="1" x14ac:dyDescent="0.25">
      <c r="B52" s="3188"/>
      <c r="C52" s="308" t="s">
        <v>124</v>
      </c>
      <c r="D52" s="207" t="s">
        <v>95</v>
      </c>
      <c r="E52" s="353">
        <v>30</v>
      </c>
      <c r="F52" s="467">
        <v>0</v>
      </c>
      <c r="G52" s="352">
        <f t="shared" si="2"/>
        <v>0</v>
      </c>
      <c r="H52" s="572"/>
      <c r="I52" s="490"/>
    </row>
    <row r="53" spans="2:11" s="147" customFormat="1" ht="15" customHeight="1" x14ac:dyDescent="0.25">
      <c r="B53" s="3189"/>
      <c r="C53" s="308" t="s">
        <v>305</v>
      </c>
      <c r="D53" s="207" t="s">
        <v>95</v>
      </c>
      <c r="E53" s="353">
        <v>25</v>
      </c>
      <c r="F53" s="467">
        <v>0</v>
      </c>
      <c r="G53" s="352">
        <f t="shared" si="2"/>
        <v>0</v>
      </c>
      <c r="H53" s="572"/>
    </row>
    <row r="54" spans="2:11" ht="25.5" customHeight="1" x14ac:dyDescent="0.2">
      <c r="B54" s="131">
        <v>12</v>
      </c>
      <c r="C54" s="206" t="s">
        <v>125</v>
      </c>
      <c r="D54" s="209" t="s">
        <v>95</v>
      </c>
      <c r="E54" s="353">
        <v>634</v>
      </c>
      <c r="F54" s="467">
        <v>0</v>
      </c>
      <c r="G54" s="352">
        <f t="shared" si="2"/>
        <v>0</v>
      </c>
      <c r="H54" s="571"/>
      <c r="I54" s="1365"/>
    </row>
    <row r="55" spans="2:11" ht="16.5" customHeight="1" x14ac:dyDescent="0.2">
      <c r="B55" s="131">
        <v>13</v>
      </c>
      <c r="C55" s="206" t="s">
        <v>126</v>
      </c>
      <c r="D55" s="207" t="s">
        <v>117</v>
      </c>
      <c r="E55" s="353">
        <f>E54*1.2</f>
        <v>760.8</v>
      </c>
      <c r="F55" s="467">
        <v>0</v>
      </c>
      <c r="G55" s="352">
        <f t="shared" si="2"/>
        <v>0</v>
      </c>
      <c r="H55" s="571"/>
      <c r="I55" s="1365"/>
    </row>
    <row r="56" spans="2:11" ht="48" x14ac:dyDescent="0.2">
      <c r="B56" s="131">
        <v>14</v>
      </c>
      <c r="C56" s="206" t="s">
        <v>127</v>
      </c>
      <c r="D56" s="207" t="s">
        <v>117</v>
      </c>
      <c r="E56" s="353">
        <f>E55</f>
        <v>760.8</v>
      </c>
      <c r="F56" s="467">
        <v>0</v>
      </c>
      <c r="G56" s="352">
        <f t="shared" si="2"/>
        <v>0</v>
      </c>
      <c r="H56" s="571"/>
      <c r="I56" s="1365"/>
    </row>
    <row r="57" spans="2:11" ht="65.25" customHeight="1" x14ac:dyDescent="0.2">
      <c r="B57" s="131">
        <v>15</v>
      </c>
      <c r="C57" s="314" t="s">
        <v>706</v>
      </c>
      <c r="D57" s="209" t="s">
        <v>117</v>
      </c>
      <c r="E57" s="353">
        <v>254.4</v>
      </c>
      <c r="F57" s="467">
        <v>0</v>
      </c>
      <c r="G57" s="352">
        <f t="shared" si="2"/>
        <v>0</v>
      </c>
      <c r="H57" s="571"/>
      <c r="I57" s="1370"/>
      <c r="J57" s="1365">
        <f>E56-E57-E58-E60</f>
        <v>0</v>
      </c>
    </row>
    <row r="58" spans="2:11" ht="51.75" customHeight="1" x14ac:dyDescent="0.2">
      <c r="B58" s="312" t="s">
        <v>576</v>
      </c>
      <c r="C58" s="208" t="s">
        <v>129</v>
      </c>
      <c r="D58" s="209" t="s">
        <v>117</v>
      </c>
      <c r="E58" s="353">
        <v>353</v>
      </c>
      <c r="F58" s="467">
        <v>0</v>
      </c>
      <c r="G58" s="352">
        <f t="shared" si="2"/>
        <v>0</v>
      </c>
      <c r="H58" s="571"/>
    </row>
    <row r="59" spans="2:11" ht="64.5" customHeight="1" x14ac:dyDescent="0.2">
      <c r="B59" s="312" t="s">
        <v>578</v>
      </c>
      <c r="C59" s="208" t="s">
        <v>708</v>
      </c>
      <c r="D59" s="209" t="s">
        <v>117</v>
      </c>
      <c r="E59" s="353">
        <v>353</v>
      </c>
      <c r="F59" s="467">
        <v>0</v>
      </c>
      <c r="G59" s="352">
        <f t="shared" si="2"/>
        <v>0</v>
      </c>
      <c r="H59" s="571"/>
      <c r="K59" s="121">
        <f>J57/2</f>
        <v>0</v>
      </c>
    </row>
    <row r="60" spans="2:11" ht="76.5" customHeight="1" x14ac:dyDescent="0.2">
      <c r="B60" s="312" t="s">
        <v>580</v>
      </c>
      <c r="C60" s="208" t="s">
        <v>711</v>
      </c>
      <c r="D60" s="209" t="s">
        <v>117</v>
      </c>
      <c r="E60" s="353">
        <v>153.4</v>
      </c>
      <c r="F60" s="467">
        <v>0</v>
      </c>
      <c r="G60" s="352">
        <f>E60*F60</f>
        <v>0</v>
      </c>
      <c r="H60" s="571"/>
      <c r="I60" s="1365"/>
    </row>
    <row r="61" spans="2:11" ht="38.25" customHeight="1" x14ac:dyDescent="0.2">
      <c r="B61" s="312" t="s">
        <v>582</v>
      </c>
      <c r="C61" s="206" t="s">
        <v>132</v>
      </c>
      <c r="D61" s="207" t="s">
        <v>117</v>
      </c>
      <c r="E61" s="353">
        <v>51</v>
      </c>
      <c r="F61" s="467">
        <v>0</v>
      </c>
      <c r="G61" s="352">
        <f t="shared" si="2"/>
        <v>0</v>
      </c>
    </row>
    <row r="62" spans="2:11" ht="14.25" customHeight="1" x14ac:dyDescent="0.2">
      <c r="B62" s="312" t="s">
        <v>584</v>
      </c>
      <c r="C62" s="206" t="s">
        <v>134</v>
      </c>
      <c r="D62" s="209" t="s">
        <v>112</v>
      </c>
      <c r="E62" s="353">
        <v>799.18</v>
      </c>
      <c r="F62" s="467">
        <v>0</v>
      </c>
      <c r="G62" s="352">
        <f t="shared" si="2"/>
        <v>0</v>
      </c>
      <c r="I62" s="1365"/>
    </row>
    <row r="63" spans="2:11" ht="15.75" customHeight="1" x14ac:dyDescent="0.2">
      <c r="B63" s="312" t="s">
        <v>586</v>
      </c>
      <c r="C63" s="206" t="s">
        <v>135</v>
      </c>
      <c r="D63" s="209" t="s">
        <v>112</v>
      </c>
      <c r="E63" s="353">
        <f>E62</f>
        <v>799.18</v>
      </c>
      <c r="F63" s="467">
        <v>0</v>
      </c>
      <c r="G63" s="352">
        <f t="shared" si="2"/>
        <v>0</v>
      </c>
    </row>
    <row r="64" spans="2:11" ht="27.75" customHeight="1" x14ac:dyDescent="0.2">
      <c r="B64" s="312" t="s">
        <v>588</v>
      </c>
      <c r="C64" s="206" t="s">
        <v>136</v>
      </c>
      <c r="D64" s="209" t="s">
        <v>117</v>
      </c>
      <c r="E64" s="353">
        <v>374.28</v>
      </c>
      <c r="F64" s="467">
        <v>0</v>
      </c>
      <c r="G64" s="352">
        <f t="shared" si="2"/>
        <v>0</v>
      </c>
    </row>
    <row r="65" spans="2:9" ht="30" customHeight="1" x14ac:dyDescent="0.2">
      <c r="B65" s="312" t="s">
        <v>590</v>
      </c>
      <c r="C65" s="206" t="s">
        <v>138</v>
      </c>
      <c r="D65" s="207" t="s">
        <v>117</v>
      </c>
      <c r="E65" s="353">
        <v>313</v>
      </c>
      <c r="F65" s="467">
        <v>0</v>
      </c>
      <c r="G65" s="352">
        <f t="shared" si="2"/>
        <v>0</v>
      </c>
    </row>
    <row r="66" spans="2:9" s="130" customFormat="1" ht="51.75" customHeight="1" x14ac:dyDescent="0.2">
      <c r="B66" s="2721">
        <v>24</v>
      </c>
      <c r="C66" s="408" t="s">
        <v>139</v>
      </c>
      <c r="D66" s="221"/>
      <c r="E66" s="353"/>
      <c r="F66" s="467"/>
      <c r="G66" s="352"/>
      <c r="H66" s="565"/>
    </row>
    <row r="67" spans="2:9" s="130" customFormat="1" x14ac:dyDescent="0.2">
      <c r="B67" s="2722"/>
      <c r="C67" s="291" t="s">
        <v>713</v>
      </c>
      <c r="D67" s="221" t="s">
        <v>95</v>
      </c>
      <c r="E67" s="353">
        <v>41</v>
      </c>
      <c r="F67" s="467">
        <v>0</v>
      </c>
      <c r="G67" s="352">
        <f t="shared" si="2"/>
        <v>0</v>
      </c>
      <c r="H67" s="565"/>
    </row>
    <row r="68" spans="2:9" ht="39.75" customHeight="1" x14ac:dyDescent="0.2">
      <c r="B68" s="2721">
        <v>25</v>
      </c>
      <c r="C68" s="409" t="s">
        <v>309</v>
      </c>
      <c r="D68" s="207"/>
      <c r="E68" s="353"/>
      <c r="F68" s="467"/>
      <c r="G68" s="352"/>
    </row>
    <row r="69" spans="2:9" s="130" customFormat="1" x14ac:dyDescent="0.2">
      <c r="B69" s="2722"/>
      <c r="C69" s="291" t="s">
        <v>715</v>
      </c>
      <c r="D69" s="221" t="s">
        <v>95</v>
      </c>
      <c r="E69" s="353">
        <v>16</v>
      </c>
      <c r="F69" s="467">
        <v>0</v>
      </c>
      <c r="G69" s="352">
        <f t="shared" ref="G69" si="3">E69*F69</f>
        <v>0</v>
      </c>
      <c r="H69" s="565"/>
    </row>
    <row r="70" spans="2:9" ht="39.75" customHeight="1" x14ac:dyDescent="0.2">
      <c r="B70" s="131">
        <v>26</v>
      </c>
      <c r="C70" s="409" t="s">
        <v>142</v>
      </c>
      <c r="D70" s="207" t="s">
        <v>117</v>
      </c>
      <c r="E70" s="353">
        <v>32</v>
      </c>
      <c r="F70" s="467">
        <v>0</v>
      </c>
      <c r="G70" s="352">
        <f t="shared" si="2"/>
        <v>0</v>
      </c>
      <c r="I70" s="1372"/>
    </row>
    <row r="71" spans="2:9" ht="25.5" customHeight="1" x14ac:dyDescent="0.2">
      <c r="B71" s="131">
        <v>27</v>
      </c>
      <c r="C71" s="409" t="s">
        <v>143</v>
      </c>
      <c r="D71" s="207" t="s">
        <v>95</v>
      </c>
      <c r="E71" s="353">
        <v>54</v>
      </c>
      <c r="F71" s="467">
        <v>0</v>
      </c>
      <c r="G71" s="352">
        <f t="shared" si="2"/>
        <v>0</v>
      </c>
      <c r="H71" s="571"/>
    </row>
    <row r="72" spans="2:9" ht="25.5" customHeight="1" x14ac:dyDescent="0.2">
      <c r="B72" s="312" t="s">
        <v>600</v>
      </c>
      <c r="C72" s="409" t="s">
        <v>718</v>
      </c>
      <c r="D72" s="207" t="s">
        <v>95</v>
      </c>
      <c r="E72" s="353">
        <v>27</v>
      </c>
      <c r="F72" s="467">
        <v>0</v>
      </c>
      <c r="G72" s="352">
        <f t="shared" si="2"/>
        <v>0</v>
      </c>
      <c r="H72" s="571"/>
    </row>
    <row r="73" spans="2:9" ht="29.25" customHeight="1" x14ac:dyDescent="0.2">
      <c r="B73" s="411">
        <v>29</v>
      </c>
      <c r="C73" s="410" t="s">
        <v>151</v>
      </c>
      <c r="D73" s="222" t="s">
        <v>112</v>
      </c>
      <c r="E73" s="472">
        <v>4.5</v>
      </c>
      <c r="F73" s="467">
        <v>0</v>
      </c>
      <c r="G73" s="352">
        <f t="shared" si="2"/>
        <v>0</v>
      </c>
    </row>
    <row r="74" spans="2:9" ht="36.75" customHeight="1" x14ac:dyDescent="0.2">
      <c r="B74" s="131">
        <v>30</v>
      </c>
      <c r="C74" s="1366" t="s">
        <v>152</v>
      </c>
      <c r="D74" s="1367" t="s">
        <v>149</v>
      </c>
      <c r="E74" s="1359">
        <v>18</v>
      </c>
      <c r="F74" s="467">
        <v>0</v>
      </c>
      <c r="G74" s="1361">
        <f t="shared" si="2"/>
        <v>0</v>
      </c>
    </row>
    <row r="75" spans="2:9" ht="30" customHeight="1" x14ac:dyDescent="0.2">
      <c r="B75" s="411">
        <v>31</v>
      </c>
      <c r="C75" s="223" t="s">
        <v>153</v>
      </c>
      <c r="D75" s="222" t="s">
        <v>112</v>
      </c>
      <c r="E75" s="472">
        <v>4.5</v>
      </c>
      <c r="F75" s="467">
        <v>0</v>
      </c>
      <c r="G75" s="352">
        <f t="shared" si="2"/>
        <v>0</v>
      </c>
    </row>
    <row r="76" spans="2:9" ht="28.5" customHeight="1" x14ac:dyDescent="0.2">
      <c r="B76" s="131">
        <v>32</v>
      </c>
      <c r="C76" s="223" t="s">
        <v>155</v>
      </c>
      <c r="D76" s="222" t="s">
        <v>156</v>
      </c>
      <c r="E76" s="472">
        <v>15</v>
      </c>
      <c r="F76" s="467">
        <v>0</v>
      </c>
      <c r="G76" s="352">
        <f t="shared" si="2"/>
        <v>0</v>
      </c>
    </row>
    <row r="77" spans="2:9" s="147" customFormat="1" ht="21.75" customHeight="1" x14ac:dyDescent="0.25">
      <c r="B77" s="327" t="s">
        <v>12</v>
      </c>
      <c r="C77" s="214" t="s">
        <v>157</v>
      </c>
      <c r="D77" s="224"/>
      <c r="E77" s="215"/>
      <c r="F77" s="216"/>
      <c r="G77" s="290">
        <f>SUM(G41:G76)</f>
        <v>0</v>
      </c>
      <c r="H77" s="150"/>
    </row>
    <row r="78" spans="2:9" x14ac:dyDescent="0.2">
      <c r="B78" s="129"/>
      <c r="C78" s="197"/>
      <c r="D78" s="198"/>
      <c r="E78" s="353"/>
      <c r="F78" s="358"/>
      <c r="G78" s="350"/>
    </row>
    <row r="79" spans="2:9" ht="24" x14ac:dyDescent="0.2">
      <c r="B79" s="128" t="s">
        <v>83</v>
      </c>
      <c r="C79" s="192" t="s">
        <v>89</v>
      </c>
      <c r="D79" s="192" t="s">
        <v>90</v>
      </c>
      <c r="E79" s="194" t="s">
        <v>91</v>
      </c>
      <c r="F79" s="195" t="s">
        <v>92</v>
      </c>
      <c r="G79" s="196" t="s">
        <v>93</v>
      </c>
    </row>
    <row r="80" spans="2:9" x14ac:dyDescent="0.2">
      <c r="B80" s="129"/>
      <c r="C80" s="197"/>
      <c r="D80" s="207"/>
      <c r="E80" s="353"/>
      <c r="F80" s="358"/>
      <c r="G80" s="350"/>
    </row>
    <row r="81" spans="1:9" s="295" customFormat="1" ht="20.25" x14ac:dyDescent="0.3">
      <c r="B81" s="296" t="s">
        <v>17</v>
      </c>
      <c r="C81" s="297" t="s">
        <v>158</v>
      </c>
      <c r="D81" s="298"/>
      <c r="E81" s="299"/>
      <c r="F81" s="300"/>
      <c r="G81" s="301"/>
      <c r="H81" s="570"/>
    </row>
    <row r="82" spans="1:9" s="139" customFormat="1" ht="18" customHeight="1" x14ac:dyDescent="0.2">
      <c r="A82" s="140"/>
      <c r="B82" s="143" t="s">
        <v>1</v>
      </c>
      <c r="C82" s="168"/>
      <c r="D82" s="170"/>
      <c r="E82" s="170"/>
      <c r="F82" s="170"/>
      <c r="G82" s="169"/>
    </row>
    <row r="83" spans="1:9" s="139" customFormat="1" ht="18" customHeight="1" x14ac:dyDescent="0.25">
      <c r="A83" s="141"/>
      <c r="B83" s="144" t="s">
        <v>2</v>
      </c>
      <c r="C83" s="171"/>
      <c r="D83" s="172"/>
      <c r="E83" s="173"/>
      <c r="F83" s="173"/>
      <c r="G83" s="172"/>
    </row>
    <row r="84" spans="1:9" s="139" customFormat="1" ht="18" customHeight="1" x14ac:dyDescent="0.2">
      <c r="A84" s="140"/>
      <c r="B84" s="143" t="s">
        <v>3</v>
      </c>
      <c r="C84" s="168"/>
      <c r="D84" s="170"/>
      <c r="E84" s="170"/>
      <c r="F84" s="170"/>
      <c r="G84" s="169"/>
    </row>
    <row r="85" spans="1:9" s="139" customFormat="1" ht="18" customHeight="1" x14ac:dyDescent="0.25">
      <c r="A85" s="141"/>
      <c r="B85" s="144" t="s">
        <v>4</v>
      </c>
      <c r="C85" s="171"/>
      <c r="D85" s="173"/>
      <c r="E85" s="173"/>
      <c r="F85" s="173"/>
      <c r="G85" s="172"/>
    </row>
    <row r="86" spans="1:9" s="130" customFormat="1" ht="18.75" customHeight="1" x14ac:dyDescent="0.2">
      <c r="B86" s="3184" t="s">
        <v>159</v>
      </c>
      <c r="C86" s="3185"/>
      <c r="D86" s="3185"/>
      <c r="E86" s="3185"/>
      <c r="F86" s="3185"/>
      <c r="G86" s="3186"/>
      <c r="H86" s="565"/>
    </row>
    <row r="87" spans="1:9" s="130" customFormat="1" ht="18.75" customHeight="1" x14ac:dyDescent="0.2">
      <c r="B87" s="3184" t="s">
        <v>160</v>
      </c>
      <c r="C87" s="3185"/>
      <c r="D87" s="3185"/>
      <c r="E87" s="3185"/>
      <c r="F87" s="3185"/>
      <c r="G87" s="3186"/>
      <c r="H87" s="565"/>
    </row>
    <row r="88" spans="1:9" s="130" customFormat="1" ht="18.75" customHeight="1" x14ac:dyDescent="0.2">
      <c r="B88" s="3184" t="s">
        <v>161</v>
      </c>
      <c r="C88" s="3185"/>
      <c r="D88" s="3185"/>
      <c r="E88" s="3185"/>
      <c r="F88" s="3185"/>
      <c r="G88" s="3186"/>
      <c r="H88" s="565"/>
    </row>
    <row r="89" spans="1:9" ht="24" x14ac:dyDescent="0.2">
      <c r="B89" s="153">
        <v>1</v>
      </c>
      <c r="C89" s="1806" t="s">
        <v>162</v>
      </c>
      <c r="D89" s="226"/>
      <c r="E89" s="353"/>
      <c r="F89" s="358"/>
      <c r="G89" s="350"/>
    </row>
    <row r="90" spans="1:9" s="147" customFormat="1" ht="18.75" customHeight="1" x14ac:dyDescent="0.25">
      <c r="B90" s="148"/>
      <c r="C90" s="1807" t="s">
        <v>723</v>
      </c>
      <c r="D90" s="226" t="s">
        <v>95</v>
      </c>
      <c r="E90" s="353">
        <v>498</v>
      </c>
      <c r="F90" s="467">
        <v>0</v>
      </c>
      <c r="G90" s="352">
        <f t="shared" ref="G90:G101" si="4">E90*F90</f>
        <v>0</v>
      </c>
      <c r="H90" s="150"/>
      <c r="I90" s="490"/>
    </row>
    <row r="91" spans="1:9" s="147" customFormat="1" ht="27" customHeight="1" x14ac:dyDescent="0.25">
      <c r="B91" s="148"/>
      <c r="C91" s="1807" t="s">
        <v>835</v>
      </c>
      <c r="D91" s="226" t="s">
        <v>95</v>
      </c>
      <c r="E91" s="353">
        <v>55</v>
      </c>
      <c r="F91" s="467">
        <v>0</v>
      </c>
      <c r="G91" s="352">
        <f t="shared" si="4"/>
        <v>0</v>
      </c>
      <c r="H91" s="150"/>
      <c r="I91" s="490"/>
    </row>
    <row r="92" spans="1:9" s="147" customFormat="1" ht="18.75" customHeight="1" x14ac:dyDescent="0.25">
      <c r="B92" s="148"/>
      <c r="C92" s="1807" t="s">
        <v>821</v>
      </c>
      <c r="D92" s="226" t="s">
        <v>95</v>
      </c>
      <c r="E92" s="353">
        <v>159</v>
      </c>
      <c r="F92" s="467">
        <v>0</v>
      </c>
      <c r="G92" s="352">
        <f t="shared" si="4"/>
        <v>0</v>
      </c>
      <c r="H92" s="150"/>
      <c r="I92" s="490"/>
    </row>
    <row r="93" spans="1:9" s="147" customFormat="1" ht="27" customHeight="1" x14ac:dyDescent="0.25">
      <c r="B93" s="148"/>
      <c r="C93" s="1807" t="s">
        <v>822</v>
      </c>
      <c r="D93" s="226" t="s">
        <v>95</v>
      </c>
      <c r="E93" s="353">
        <v>18</v>
      </c>
      <c r="F93" s="467">
        <v>0</v>
      </c>
      <c r="G93" s="352">
        <f t="shared" si="4"/>
        <v>0</v>
      </c>
      <c r="H93" s="150"/>
      <c r="I93" s="490"/>
    </row>
    <row r="94" spans="1:9" s="147" customFormat="1" ht="18.75" customHeight="1" x14ac:dyDescent="0.25">
      <c r="B94" s="148"/>
      <c r="C94" s="1807" t="s">
        <v>1733</v>
      </c>
      <c r="D94" s="226" t="s">
        <v>95</v>
      </c>
      <c r="E94" s="353">
        <v>89</v>
      </c>
      <c r="F94" s="467">
        <v>0</v>
      </c>
      <c r="G94" s="352">
        <f t="shared" si="4"/>
        <v>0</v>
      </c>
      <c r="H94" s="150"/>
      <c r="I94" s="490"/>
    </row>
    <row r="95" spans="1:9" s="147" customFormat="1" ht="27" customHeight="1" x14ac:dyDescent="0.25">
      <c r="B95" s="148"/>
      <c r="C95" s="1807" t="s">
        <v>1734</v>
      </c>
      <c r="D95" s="226" t="s">
        <v>95</v>
      </c>
      <c r="E95" s="353">
        <v>10</v>
      </c>
      <c r="F95" s="467">
        <v>0</v>
      </c>
      <c r="G95" s="352">
        <f t="shared" si="4"/>
        <v>0</v>
      </c>
      <c r="H95" s="150"/>
      <c r="I95" s="490"/>
    </row>
    <row r="96" spans="1:9" s="147" customFormat="1" ht="18.75" customHeight="1" x14ac:dyDescent="0.25">
      <c r="B96" s="148"/>
      <c r="C96" s="1807" t="s">
        <v>165</v>
      </c>
      <c r="D96" s="226" t="s">
        <v>95</v>
      </c>
      <c r="E96" s="353">
        <v>229</v>
      </c>
      <c r="F96" s="467">
        <v>0</v>
      </c>
      <c r="G96" s="352">
        <f t="shared" si="4"/>
        <v>0</v>
      </c>
      <c r="H96" s="150"/>
      <c r="I96" s="490"/>
    </row>
    <row r="97" spans="2:9" s="147" customFormat="1" ht="27" customHeight="1" x14ac:dyDescent="0.25">
      <c r="B97" s="148"/>
      <c r="C97" s="1807" t="s">
        <v>166</v>
      </c>
      <c r="D97" s="226" t="s">
        <v>95</v>
      </c>
      <c r="E97" s="353">
        <v>25</v>
      </c>
      <c r="F97" s="467">
        <v>0</v>
      </c>
      <c r="G97" s="352">
        <f t="shared" si="4"/>
        <v>0</v>
      </c>
      <c r="H97" s="150"/>
      <c r="I97" s="490"/>
    </row>
    <row r="98" spans="2:9" ht="36" x14ac:dyDescent="0.2">
      <c r="B98" s="3181" t="s">
        <v>167</v>
      </c>
      <c r="C98" s="310" t="s">
        <v>168</v>
      </c>
      <c r="D98" s="221"/>
      <c r="E98" s="353"/>
      <c r="F98" s="467"/>
      <c r="G98" s="352"/>
    </row>
    <row r="99" spans="2:9" x14ac:dyDescent="0.2">
      <c r="B99" s="3182"/>
      <c r="C99" s="291" t="s">
        <v>169</v>
      </c>
      <c r="D99" s="221" t="s">
        <v>95</v>
      </c>
      <c r="E99" s="353">
        <v>120</v>
      </c>
      <c r="F99" s="467">
        <v>0</v>
      </c>
      <c r="G99" s="352">
        <f t="shared" ref="G99:G100" si="5">E99*F99</f>
        <v>0</v>
      </c>
    </row>
    <row r="100" spans="2:9" x14ac:dyDescent="0.2">
      <c r="B100" s="3182"/>
      <c r="C100" s="291" t="s">
        <v>170</v>
      </c>
      <c r="D100" s="221" t="s">
        <v>95</v>
      </c>
      <c r="E100" s="353">
        <v>30</v>
      </c>
      <c r="F100" s="467">
        <v>0</v>
      </c>
      <c r="G100" s="352">
        <f t="shared" si="5"/>
        <v>0</v>
      </c>
    </row>
    <row r="101" spans="2:9" ht="36" x14ac:dyDescent="0.2">
      <c r="B101" s="154">
        <v>2</v>
      </c>
      <c r="C101" s="227" t="s">
        <v>172</v>
      </c>
      <c r="D101" s="209" t="s">
        <v>95</v>
      </c>
      <c r="E101" s="348">
        <f>SUM(E90:E97)</f>
        <v>1083</v>
      </c>
      <c r="F101" s="467">
        <v>0</v>
      </c>
      <c r="G101" s="352">
        <f t="shared" si="4"/>
        <v>0</v>
      </c>
    </row>
    <row r="102" spans="2:9" ht="36" x14ac:dyDescent="0.2">
      <c r="B102" s="309" t="s">
        <v>173</v>
      </c>
      <c r="C102" s="227" t="s">
        <v>174</v>
      </c>
      <c r="D102" s="209" t="s">
        <v>95</v>
      </c>
      <c r="E102" s="348">
        <f>SUM(E90:E97)</f>
        <v>1083</v>
      </c>
      <c r="F102" s="467">
        <v>0</v>
      </c>
      <c r="G102" s="352">
        <f>E102*F102</f>
        <v>0</v>
      </c>
    </row>
    <row r="103" spans="2:9" ht="24" x14ac:dyDescent="0.2">
      <c r="B103" s="309" t="s">
        <v>175</v>
      </c>
      <c r="C103" s="227" t="s">
        <v>176</v>
      </c>
      <c r="D103" s="209" t="s">
        <v>95</v>
      </c>
      <c r="E103" s="348">
        <f>SUM(E90:E97)</f>
        <v>1083</v>
      </c>
      <c r="F103" s="467">
        <v>0</v>
      </c>
      <c r="G103" s="352">
        <f>E103*F103</f>
        <v>0</v>
      </c>
    </row>
    <row r="104" spans="2:9" s="147" customFormat="1" ht="36" x14ac:dyDescent="0.25">
      <c r="B104" s="309" t="s">
        <v>177</v>
      </c>
      <c r="C104" s="227" t="s">
        <v>178</v>
      </c>
      <c r="D104" s="209" t="s">
        <v>95</v>
      </c>
      <c r="E104" s="348">
        <f>SUM(E90:E97)</f>
        <v>1083</v>
      </c>
      <c r="F104" s="467">
        <v>0</v>
      </c>
      <c r="G104" s="352">
        <f>E104*F104</f>
        <v>0</v>
      </c>
      <c r="H104" s="150"/>
    </row>
    <row r="105" spans="2:9" s="147" customFormat="1" ht="24" x14ac:dyDescent="0.25">
      <c r="B105" s="153">
        <v>3</v>
      </c>
      <c r="C105" s="264" t="s">
        <v>179</v>
      </c>
      <c r="D105" s="231"/>
      <c r="E105" s="232"/>
      <c r="F105" s="233">
        <v>0</v>
      </c>
      <c r="G105" s="234"/>
      <c r="H105" s="150"/>
    </row>
    <row r="106" spans="2:9" x14ac:dyDescent="0.2">
      <c r="B106" s="292" t="s">
        <v>180</v>
      </c>
      <c r="C106" s="1808" t="s">
        <v>181</v>
      </c>
      <c r="D106" s="231"/>
      <c r="E106" s="232"/>
      <c r="F106" s="233"/>
      <c r="G106" s="234"/>
    </row>
    <row r="107" spans="2:9" s="147" customFormat="1" x14ac:dyDescent="0.25">
      <c r="B107" s="129"/>
      <c r="C107" s="1808" t="s">
        <v>836</v>
      </c>
      <c r="D107" s="231"/>
      <c r="E107" s="232"/>
      <c r="F107" s="233"/>
      <c r="G107" s="234"/>
      <c r="H107" s="150"/>
    </row>
    <row r="108" spans="2:9" s="147" customFormat="1" x14ac:dyDescent="0.25">
      <c r="B108" s="152"/>
      <c r="C108" s="1810" t="s">
        <v>837</v>
      </c>
      <c r="D108" s="236" t="s">
        <v>149</v>
      </c>
      <c r="E108" s="232">
        <v>10</v>
      </c>
      <c r="F108" s="271">
        <v>0</v>
      </c>
      <c r="G108" s="272">
        <f t="shared" ref="G108:G109" si="6">E108*F108</f>
        <v>0</v>
      </c>
      <c r="H108" s="150"/>
    </row>
    <row r="109" spans="2:9" s="136" customFormat="1" x14ac:dyDescent="0.2">
      <c r="B109" s="152"/>
      <c r="C109" s="1810" t="s">
        <v>900</v>
      </c>
      <c r="D109" s="236" t="s">
        <v>149</v>
      </c>
      <c r="E109" s="232">
        <v>7</v>
      </c>
      <c r="F109" s="271">
        <v>0</v>
      </c>
      <c r="G109" s="272">
        <f t="shared" si="6"/>
        <v>0</v>
      </c>
      <c r="H109" s="565"/>
    </row>
    <row r="110" spans="2:9" s="136" customFormat="1" x14ac:dyDescent="0.2">
      <c r="B110" s="129"/>
      <c r="C110" s="1808" t="s">
        <v>185</v>
      </c>
      <c r="D110" s="231"/>
      <c r="E110" s="232"/>
      <c r="F110" s="233"/>
      <c r="G110" s="234"/>
      <c r="H110" s="565"/>
    </row>
    <row r="111" spans="2:9" s="136" customFormat="1" x14ac:dyDescent="0.2">
      <c r="B111" s="152"/>
      <c r="C111" s="1810" t="s">
        <v>186</v>
      </c>
      <c r="D111" s="236" t="s">
        <v>149</v>
      </c>
      <c r="E111" s="232">
        <v>7</v>
      </c>
      <c r="F111" s="271">
        <v>0</v>
      </c>
      <c r="G111" s="272">
        <f t="shared" ref="G111:G112" si="7">E111*F111</f>
        <v>0</v>
      </c>
      <c r="H111" s="565"/>
    </row>
    <row r="112" spans="2:9" s="136" customFormat="1" x14ac:dyDescent="0.2">
      <c r="B112" s="152"/>
      <c r="C112" s="1810" t="s">
        <v>187</v>
      </c>
      <c r="D112" s="236" t="s">
        <v>149</v>
      </c>
      <c r="E112" s="232">
        <v>4</v>
      </c>
      <c r="F112" s="271">
        <v>0</v>
      </c>
      <c r="G112" s="272">
        <f t="shared" si="7"/>
        <v>0</v>
      </c>
      <c r="H112" s="565"/>
    </row>
    <row r="113" spans="2:8" s="136" customFormat="1" x14ac:dyDescent="0.2">
      <c r="B113" s="292" t="s">
        <v>188</v>
      </c>
      <c r="C113" s="238" t="s">
        <v>189</v>
      </c>
      <c r="D113" s="239"/>
      <c r="E113" s="240"/>
      <c r="F113" s="241">
        <v>0</v>
      </c>
      <c r="G113" s="242"/>
      <c r="H113" s="565"/>
    </row>
    <row r="114" spans="2:8" s="136" customFormat="1" x14ac:dyDescent="0.2">
      <c r="B114" s="135"/>
      <c r="C114" s="238" t="s">
        <v>838</v>
      </c>
      <c r="D114" s="239"/>
      <c r="E114" s="240"/>
      <c r="F114" s="241">
        <v>0</v>
      </c>
      <c r="G114" s="242"/>
      <c r="H114" s="565"/>
    </row>
    <row r="115" spans="2:8" s="136" customFormat="1" x14ac:dyDescent="0.2">
      <c r="B115" s="135"/>
      <c r="C115" s="243" t="s">
        <v>207</v>
      </c>
      <c r="D115" s="239" t="s">
        <v>149</v>
      </c>
      <c r="E115" s="240">
        <v>2</v>
      </c>
      <c r="F115" s="273">
        <v>0</v>
      </c>
      <c r="G115" s="274">
        <f t="shared" ref="G115:G122" si="8">E115*F115</f>
        <v>0</v>
      </c>
      <c r="H115" s="565"/>
    </row>
    <row r="116" spans="2:8" s="136" customFormat="1" ht="36" x14ac:dyDescent="0.2">
      <c r="B116" s="135"/>
      <c r="C116" s="244" t="s">
        <v>192</v>
      </c>
      <c r="D116" s="239" t="s">
        <v>149</v>
      </c>
      <c r="E116" s="240">
        <v>2</v>
      </c>
      <c r="F116" s="273">
        <v>0</v>
      </c>
      <c r="G116" s="274">
        <f t="shared" si="8"/>
        <v>0</v>
      </c>
      <c r="H116" s="565"/>
    </row>
    <row r="117" spans="2:8" s="136" customFormat="1" x14ac:dyDescent="0.2">
      <c r="B117" s="135"/>
      <c r="C117" s="244" t="s">
        <v>193</v>
      </c>
      <c r="D117" s="239" t="s">
        <v>149</v>
      </c>
      <c r="E117" s="240">
        <v>2</v>
      </c>
      <c r="F117" s="273">
        <v>0</v>
      </c>
      <c r="G117" s="274">
        <f t="shared" si="8"/>
        <v>0</v>
      </c>
      <c r="H117" s="565"/>
    </row>
    <row r="118" spans="2:8" s="136" customFormat="1" x14ac:dyDescent="0.2">
      <c r="B118" s="135"/>
      <c r="C118" s="244" t="s">
        <v>194</v>
      </c>
      <c r="D118" s="239" t="s">
        <v>149</v>
      </c>
      <c r="E118" s="240">
        <v>2</v>
      </c>
      <c r="F118" s="273">
        <v>0</v>
      </c>
      <c r="G118" s="274">
        <f t="shared" si="8"/>
        <v>0</v>
      </c>
      <c r="H118" s="565"/>
    </row>
    <row r="119" spans="2:8" s="136" customFormat="1" x14ac:dyDescent="0.2">
      <c r="B119" s="135"/>
      <c r="C119" s="244" t="s">
        <v>235</v>
      </c>
      <c r="D119" s="239" t="s">
        <v>149</v>
      </c>
      <c r="E119" s="240">
        <v>4</v>
      </c>
      <c r="F119" s="273">
        <v>0</v>
      </c>
      <c r="G119" s="274">
        <f t="shared" si="8"/>
        <v>0</v>
      </c>
      <c r="H119" s="565"/>
    </row>
    <row r="120" spans="2:8" s="136" customFormat="1" x14ac:dyDescent="0.2">
      <c r="B120" s="135"/>
      <c r="C120" s="244" t="s">
        <v>839</v>
      </c>
      <c r="D120" s="239" t="s">
        <v>149</v>
      </c>
      <c r="E120" s="240">
        <v>4</v>
      </c>
      <c r="F120" s="273">
        <v>0</v>
      </c>
      <c r="G120" s="274">
        <f t="shared" si="8"/>
        <v>0</v>
      </c>
      <c r="H120" s="565"/>
    </row>
    <row r="121" spans="2:8" s="136" customFormat="1" x14ac:dyDescent="0.2">
      <c r="B121" s="135"/>
      <c r="C121" s="244" t="s">
        <v>197</v>
      </c>
      <c r="D121" s="239" t="s">
        <v>149</v>
      </c>
      <c r="E121" s="240">
        <v>2</v>
      </c>
      <c r="F121" s="273">
        <v>0</v>
      </c>
      <c r="G121" s="274">
        <f t="shared" si="8"/>
        <v>0</v>
      </c>
      <c r="H121" s="565"/>
    </row>
    <row r="122" spans="2:8" s="136" customFormat="1" x14ac:dyDescent="0.2">
      <c r="B122" s="135"/>
      <c r="C122" s="244" t="s">
        <v>198</v>
      </c>
      <c r="D122" s="239" t="s">
        <v>149</v>
      </c>
      <c r="E122" s="240">
        <v>2</v>
      </c>
      <c r="F122" s="273">
        <v>0</v>
      </c>
      <c r="G122" s="274">
        <f t="shared" si="8"/>
        <v>0</v>
      </c>
      <c r="H122" s="565"/>
    </row>
    <row r="123" spans="2:8" s="136" customFormat="1" x14ac:dyDescent="0.2">
      <c r="B123" s="135"/>
      <c r="C123" s="238" t="s">
        <v>840</v>
      </c>
      <c r="D123" s="239"/>
      <c r="E123" s="240"/>
      <c r="F123" s="273"/>
      <c r="G123" s="242"/>
      <c r="H123" s="565"/>
    </row>
    <row r="124" spans="2:8" s="136" customFormat="1" x14ac:dyDescent="0.2">
      <c r="B124" s="135"/>
      <c r="C124" s="243" t="s">
        <v>841</v>
      </c>
      <c r="D124" s="239" t="s">
        <v>149</v>
      </c>
      <c r="E124" s="240">
        <v>1</v>
      </c>
      <c r="F124" s="273">
        <v>0</v>
      </c>
      <c r="G124" s="274">
        <f t="shared" ref="G124:G133" si="9">E124*F124</f>
        <v>0</v>
      </c>
      <c r="H124" s="565"/>
    </row>
    <row r="125" spans="2:8" s="136" customFormat="1" ht="36" x14ac:dyDescent="0.2">
      <c r="B125" s="135"/>
      <c r="C125" s="244" t="s">
        <v>285</v>
      </c>
      <c r="D125" s="239" t="s">
        <v>149</v>
      </c>
      <c r="E125" s="240">
        <v>1</v>
      </c>
      <c r="F125" s="273">
        <v>0</v>
      </c>
      <c r="G125" s="274">
        <f t="shared" si="9"/>
        <v>0</v>
      </c>
      <c r="H125" s="565"/>
    </row>
    <row r="126" spans="2:8" s="136" customFormat="1" x14ac:dyDescent="0.2">
      <c r="B126" s="135"/>
      <c r="C126" s="244" t="s">
        <v>193</v>
      </c>
      <c r="D126" s="239" t="s">
        <v>149</v>
      </c>
      <c r="E126" s="240">
        <v>1</v>
      </c>
      <c r="F126" s="273">
        <v>0</v>
      </c>
      <c r="G126" s="274">
        <f t="shared" si="9"/>
        <v>0</v>
      </c>
      <c r="H126" s="565"/>
    </row>
    <row r="127" spans="2:8" s="136" customFormat="1" x14ac:dyDescent="0.2">
      <c r="B127" s="135"/>
      <c r="C127" s="244" t="s">
        <v>194</v>
      </c>
      <c r="D127" s="239" t="s">
        <v>149</v>
      </c>
      <c r="E127" s="240">
        <v>1</v>
      </c>
      <c r="F127" s="273">
        <v>0</v>
      </c>
      <c r="G127" s="274">
        <f t="shared" si="9"/>
        <v>0</v>
      </c>
      <c r="H127" s="565"/>
    </row>
    <row r="128" spans="2:8" s="136" customFormat="1" x14ac:dyDescent="0.2">
      <c r="B128" s="135"/>
      <c r="C128" s="1811" t="s">
        <v>239</v>
      </c>
      <c r="D128" s="239" t="s">
        <v>149</v>
      </c>
      <c r="E128" s="240">
        <v>2</v>
      </c>
      <c r="F128" s="273">
        <v>0</v>
      </c>
      <c r="G128" s="274">
        <f t="shared" si="9"/>
        <v>0</v>
      </c>
      <c r="H128" s="565"/>
    </row>
    <row r="129" spans="2:8" s="136" customFormat="1" x14ac:dyDescent="0.2">
      <c r="B129" s="135"/>
      <c r="C129" s="1811" t="s">
        <v>240</v>
      </c>
      <c r="D129" s="239" t="s">
        <v>149</v>
      </c>
      <c r="E129" s="240">
        <v>2</v>
      </c>
      <c r="F129" s="273">
        <v>0</v>
      </c>
      <c r="G129" s="274">
        <f t="shared" si="9"/>
        <v>0</v>
      </c>
      <c r="H129" s="565"/>
    </row>
    <row r="130" spans="2:8" s="136" customFormat="1" x14ac:dyDescent="0.2">
      <c r="B130" s="135"/>
      <c r="C130" s="1811" t="s">
        <v>241</v>
      </c>
      <c r="D130" s="239" t="s">
        <v>149</v>
      </c>
      <c r="E130" s="240">
        <v>2</v>
      </c>
      <c r="F130" s="273">
        <v>0</v>
      </c>
      <c r="G130" s="274">
        <f t="shared" si="9"/>
        <v>0</v>
      </c>
      <c r="H130" s="565"/>
    </row>
    <row r="131" spans="2:8" s="136" customFormat="1" x14ac:dyDescent="0.2">
      <c r="B131" s="135"/>
      <c r="C131" s="1811" t="s">
        <v>242</v>
      </c>
      <c r="D131" s="239" t="s">
        <v>149</v>
      </c>
      <c r="E131" s="240">
        <v>2</v>
      </c>
      <c r="F131" s="273">
        <v>0</v>
      </c>
      <c r="G131" s="274">
        <f t="shared" si="9"/>
        <v>0</v>
      </c>
      <c r="H131" s="565"/>
    </row>
    <row r="132" spans="2:8" s="136" customFormat="1" x14ac:dyDescent="0.2">
      <c r="B132" s="135"/>
      <c r="C132" s="1811" t="s">
        <v>197</v>
      </c>
      <c r="D132" s="239" t="s">
        <v>149</v>
      </c>
      <c r="E132" s="240">
        <v>1</v>
      </c>
      <c r="F132" s="273">
        <v>0</v>
      </c>
      <c r="G132" s="274">
        <f t="shared" si="9"/>
        <v>0</v>
      </c>
      <c r="H132" s="565"/>
    </row>
    <row r="133" spans="2:8" s="136" customFormat="1" x14ac:dyDescent="0.2">
      <c r="B133" s="135"/>
      <c r="C133" s="1812" t="s">
        <v>198</v>
      </c>
      <c r="D133" s="239" t="s">
        <v>149</v>
      </c>
      <c r="E133" s="240">
        <v>1</v>
      </c>
      <c r="F133" s="273">
        <v>0</v>
      </c>
      <c r="G133" s="274">
        <f t="shared" si="9"/>
        <v>0</v>
      </c>
      <c r="H133" s="565"/>
    </row>
    <row r="134" spans="2:8" s="136" customFormat="1" x14ac:dyDescent="0.2">
      <c r="B134" s="292" t="s">
        <v>199</v>
      </c>
      <c r="C134" s="247" t="s">
        <v>200</v>
      </c>
      <c r="D134" s="202"/>
      <c r="E134" s="248"/>
      <c r="F134" s="249"/>
      <c r="G134" s="205"/>
      <c r="H134" s="565"/>
    </row>
    <row r="135" spans="2:8" s="136" customFormat="1" x14ac:dyDescent="0.2">
      <c r="B135" s="292"/>
      <c r="C135" s="247" t="s">
        <v>1737</v>
      </c>
      <c r="D135" s="202"/>
      <c r="E135" s="248"/>
      <c r="F135" s="249">
        <v>0</v>
      </c>
      <c r="G135" s="205"/>
      <c r="H135" s="565"/>
    </row>
    <row r="136" spans="2:8" s="136" customFormat="1" ht="24.75" customHeight="1" x14ac:dyDescent="0.2">
      <c r="B136" s="135"/>
      <c r="C136" s="250" t="s">
        <v>202</v>
      </c>
      <c r="D136" s="202" t="s">
        <v>149</v>
      </c>
      <c r="E136" s="248">
        <v>1</v>
      </c>
      <c r="F136" s="275">
        <v>0</v>
      </c>
      <c r="G136" s="276">
        <f t="shared" ref="G136:G140" si="10">E136*F136</f>
        <v>0</v>
      </c>
      <c r="H136" s="565"/>
    </row>
    <row r="137" spans="2:8" s="136" customFormat="1" x14ac:dyDescent="0.2">
      <c r="B137" s="135"/>
      <c r="C137" s="1813" t="s">
        <v>1738</v>
      </c>
      <c r="D137" s="202" t="s">
        <v>149</v>
      </c>
      <c r="E137" s="248">
        <v>2</v>
      </c>
      <c r="F137" s="275">
        <v>0</v>
      </c>
      <c r="G137" s="276">
        <f t="shared" si="10"/>
        <v>0</v>
      </c>
      <c r="H137" s="565"/>
    </row>
    <row r="138" spans="2:8" s="136" customFormat="1" x14ac:dyDescent="0.2">
      <c r="B138" s="135"/>
      <c r="C138" s="1813" t="s">
        <v>1739</v>
      </c>
      <c r="D138" s="202" t="s">
        <v>149</v>
      </c>
      <c r="E138" s="248">
        <v>2</v>
      </c>
      <c r="F138" s="275">
        <v>0</v>
      </c>
      <c r="G138" s="276">
        <f t="shared" si="10"/>
        <v>0</v>
      </c>
      <c r="H138" s="565"/>
    </row>
    <row r="139" spans="2:8" s="136" customFormat="1" x14ac:dyDescent="0.2">
      <c r="B139" s="135"/>
      <c r="C139" s="1813" t="s">
        <v>203</v>
      </c>
      <c r="D139" s="202" t="s">
        <v>149</v>
      </c>
      <c r="E139" s="248">
        <v>1</v>
      </c>
      <c r="F139" s="275">
        <v>0</v>
      </c>
      <c r="G139" s="276">
        <f t="shared" si="10"/>
        <v>0</v>
      </c>
      <c r="H139" s="565"/>
    </row>
    <row r="140" spans="2:8" s="136" customFormat="1" x14ac:dyDescent="0.2">
      <c r="B140" s="135"/>
      <c r="C140" s="1818" t="s">
        <v>1725</v>
      </c>
      <c r="D140" s="202" t="s">
        <v>149</v>
      </c>
      <c r="E140" s="248">
        <v>1</v>
      </c>
      <c r="F140" s="275">
        <v>0</v>
      </c>
      <c r="G140" s="276">
        <f t="shared" si="10"/>
        <v>0</v>
      </c>
      <c r="H140" s="565"/>
    </row>
    <row r="141" spans="2:8" s="136" customFormat="1" x14ac:dyDescent="0.2">
      <c r="B141" s="292" t="s">
        <v>204</v>
      </c>
      <c r="C141" s="238" t="s">
        <v>221</v>
      </c>
      <c r="D141" s="239"/>
      <c r="E141" s="240"/>
      <c r="F141" s="241"/>
      <c r="G141" s="242"/>
      <c r="H141" s="565"/>
    </row>
    <row r="142" spans="2:8" s="136" customFormat="1" x14ac:dyDescent="0.2">
      <c r="B142" s="135"/>
      <c r="C142" s="238" t="s">
        <v>1771</v>
      </c>
      <c r="D142" s="239"/>
      <c r="E142" s="240"/>
      <c r="F142" s="241">
        <v>0</v>
      </c>
      <c r="G142" s="242"/>
      <c r="H142" s="565"/>
    </row>
    <row r="143" spans="2:8" s="136" customFormat="1" x14ac:dyDescent="0.2">
      <c r="B143" s="135"/>
      <c r="C143" s="243" t="s">
        <v>207</v>
      </c>
      <c r="D143" s="239" t="s">
        <v>149</v>
      </c>
      <c r="E143" s="240">
        <v>3</v>
      </c>
      <c r="F143" s="273">
        <v>0</v>
      </c>
      <c r="G143" s="274">
        <f t="shared" ref="G143:G154" si="11">E143*F143</f>
        <v>0</v>
      </c>
      <c r="H143" s="565"/>
    </row>
    <row r="144" spans="2:8" s="136" customFormat="1" ht="24" x14ac:dyDescent="0.2">
      <c r="B144" s="135"/>
      <c r="C144" s="244" t="s">
        <v>223</v>
      </c>
      <c r="D144" s="239" t="s">
        <v>149</v>
      </c>
      <c r="E144" s="240">
        <v>3</v>
      </c>
      <c r="F144" s="273">
        <v>0</v>
      </c>
      <c r="G144" s="274">
        <f t="shared" si="11"/>
        <v>0</v>
      </c>
      <c r="H144" s="565"/>
    </row>
    <row r="145" spans="2:8" s="136" customFormat="1" x14ac:dyDescent="0.2">
      <c r="B145" s="135"/>
      <c r="C145" s="244" t="s">
        <v>213</v>
      </c>
      <c r="D145" s="239" t="s">
        <v>149</v>
      </c>
      <c r="E145" s="240">
        <v>3</v>
      </c>
      <c r="F145" s="273">
        <v>0</v>
      </c>
      <c r="G145" s="274">
        <f t="shared" si="11"/>
        <v>0</v>
      </c>
      <c r="H145" s="565"/>
    </row>
    <row r="146" spans="2:8" s="136" customFormat="1" x14ac:dyDescent="0.2">
      <c r="B146" s="135"/>
      <c r="C146" s="244" t="s">
        <v>224</v>
      </c>
      <c r="D146" s="239" t="s">
        <v>149</v>
      </c>
      <c r="E146" s="240">
        <v>3</v>
      </c>
      <c r="F146" s="273">
        <v>0</v>
      </c>
      <c r="G146" s="274">
        <f t="shared" si="11"/>
        <v>0</v>
      </c>
      <c r="H146" s="565"/>
    </row>
    <row r="147" spans="2:8" s="136" customFormat="1" x14ac:dyDescent="0.2">
      <c r="B147" s="135"/>
      <c r="C147" s="244" t="s">
        <v>225</v>
      </c>
      <c r="D147" s="239" t="s">
        <v>149</v>
      </c>
      <c r="E147" s="240">
        <v>3</v>
      </c>
      <c r="F147" s="273">
        <v>0</v>
      </c>
      <c r="G147" s="274">
        <f t="shared" si="11"/>
        <v>0</v>
      </c>
      <c r="H147" s="565"/>
    </row>
    <row r="148" spans="2:8" s="136" customFormat="1" x14ac:dyDescent="0.2">
      <c r="B148" s="135"/>
      <c r="C148" s="1811" t="s">
        <v>226</v>
      </c>
      <c r="D148" s="239" t="s">
        <v>149</v>
      </c>
      <c r="E148" s="240">
        <v>3</v>
      </c>
      <c r="F148" s="273">
        <v>0</v>
      </c>
      <c r="G148" s="274">
        <f t="shared" si="11"/>
        <v>0</v>
      </c>
      <c r="H148" s="565"/>
    </row>
    <row r="149" spans="2:8" s="136" customFormat="1" x14ac:dyDescent="0.2">
      <c r="B149" s="135"/>
      <c r="C149" s="1811" t="s">
        <v>217</v>
      </c>
      <c r="D149" s="239" t="s">
        <v>149</v>
      </c>
      <c r="E149" s="240">
        <v>3</v>
      </c>
      <c r="F149" s="273">
        <v>0</v>
      </c>
      <c r="G149" s="274">
        <f t="shared" si="11"/>
        <v>0</v>
      </c>
      <c r="H149" s="565"/>
    </row>
    <row r="150" spans="2:8" s="136" customFormat="1" x14ac:dyDescent="0.2">
      <c r="B150" s="135"/>
      <c r="C150" s="1811" t="s">
        <v>235</v>
      </c>
      <c r="D150" s="239" t="s">
        <v>149</v>
      </c>
      <c r="E150" s="240">
        <v>6</v>
      </c>
      <c r="F150" s="273">
        <v>0</v>
      </c>
      <c r="G150" s="274">
        <f t="shared" si="11"/>
        <v>0</v>
      </c>
      <c r="H150" s="565"/>
    </row>
    <row r="151" spans="2:8" s="136" customFormat="1" x14ac:dyDescent="0.2">
      <c r="B151" s="135"/>
      <c r="C151" s="1811" t="s">
        <v>236</v>
      </c>
      <c r="D151" s="239" t="s">
        <v>149</v>
      </c>
      <c r="E151" s="240">
        <v>6</v>
      </c>
      <c r="F151" s="273">
        <v>0</v>
      </c>
      <c r="G151" s="274">
        <f t="shared" si="11"/>
        <v>0</v>
      </c>
      <c r="H151" s="565"/>
    </row>
    <row r="152" spans="2:8" s="136" customFormat="1" x14ac:dyDescent="0.2">
      <c r="B152" s="135"/>
      <c r="C152" s="1811" t="s">
        <v>227</v>
      </c>
      <c r="D152" s="239" t="s">
        <v>149</v>
      </c>
      <c r="E152" s="240">
        <v>3</v>
      </c>
      <c r="F152" s="273">
        <v>0</v>
      </c>
      <c r="G152" s="274">
        <f t="shared" si="11"/>
        <v>0</v>
      </c>
      <c r="H152" s="565"/>
    </row>
    <row r="153" spans="2:8" s="136" customFormat="1" x14ac:dyDescent="0.2">
      <c r="B153" s="135"/>
      <c r="C153" s="1812" t="s">
        <v>198</v>
      </c>
      <c r="D153" s="239" t="s">
        <v>149</v>
      </c>
      <c r="E153" s="240">
        <v>3</v>
      </c>
      <c r="F153" s="273">
        <v>0</v>
      </c>
      <c r="G153" s="274">
        <f t="shared" si="11"/>
        <v>0</v>
      </c>
      <c r="H153" s="565"/>
    </row>
    <row r="154" spans="2:8" s="136" customFormat="1" ht="24" x14ac:dyDescent="0.2">
      <c r="B154" s="309" t="s">
        <v>1786</v>
      </c>
      <c r="C154" s="238" t="s">
        <v>229</v>
      </c>
      <c r="D154" s="239" t="s">
        <v>149</v>
      </c>
      <c r="E154" s="240">
        <v>3</v>
      </c>
      <c r="F154" s="273">
        <v>0</v>
      </c>
      <c r="G154" s="274">
        <f t="shared" si="11"/>
        <v>0</v>
      </c>
      <c r="H154" s="565"/>
    </row>
    <row r="155" spans="2:8" s="136" customFormat="1" x14ac:dyDescent="0.2">
      <c r="B155" s="292" t="s">
        <v>220</v>
      </c>
      <c r="C155" s="247" t="s">
        <v>331</v>
      </c>
      <c r="D155" s="247"/>
      <c r="E155" s="247"/>
      <c r="F155" s="247"/>
      <c r="G155" s="247"/>
      <c r="H155" s="565"/>
    </row>
    <row r="156" spans="2:8" s="136" customFormat="1" x14ac:dyDescent="0.2">
      <c r="B156" s="135"/>
      <c r="C156" s="247" t="s">
        <v>1752</v>
      </c>
      <c r="D156" s="202"/>
      <c r="E156" s="248"/>
      <c r="F156" s="249">
        <v>0</v>
      </c>
      <c r="G156" s="205"/>
      <c r="H156" s="565"/>
    </row>
    <row r="157" spans="2:8" s="136" customFormat="1" ht="24" x14ac:dyDescent="0.2">
      <c r="B157" s="135"/>
      <c r="C157" s="262" t="s">
        <v>1760</v>
      </c>
      <c r="D157" s="202" t="s">
        <v>149</v>
      </c>
      <c r="E157" s="248">
        <v>1</v>
      </c>
      <c r="F157" s="275">
        <v>0</v>
      </c>
      <c r="G157" s="276">
        <f t="shared" ref="G157:G161" si="12">E157*F157</f>
        <v>0</v>
      </c>
      <c r="H157" s="565"/>
    </row>
    <row r="158" spans="2:8" s="136" customFormat="1" x14ac:dyDescent="0.2">
      <c r="B158" s="135"/>
      <c r="C158" s="1814" t="s">
        <v>235</v>
      </c>
      <c r="D158" s="202" t="s">
        <v>149</v>
      </c>
      <c r="E158" s="248">
        <v>2</v>
      </c>
      <c r="F158" s="275">
        <v>0</v>
      </c>
      <c r="G158" s="276">
        <f t="shared" si="12"/>
        <v>0</v>
      </c>
      <c r="H158" s="565"/>
    </row>
    <row r="159" spans="2:8" s="136" customFormat="1" x14ac:dyDescent="0.2">
      <c r="B159" s="135"/>
      <c r="C159" s="1814" t="s">
        <v>236</v>
      </c>
      <c r="D159" s="202" t="s">
        <v>149</v>
      </c>
      <c r="E159" s="248">
        <v>2</v>
      </c>
      <c r="F159" s="275">
        <v>0</v>
      </c>
      <c r="G159" s="276">
        <f t="shared" si="12"/>
        <v>0</v>
      </c>
      <c r="H159" s="565"/>
    </row>
    <row r="160" spans="2:8" s="136" customFormat="1" x14ac:dyDescent="0.2">
      <c r="B160" s="135"/>
      <c r="C160" s="1814" t="s">
        <v>227</v>
      </c>
      <c r="D160" s="202" t="s">
        <v>149</v>
      </c>
      <c r="E160" s="248">
        <v>1</v>
      </c>
      <c r="F160" s="275">
        <v>0</v>
      </c>
      <c r="G160" s="276">
        <f t="shared" si="12"/>
        <v>0</v>
      </c>
      <c r="H160" s="565"/>
    </row>
    <row r="161" spans="2:8" s="136" customFormat="1" x14ac:dyDescent="0.2">
      <c r="B161" s="135"/>
      <c r="C161" s="1815" t="s">
        <v>198</v>
      </c>
      <c r="D161" s="202" t="s">
        <v>149</v>
      </c>
      <c r="E161" s="248">
        <v>1</v>
      </c>
      <c r="F161" s="275">
        <v>0</v>
      </c>
      <c r="G161" s="276">
        <f t="shared" si="12"/>
        <v>0</v>
      </c>
      <c r="H161" s="565"/>
    </row>
    <row r="162" spans="2:8" s="136" customFormat="1" x14ac:dyDescent="0.2">
      <c r="B162" s="292" t="s">
        <v>330</v>
      </c>
      <c r="C162" s="253" t="s">
        <v>231</v>
      </c>
      <c r="D162" s="254"/>
      <c r="E162" s="255"/>
      <c r="F162" s="256"/>
      <c r="G162" s="257"/>
      <c r="H162" s="565"/>
    </row>
    <row r="163" spans="2:8" s="136" customFormat="1" x14ac:dyDescent="0.2">
      <c r="B163" s="135"/>
      <c r="C163" s="253" t="s">
        <v>844</v>
      </c>
      <c r="D163" s="254"/>
      <c r="E163" s="255"/>
      <c r="F163" s="256">
        <v>0</v>
      </c>
      <c r="G163" s="257"/>
      <c r="H163" s="565"/>
    </row>
    <row r="164" spans="2:8" s="136" customFormat="1" ht="24" x14ac:dyDescent="0.2">
      <c r="B164" s="135"/>
      <c r="C164" s="258" t="s">
        <v>238</v>
      </c>
      <c r="D164" s="254" t="s">
        <v>149</v>
      </c>
      <c r="E164" s="255">
        <v>2</v>
      </c>
      <c r="F164" s="277">
        <v>0</v>
      </c>
      <c r="G164" s="278">
        <f t="shared" ref="G164:G172" si="13">E164*F164</f>
        <v>0</v>
      </c>
      <c r="H164" s="565"/>
    </row>
    <row r="165" spans="2:8" s="136" customFormat="1" x14ac:dyDescent="0.2">
      <c r="B165" s="135"/>
      <c r="C165" s="1816" t="s">
        <v>235</v>
      </c>
      <c r="D165" s="254" t="s">
        <v>149</v>
      </c>
      <c r="E165" s="255">
        <v>4</v>
      </c>
      <c r="F165" s="277">
        <v>0</v>
      </c>
      <c r="G165" s="278">
        <f t="shared" si="13"/>
        <v>0</v>
      </c>
      <c r="H165" s="565"/>
    </row>
    <row r="166" spans="2:8" s="136" customFormat="1" x14ac:dyDescent="0.2">
      <c r="B166" s="135"/>
      <c r="C166" s="1816" t="s">
        <v>239</v>
      </c>
      <c r="D166" s="254" t="s">
        <v>149</v>
      </c>
      <c r="E166" s="255">
        <v>2</v>
      </c>
      <c r="F166" s="277">
        <v>0</v>
      </c>
      <c r="G166" s="278">
        <f t="shared" si="13"/>
        <v>0</v>
      </c>
      <c r="H166" s="565"/>
    </row>
    <row r="167" spans="2:8" s="136" customFormat="1" x14ac:dyDescent="0.2">
      <c r="B167" s="135"/>
      <c r="C167" s="1816" t="s">
        <v>236</v>
      </c>
      <c r="D167" s="254" t="s">
        <v>149</v>
      </c>
      <c r="E167" s="255">
        <v>4</v>
      </c>
      <c r="F167" s="277">
        <v>0</v>
      </c>
      <c r="G167" s="278">
        <f t="shared" si="13"/>
        <v>0</v>
      </c>
      <c r="H167" s="565"/>
    </row>
    <row r="168" spans="2:8" s="136" customFormat="1" x14ac:dyDescent="0.2">
      <c r="B168" s="135"/>
      <c r="C168" s="1816" t="s">
        <v>240</v>
      </c>
      <c r="D168" s="254" t="s">
        <v>149</v>
      </c>
      <c r="E168" s="255">
        <v>2</v>
      </c>
      <c r="F168" s="277">
        <v>0</v>
      </c>
      <c r="G168" s="278">
        <f t="shared" si="13"/>
        <v>0</v>
      </c>
      <c r="H168" s="565"/>
    </row>
    <row r="169" spans="2:8" s="136" customFormat="1" x14ac:dyDescent="0.2">
      <c r="B169" s="135"/>
      <c r="C169" s="1816" t="s">
        <v>241</v>
      </c>
      <c r="D169" s="254" t="s">
        <v>149</v>
      </c>
      <c r="E169" s="255">
        <v>2</v>
      </c>
      <c r="F169" s="277">
        <v>0</v>
      </c>
      <c r="G169" s="278">
        <f t="shared" si="13"/>
        <v>0</v>
      </c>
      <c r="H169" s="565"/>
    </row>
    <row r="170" spans="2:8" s="136" customFormat="1" x14ac:dyDescent="0.2">
      <c r="B170" s="135"/>
      <c r="C170" s="1816" t="s">
        <v>242</v>
      </c>
      <c r="D170" s="254" t="s">
        <v>149</v>
      </c>
      <c r="E170" s="255">
        <v>2</v>
      </c>
      <c r="F170" s="277">
        <v>0</v>
      </c>
      <c r="G170" s="278">
        <f t="shared" si="13"/>
        <v>0</v>
      </c>
      <c r="H170" s="565"/>
    </row>
    <row r="171" spans="2:8" s="136" customFormat="1" x14ac:dyDescent="0.2">
      <c r="B171" s="135"/>
      <c r="C171" s="1816" t="s">
        <v>227</v>
      </c>
      <c r="D171" s="254" t="s">
        <v>149</v>
      </c>
      <c r="E171" s="255">
        <v>2</v>
      </c>
      <c r="F171" s="277">
        <v>0</v>
      </c>
      <c r="G171" s="278">
        <f t="shared" si="13"/>
        <v>0</v>
      </c>
      <c r="H171" s="565"/>
    </row>
    <row r="172" spans="2:8" s="136" customFormat="1" x14ac:dyDescent="0.2">
      <c r="B172" s="135"/>
      <c r="C172" s="1817" t="s">
        <v>198</v>
      </c>
      <c r="D172" s="254" t="s">
        <v>149</v>
      </c>
      <c r="E172" s="255">
        <v>2</v>
      </c>
      <c r="F172" s="277">
        <v>0</v>
      </c>
      <c r="G172" s="278">
        <f t="shared" si="13"/>
        <v>0</v>
      </c>
      <c r="H172" s="565"/>
    </row>
    <row r="173" spans="2:8" s="136" customFormat="1" x14ac:dyDescent="0.2">
      <c r="B173" s="292" t="s">
        <v>230</v>
      </c>
      <c r="C173" s="247" t="s">
        <v>244</v>
      </c>
      <c r="D173" s="202"/>
      <c r="E173" s="248"/>
      <c r="F173" s="249"/>
      <c r="G173" s="205"/>
      <c r="H173" s="565"/>
    </row>
    <row r="174" spans="2:8" s="136" customFormat="1" x14ac:dyDescent="0.2">
      <c r="B174" s="135"/>
      <c r="C174" s="247" t="s">
        <v>1754</v>
      </c>
      <c r="D174" s="202"/>
      <c r="E174" s="248"/>
      <c r="F174" s="249">
        <v>0</v>
      </c>
      <c r="G174" s="205"/>
      <c r="H174" s="565"/>
    </row>
    <row r="175" spans="2:8" s="136" customFormat="1" ht="36" x14ac:dyDescent="0.2">
      <c r="B175" s="135"/>
      <c r="C175" s="262" t="s">
        <v>1755</v>
      </c>
      <c r="D175" s="202" t="s">
        <v>149</v>
      </c>
      <c r="E175" s="248">
        <v>2</v>
      </c>
      <c r="F175" s="275">
        <v>0</v>
      </c>
      <c r="G175" s="276">
        <f t="shared" ref="G175:G177" si="14">E175*F175</f>
        <v>0</v>
      </c>
      <c r="H175" s="565"/>
    </row>
    <row r="176" spans="2:8" s="136" customFormat="1" x14ac:dyDescent="0.2">
      <c r="B176" s="135"/>
      <c r="C176" s="1814" t="s">
        <v>247</v>
      </c>
      <c r="D176" s="202" t="s">
        <v>149</v>
      </c>
      <c r="E176" s="248">
        <v>2</v>
      </c>
      <c r="F176" s="275">
        <v>0</v>
      </c>
      <c r="G176" s="276">
        <f t="shared" si="14"/>
        <v>0</v>
      </c>
      <c r="H176" s="565"/>
    </row>
    <row r="177" spans="2:8" s="136" customFormat="1" x14ac:dyDescent="0.2">
      <c r="B177" s="135"/>
      <c r="C177" s="1821" t="s">
        <v>248</v>
      </c>
      <c r="D177" s="202" t="s">
        <v>149</v>
      </c>
      <c r="E177" s="248">
        <v>2</v>
      </c>
      <c r="F177" s="275">
        <v>0</v>
      </c>
      <c r="G177" s="276">
        <f t="shared" si="14"/>
        <v>0</v>
      </c>
      <c r="H177" s="565"/>
    </row>
    <row r="178" spans="2:8" x14ac:dyDescent="0.2">
      <c r="B178" s="135"/>
      <c r="C178" s="247" t="s">
        <v>849</v>
      </c>
      <c r="D178" s="202"/>
      <c r="E178" s="248"/>
      <c r="F178" s="249">
        <v>0</v>
      </c>
      <c r="G178" s="205"/>
    </row>
    <row r="179" spans="2:8" s="136" customFormat="1" ht="36" x14ac:dyDescent="0.2">
      <c r="B179" s="135"/>
      <c r="C179" s="262" t="s">
        <v>850</v>
      </c>
      <c r="D179" s="202" t="s">
        <v>149</v>
      </c>
      <c r="E179" s="248">
        <v>12</v>
      </c>
      <c r="F179" s="275">
        <v>0</v>
      </c>
      <c r="G179" s="276">
        <f t="shared" ref="G179:G181" si="15">E179*F179</f>
        <v>0</v>
      </c>
      <c r="H179" s="565"/>
    </row>
    <row r="180" spans="2:8" s="136" customFormat="1" x14ac:dyDescent="0.2">
      <c r="B180" s="135"/>
      <c r="C180" s="1814" t="s">
        <v>247</v>
      </c>
      <c r="D180" s="202" t="s">
        <v>149</v>
      </c>
      <c r="E180" s="248">
        <v>12</v>
      </c>
      <c r="F180" s="275">
        <v>0</v>
      </c>
      <c r="G180" s="276">
        <f t="shared" si="15"/>
        <v>0</v>
      </c>
      <c r="H180" s="565"/>
    </row>
    <row r="181" spans="2:8" s="136" customFormat="1" x14ac:dyDescent="0.2">
      <c r="B181" s="135"/>
      <c r="C181" s="1815" t="s">
        <v>198</v>
      </c>
      <c r="D181" s="202" t="s">
        <v>149</v>
      </c>
      <c r="E181" s="248">
        <v>12</v>
      </c>
      <c r="F181" s="275">
        <v>0</v>
      </c>
      <c r="G181" s="276">
        <f t="shared" si="15"/>
        <v>0</v>
      </c>
      <c r="H181" s="565"/>
    </row>
    <row r="182" spans="2:8" s="136" customFormat="1" x14ac:dyDescent="0.2">
      <c r="B182" s="135"/>
      <c r="C182" s="247" t="s">
        <v>828</v>
      </c>
      <c r="D182" s="202"/>
      <c r="E182" s="248"/>
      <c r="F182" s="249">
        <v>0</v>
      </c>
      <c r="G182" s="205"/>
      <c r="H182" s="565"/>
    </row>
    <row r="183" spans="2:8" s="136" customFormat="1" ht="36" x14ac:dyDescent="0.2">
      <c r="B183" s="135"/>
      <c r="C183" s="262" t="s">
        <v>829</v>
      </c>
      <c r="D183" s="202" t="s">
        <v>149</v>
      </c>
      <c r="E183" s="248">
        <v>8</v>
      </c>
      <c r="F183" s="275">
        <v>0</v>
      </c>
      <c r="G183" s="276">
        <f t="shared" ref="G183:G186" si="16">E183*F183</f>
        <v>0</v>
      </c>
      <c r="H183" s="565"/>
    </row>
    <row r="184" spans="2:8" s="136" customFormat="1" x14ac:dyDescent="0.2">
      <c r="B184" s="135"/>
      <c r="C184" s="1814" t="s">
        <v>247</v>
      </c>
      <c r="D184" s="202" t="s">
        <v>149</v>
      </c>
      <c r="E184" s="248">
        <v>8</v>
      </c>
      <c r="F184" s="275">
        <v>0</v>
      </c>
      <c r="G184" s="276">
        <f t="shared" si="16"/>
        <v>0</v>
      </c>
      <c r="H184" s="565"/>
    </row>
    <row r="185" spans="2:8" s="136" customFormat="1" x14ac:dyDescent="0.2">
      <c r="B185" s="135"/>
      <c r="C185" s="1815" t="s">
        <v>198</v>
      </c>
      <c r="D185" s="202" t="s">
        <v>149</v>
      </c>
      <c r="E185" s="248">
        <v>8</v>
      </c>
      <c r="F185" s="275">
        <v>0</v>
      </c>
      <c r="G185" s="276">
        <f t="shared" si="16"/>
        <v>0</v>
      </c>
      <c r="H185" s="565"/>
    </row>
    <row r="186" spans="2:8" s="136" customFormat="1" x14ac:dyDescent="0.2">
      <c r="B186" s="135"/>
      <c r="C186" s="1815" t="s">
        <v>1727</v>
      </c>
      <c r="D186" s="202" t="s">
        <v>149</v>
      </c>
      <c r="E186" s="248">
        <v>3</v>
      </c>
      <c r="F186" s="275">
        <v>0</v>
      </c>
      <c r="G186" s="276">
        <f t="shared" si="16"/>
        <v>0</v>
      </c>
      <c r="H186" s="565"/>
    </row>
    <row r="187" spans="2:8" x14ac:dyDescent="0.2">
      <c r="B187" s="292" t="s">
        <v>243</v>
      </c>
      <c r="C187" s="280" t="s">
        <v>300</v>
      </c>
      <c r="D187" s="281"/>
      <c r="E187" s="282"/>
      <c r="F187" s="283"/>
      <c r="G187" s="284"/>
    </row>
    <row r="188" spans="2:8" ht="60" x14ac:dyDescent="0.2">
      <c r="B188" s="135"/>
      <c r="C188" s="285" t="s">
        <v>301</v>
      </c>
      <c r="D188" s="286" t="s">
        <v>149</v>
      </c>
      <c r="E188" s="287">
        <v>18</v>
      </c>
      <c r="F188" s="288">
        <v>0</v>
      </c>
      <c r="G188" s="289">
        <f t="shared" ref="G188" si="17">E188*F188</f>
        <v>0</v>
      </c>
    </row>
    <row r="189" spans="2:8" s="136" customFormat="1" ht="25.5" customHeight="1" x14ac:dyDescent="0.2">
      <c r="B189" s="293" t="s">
        <v>17</v>
      </c>
      <c r="C189" s="294" t="s">
        <v>302</v>
      </c>
      <c r="D189" s="218"/>
      <c r="E189" s="203"/>
      <c r="F189" s="204"/>
      <c r="G189" s="290">
        <f>SUM(G89:G188)</f>
        <v>0</v>
      </c>
      <c r="H189" s="565"/>
    </row>
  </sheetData>
  <mergeCells count="6">
    <mergeCell ref="B98:B100"/>
    <mergeCell ref="B40:G40"/>
    <mergeCell ref="B51:B53"/>
    <mergeCell ref="B86:G86"/>
    <mergeCell ref="B87:G87"/>
    <mergeCell ref="B88:G88"/>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8" max="16383" man="1"/>
    <brk id="122"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9A43-E174-4F7E-9B43-F07F6C49E441}">
  <sheetPr>
    <tabColor theme="0" tint="-0.14999847407452621"/>
  </sheetPr>
  <dimension ref="A2:L287"/>
  <sheetViews>
    <sheetView showZeros="0" topLeftCell="A59"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1787</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G81</f>
        <v>0</v>
      </c>
      <c r="H16" s="569"/>
    </row>
    <row r="17" spans="2:8" s="1792" customFormat="1" ht="18.75" customHeight="1" x14ac:dyDescent="0.25">
      <c r="B17" s="1793" t="s">
        <v>17</v>
      </c>
      <c r="C17" s="1794" t="s">
        <v>87</v>
      </c>
      <c r="D17" s="1795"/>
      <c r="E17" s="1796"/>
      <c r="F17" s="1797"/>
      <c r="G17" s="474">
        <f>G287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3130</v>
      </c>
      <c r="F24" s="467">
        <v>0</v>
      </c>
      <c r="G24" s="352">
        <f t="shared" ref="G24" si="0">E24*F24</f>
        <v>0</v>
      </c>
    </row>
    <row r="25" spans="2:8" x14ac:dyDescent="0.2">
      <c r="B25" s="129">
        <v>2</v>
      </c>
      <c r="C25" s="206" t="s">
        <v>96</v>
      </c>
      <c r="D25" s="207" t="s">
        <v>95</v>
      </c>
      <c r="E25" s="353">
        <f>E24</f>
        <v>3130</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3</v>
      </c>
      <c r="F29" s="467">
        <v>0</v>
      </c>
      <c r="G29" s="352">
        <f t="shared" si="1"/>
        <v>0</v>
      </c>
    </row>
    <row r="30" spans="2:8" ht="39.75" customHeight="1" x14ac:dyDescent="0.2">
      <c r="B30" s="129">
        <v>7</v>
      </c>
      <c r="C30" s="3165" t="s">
        <v>2590</v>
      </c>
      <c r="D30" s="210" t="s">
        <v>95</v>
      </c>
      <c r="E30" s="353">
        <v>3737</v>
      </c>
      <c r="F30" s="467">
        <v>0</v>
      </c>
      <c r="G30" s="352">
        <f t="shared" si="1"/>
        <v>0</v>
      </c>
      <c r="H30" s="571"/>
    </row>
    <row r="31" spans="2:8" ht="27.75" customHeight="1" x14ac:dyDescent="0.2">
      <c r="B31" s="129">
        <v>8</v>
      </c>
      <c r="C31" s="3165" t="s">
        <v>2591</v>
      </c>
      <c r="D31" s="210" t="s">
        <v>95</v>
      </c>
      <c r="E31" s="353">
        <v>3737</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(3737*1*1.4*0.07)</f>
        <v>366.226</v>
      </c>
      <c r="F41" s="467">
        <v>0</v>
      </c>
      <c r="G41" s="352">
        <f t="shared" ref="G41:G80" si="2">E41*F41</f>
        <v>0</v>
      </c>
      <c r="I41" s="132"/>
    </row>
    <row r="42" spans="2:12" ht="39" customHeight="1" x14ac:dyDescent="0.2">
      <c r="B42" s="131">
        <v>2</v>
      </c>
      <c r="C42" s="206" t="s">
        <v>113</v>
      </c>
      <c r="D42" s="207" t="s">
        <v>95</v>
      </c>
      <c r="E42" s="353">
        <f>0.6*3737</f>
        <v>2242.1999999999998</v>
      </c>
      <c r="F42" s="467">
        <v>0</v>
      </c>
      <c r="G42" s="352">
        <f t="shared" si="2"/>
        <v>0</v>
      </c>
      <c r="I42" s="132"/>
    </row>
    <row r="43" spans="2:12" ht="36" x14ac:dyDescent="0.2">
      <c r="B43" s="131">
        <v>3</v>
      </c>
      <c r="C43" s="206" t="s">
        <v>114</v>
      </c>
      <c r="D43" s="209" t="s">
        <v>112</v>
      </c>
      <c r="E43" s="353">
        <f>((3737*1*1.4)-E41)*0.1</f>
        <v>486.55739999999997</v>
      </c>
      <c r="F43" s="467">
        <v>0</v>
      </c>
      <c r="G43" s="352">
        <f t="shared" si="2"/>
        <v>0</v>
      </c>
      <c r="I43" s="133"/>
      <c r="K43" s="134"/>
      <c r="L43" s="134"/>
    </row>
    <row r="44" spans="2:12" ht="39.75" customHeight="1" x14ac:dyDescent="0.2">
      <c r="B44" s="131">
        <v>4</v>
      </c>
      <c r="C44" s="206" t="s">
        <v>115</v>
      </c>
      <c r="D44" s="209" t="s">
        <v>112</v>
      </c>
      <c r="E44" s="353">
        <f>((3737*1*1.4)-E41)*0.9</f>
        <v>4379.0165999999999</v>
      </c>
      <c r="F44" s="467">
        <v>0</v>
      </c>
      <c r="G44" s="352">
        <f t="shared" si="2"/>
        <v>0</v>
      </c>
      <c r="I44" s="133"/>
      <c r="J44" s="134"/>
    </row>
    <row r="45" spans="2:12" ht="29.25" customHeight="1" x14ac:dyDescent="0.2">
      <c r="B45" s="131">
        <v>5</v>
      </c>
      <c r="C45" s="311" t="s">
        <v>116</v>
      </c>
      <c r="D45" s="219" t="s">
        <v>117</v>
      </c>
      <c r="E45" s="471">
        <f>3737*1.4</f>
        <v>5231.7999999999993</v>
      </c>
      <c r="F45" s="467">
        <v>0</v>
      </c>
      <c r="G45" s="352">
        <f t="shared" si="2"/>
        <v>0</v>
      </c>
      <c r="I45" s="1364"/>
    </row>
    <row r="46" spans="2:12" ht="29.25" customHeight="1" x14ac:dyDescent="0.2">
      <c r="B46" s="131">
        <v>6</v>
      </c>
      <c r="C46" s="206" t="s">
        <v>118</v>
      </c>
      <c r="D46" s="209" t="s">
        <v>117</v>
      </c>
      <c r="E46" s="353">
        <f>3737*1</f>
        <v>3737</v>
      </c>
      <c r="F46" s="467">
        <v>0</v>
      </c>
      <c r="G46" s="352">
        <f t="shared" si="2"/>
        <v>0</v>
      </c>
      <c r="I46" s="1364"/>
    </row>
    <row r="47" spans="2:12" ht="27" customHeight="1" x14ac:dyDescent="0.2">
      <c r="B47" s="131">
        <v>7</v>
      </c>
      <c r="C47" s="206" t="s">
        <v>304</v>
      </c>
      <c r="D47" s="209" t="s">
        <v>112</v>
      </c>
      <c r="E47" s="353">
        <v>1056.0999999999999</v>
      </c>
      <c r="F47" s="467">
        <v>0</v>
      </c>
      <c r="G47" s="352">
        <f t="shared" si="2"/>
        <v>0</v>
      </c>
      <c r="I47" s="133"/>
    </row>
    <row r="48" spans="2:12" ht="24" x14ac:dyDescent="0.2">
      <c r="B48" s="131">
        <v>8</v>
      </c>
      <c r="C48" s="206" t="s">
        <v>119</v>
      </c>
      <c r="D48" s="209" t="s">
        <v>112</v>
      </c>
      <c r="E48" s="353">
        <f>(3737*1*1.4)*0.157</f>
        <v>821.3925999999999</v>
      </c>
      <c r="F48" s="467">
        <v>0</v>
      </c>
      <c r="G48" s="352">
        <f t="shared" si="2"/>
        <v>0</v>
      </c>
      <c r="I48" s="134"/>
    </row>
    <row r="49" spans="2:11" ht="40.5" customHeight="1" x14ac:dyDescent="0.2">
      <c r="B49" s="131">
        <v>9</v>
      </c>
      <c r="C49" s="208" t="s">
        <v>120</v>
      </c>
      <c r="D49" s="209" t="s">
        <v>112</v>
      </c>
      <c r="E49" s="353">
        <v>893.2</v>
      </c>
      <c r="F49" s="467">
        <v>0</v>
      </c>
      <c r="G49" s="352">
        <f t="shared" si="2"/>
        <v>0</v>
      </c>
      <c r="I49" s="1365"/>
      <c r="J49" s="1365"/>
      <c r="K49" s="1365"/>
    </row>
    <row r="50" spans="2:11" s="130" customFormat="1" ht="39" customHeight="1" x14ac:dyDescent="0.2">
      <c r="B50" s="131">
        <v>10</v>
      </c>
      <c r="C50" s="314" t="s">
        <v>1780</v>
      </c>
      <c r="D50" s="210" t="s">
        <v>112</v>
      </c>
      <c r="E50" s="353">
        <v>715.6</v>
      </c>
      <c r="F50" s="467">
        <v>0</v>
      </c>
      <c r="G50" s="352">
        <f t="shared" si="2"/>
        <v>0</v>
      </c>
      <c r="H50" s="565"/>
      <c r="I50" s="1263"/>
      <c r="J50" s="1263"/>
    </row>
    <row r="51" spans="2:11" s="130" customFormat="1" ht="40.5" customHeight="1" x14ac:dyDescent="0.2">
      <c r="B51" s="313" t="s">
        <v>566</v>
      </c>
      <c r="C51" s="314" t="s">
        <v>1788</v>
      </c>
      <c r="D51" s="210" t="s">
        <v>112</v>
      </c>
      <c r="E51" s="353">
        <v>336.2</v>
      </c>
      <c r="F51" s="467">
        <v>0</v>
      </c>
      <c r="G51" s="352">
        <f t="shared" si="2"/>
        <v>0</v>
      </c>
      <c r="H51" s="565"/>
      <c r="I51" s="923"/>
    </row>
    <row r="52" spans="2:11" s="147" customFormat="1" ht="54" customHeight="1" x14ac:dyDescent="0.25">
      <c r="B52" s="3187">
        <v>12</v>
      </c>
      <c r="C52" s="308" t="s">
        <v>122</v>
      </c>
      <c r="D52" s="210"/>
      <c r="E52" s="353"/>
      <c r="F52" s="467"/>
      <c r="G52" s="352"/>
      <c r="H52" s="572"/>
      <c r="I52" s="490"/>
      <c r="J52" s="490"/>
    </row>
    <row r="53" spans="2:11" s="147" customFormat="1" ht="15" customHeight="1" x14ac:dyDescent="0.25">
      <c r="B53" s="3188"/>
      <c r="C53" s="308" t="s">
        <v>124</v>
      </c>
      <c r="D53" s="207" t="s">
        <v>95</v>
      </c>
      <c r="E53" s="353">
        <v>130</v>
      </c>
      <c r="F53" s="467">
        <v>0</v>
      </c>
      <c r="G53" s="352">
        <f t="shared" si="2"/>
        <v>0</v>
      </c>
      <c r="H53" s="572"/>
      <c r="I53" s="490"/>
    </row>
    <row r="54" spans="2:11" s="147" customFormat="1" ht="15" customHeight="1" x14ac:dyDescent="0.25">
      <c r="B54" s="3189"/>
      <c r="C54" s="308" t="s">
        <v>305</v>
      </c>
      <c r="D54" s="207" t="s">
        <v>95</v>
      </c>
      <c r="E54" s="353">
        <v>45</v>
      </c>
      <c r="F54" s="467">
        <v>0</v>
      </c>
      <c r="G54" s="352">
        <f t="shared" si="2"/>
        <v>0</v>
      </c>
      <c r="H54" s="572"/>
    </row>
    <row r="55" spans="2:11" ht="25.5" customHeight="1" x14ac:dyDescent="0.2">
      <c r="B55" s="131">
        <v>13</v>
      </c>
      <c r="C55" s="206" t="s">
        <v>125</v>
      </c>
      <c r="D55" s="209" t="s">
        <v>95</v>
      </c>
      <c r="E55" s="353">
        <v>1126.5</v>
      </c>
      <c r="F55" s="467">
        <v>0</v>
      </c>
      <c r="G55" s="352">
        <f t="shared" si="2"/>
        <v>0</v>
      </c>
      <c r="H55" s="571"/>
    </row>
    <row r="56" spans="2:11" ht="16.5" customHeight="1" x14ac:dyDescent="0.2">
      <c r="B56" s="131">
        <v>14</v>
      </c>
      <c r="C56" s="206" t="s">
        <v>126</v>
      </c>
      <c r="D56" s="207" t="s">
        <v>117</v>
      </c>
      <c r="E56" s="353">
        <v>1251.8</v>
      </c>
      <c r="F56" s="467">
        <v>0</v>
      </c>
      <c r="G56" s="352">
        <f t="shared" si="2"/>
        <v>0</v>
      </c>
      <c r="H56" s="571"/>
    </row>
    <row r="57" spans="2:11" ht="48" x14ac:dyDescent="0.2">
      <c r="B57" s="131">
        <v>15</v>
      </c>
      <c r="C57" s="206" t="s">
        <v>127</v>
      </c>
      <c r="D57" s="207" t="s">
        <v>117</v>
      </c>
      <c r="E57" s="353">
        <f>E56</f>
        <v>1251.8</v>
      </c>
      <c r="F57" s="467">
        <v>0</v>
      </c>
      <c r="G57" s="352">
        <f t="shared" si="2"/>
        <v>0</v>
      </c>
      <c r="H57" s="571"/>
    </row>
    <row r="58" spans="2:11" ht="51.75" customHeight="1" x14ac:dyDescent="0.2">
      <c r="B58" s="312" t="s">
        <v>576</v>
      </c>
      <c r="C58" s="208" t="s">
        <v>129</v>
      </c>
      <c r="D58" s="209" t="s">
        <v>117</v>
      </c>
      <c r="E58" s="353">
        <v>332.93</v>
      </c>
      <c r="F58" s="467">
        <v>0</v>
      </c>
      <c r="G58" s="352">
        <f t="shared" si="2"/>
        <v>0</v>
      </c>
      <c r="H58" s="571"/>
      <c r="I58" s="1365"/>
    </row>
    <row r="59" spans="2:11" ht="64.5" customHeight="1" x14ac:dyDescent="0.2">
      <c r="B59" s="312" t="s">
        <v>578</v>
      </c>
      <c r="C59" s="208" t="s">
        <v>708</v>
      </c>
      <c r="D59" s="209" t="s">
        <v>117</v>
      </c>
      <c r="E59" s="353">
        <v>332.93</v>
      </c>
      <c r="F59" s="467">
        <v>0</v>
      </c>
      <c r="G59" s="352">
        <f t="shared" si="2"/>
        <v>0</v>
      </c>
      <c r="H59" s="571"/>
    </row>
    <row r="60" spans="2:11" ht="51.75" customHeight="1" x14ac:dyDescent="0.2">
      <c r="B60" s="312" t="s">
        <v>580</v>
      </c>
      <c r="C60" s="206" t="s">
        <v>709</v>
      </c>
      <c r="D60" s="209" t="s">
        <v>117</v>
      </c>
      <c r="E60" s="353">
        <v>745</v>
      </c>
      <c r="F60" s="467">
        <v>0</v>
      </c>
      <c r="G60" s="352">
        <f>E60*F60</f>
        <v>0</v>
      </c>
      <c r="H60" s="571"/>
    </row>
    <row r="61" spans="2:11" ht="76.5" customHeight="1" x14ac:dyDescent="0.2">
      <c r="B61" s="312" t="s">
        <v>582</v>
      </c>
      <c r="C61" s="208" t="s">
        <v>711</v>
      </c>
      <c r="D61" s="209" t="s">
        <v>117</v>
      </c>
      <c r="E61" s="353">
        <v>173.87</v>
      </c>
      <c r="F61" s="467">
        <v>0</v>
      </c>
      <c r="G61" s="352">
        <f>E61*F61</f>
        <v>0</v>
      </c>
      <c r="H61" s="571"/>
    </row>
    <row r="62" spans="2:11" ht="38.25" customHeight="1" x14ac:dyDescent="0.2">
      <c r="B62" s="312" t="s">
        <v>584</v>
      </c>
      <c r="C62" s="206" t="s">
        <v>132</v>
      </c>
      <c r="D62" s="207" t="s">
        <v>117</v>
      </c>
      <c r="E62" s="353">
        <v>114.5</v>
      </c>
      <c r="F62" s="467">
        <v>0</v>
      </c>
      <c r="G62" s="352">
        <f t="shared" si="2"/>
        <v>0</v>
      </c>
    </row>
    <row r="63" spans="2:11" ht="24" x14ac:dyDescent="0.2">
      <c r="B63" s="312" t="s">
        <v>586</v>
      </c>
      <c r="C63" s="206" t="s">
        <v>133</v>
      </c>
      <c r="D63" s="209" t="s">
        <v>112</v>
      </c>
      <c r="E63" s="353">
        <v>250.75</v>
      </c>
      <c r="F63" s="467">
        <v>0</v>
      </c>
      <c r="G63" s="352">
        <f t="shared" si="2"/>
        <v>0</v>
      </c>
      <c r="I63" s="134"/>
    </row>
    <row r="64" spans="2:11" ht="14.25" customHeight="1" x14ac:dyDescent="0.2">
      <c r="B64" s="312" t="s">
        <v>588</v>
      </c>
      <c r="C64" s="206" t="s">
        <v>134</v>
      </c>
      <c r="D64" s="209" t="s">
        <v>112</v>
      </c>
      <c r="E64" s="353">
        <v>3389.61</v>
      </c>
      <c r="F64" s="467">
        <v>0</v>
      </c>
      <c r="G64" s="352">
        <f t="shared" si="2"/>
        <v>0</v>
      </c>
      <c r="I64" s="1365"/>
    </row>
    <row r="65" spans="2:9" ht="15.75" customHeight="1" x14ac:dyDescent="0.2">
      <c r="B65" s="312" t="s">
        <v>590</v>
      </c>
      <c r="C65" s="206" t="s">
        <v>135</v>
      </c>
      <c r="D65" s="209" t="s">
        <v>112</v>
      </c>
      <c r="E65" s="353">
        <f>E64</f>
        <v>3389.61</v>
      </c>
      <c r="F65" s="467">
        <v>0</v>
      </c>
      <c r="G65" s="352">
        <f t="shared" si="2"/>
        <v>0</v>
      </c>
    </row>
    <row r="66" spans="2:9" ht="27.75" customHeight="1" x14ac:dyDescent="0.2">
      <c r="B66" s="312" t="s">
        <v>592</v>
      </c>
      <c r="C66" s="206" t="s">
        <v>136</v>
      </c>
      <c r="D66" s="209" t="s">
        <v>117</v>
      </c>
      <c r="E66" s="353">
        <v>3451.2</v>
      </c>
      <c r="F66" s="467">
        <v>0</v>
      </c>
      <c r="G66" s="352">
        <f t="shared" si="2"/>
        <v>0</v>
      </c>
    </row>
    <row r="67" spans="2:9" ht="30" customHeight="1" x14ac:dyDescent="0.2">
      <c r="B67" s="312" t="s">
        <v>594</v>
      </c>
      <c r="C67" s="206" t="s">
        <v>138</v>
      </c>
      <c r="D67" s="207" t="s">
        <v>117</v>
      </c>
      <c r="E67" s="353">
        <v>1296</v>
      </c>
      <c r="F67" s="467">
        <v>0</v>
      </c>
      <c r="G67" s="352">
        <f t="shared" si="2"/>
        <v>0</v>
      </c>
    </row>
    <row r="68" spans="2:9" s="130" customFormat="1" ht="51.75" customHeight="1" x14ac:dyDescent="0.2">
      <c r="B68" s="3187">
        <v>26</v>
      </c>
      <c r="C68" s="408" t="s">
        <v>139</v>
      </c>
      <c r="D68" s="221"/>
      <c r="E68" s="353"/>
      <c r="F68" s="467"/>
      <c r="G68" s="352"/>
      <c r="H68" s="565"/>
    </row>
    <row r="69" spans="2:9" s="130" customFormat="1" x14ac:dyDescent="0.2">
      <c r="B69" s="3188"/>
      <c r="C69" s="291" t="s">
        <v>140</v>
      </c>
      <c r="D69" s="221" t="s">
        <v>95</v>
      </c>
      <c r="E69" s="353">
        <v>9</v>
      </c>
      <c r="F69" s="467">
        <v>0</v>
      </c>
      <c r="G69" s="352">
        <f t="shared" si="2"/>
        <v>0</v>
      </c>
      <c r="H69" s="565"/>
    </row>
    <row r="70" spans="2:9" s="130" customFormat="1" x14ac:dyDescent="0.2">
      <c r="B70" s="2722"/>
      <c r="C70" s="291" t="s">
        <v>713</v>
      </c>
      <c r="D70" s="221" t="s">
        <v>95</v>
      </c>
      <c r="E70" s="353">
        <v>80</v>
      </c>
      <c r="F70" s="467">
        <v>0</v>
      </c>
      <c r="G70" s="352">
        <f t="shared" si="2"/>
        <v>0</v>
      </c>
      <c r="H70" s="565"/>
    </row>
    <row r="71" spans="2:9" ht="39.75" customHeight="1" x14ac:dyDescent="0.2">
      <c r="B71" s="3187">
        <v>27</v>
      </c>
      <c r="C71" s="409" t="s">
        <v>309</v>
      </c>
      <c r="D71" s="207"/>
      <c r="E71" s="353"/>
      <c r="F71" s="467"/>
      <c r="G71" s="352"/>
    </row>
    <row r="72" spans="2:9" s="130" customFormat="1" x14ac:dyDescent="0.2">
      <c r="B72" s="3188"/>
      <c r="C72" s="291" t="s">
        <v>714</v>
      </c>
      <c r="D72" s="221" t="s">
        <v>95</v>
      </c>
      <c r="E72" s="353">
        <v>52</v>
      </c>
      <c r="F72" s="467">
        <v>0</v>
      </c>
      <c r="G72" s="352">
        <f t="shared" ref="G72:G73" si="3">E72*F72</f>
        <v>0</v>
      </c>
      <c r="H72" s="565"/>
    </row>
    <row r="73" spans="2:9" s="130" customFormat="1" x14ac:dyDescent="0.2">
      <c r="B73" s="2722"/>
      <c r="C73" s="291" t="s">
        <v>715</v>
      </c>
      <c r="D73" s="221" t="s">
        <v>95</v>
      </c>
      <c r="E73" s="353">
        <v>36</v>
      </c>
      <c r="F73" s="467">
        <v>0</v>
      </c>
      <c r="G73" s="352">
        <f t="shared" si="3"/>
        <v>0</v>
      </c>
      <c r="H73" s="565"/>
    </row>
    <row r="74" spans="2:9" ht="39.75" customHeight="1" x14ac:dyDescent="0.2">
      <c r="B74" s="131">
        <v>28</v>
      </c>
      <c r="C74" s="409" t="s">
        <v>142</v>
      </c>
      <c r="D74" s="207" t="s">
        <v>117</v>
      </c>
      <c r="E74" s="353">
        <v>71</v>
      </c>
      <c r="F74" s="467">
        <v>0</v>
      </c>
      <c r="G74" s="352">
        <f t="shared" si="2"/>
        <v>0</v>
      </c>
      <c r="I74" s="1372"/>
    </row>
    <row r="75" spans="2:9" ht="25.5" customHeight="1" x14ac:dyDescent="0.2">
      <c r="B75" s="131">
        <v>29</v>
      </c>
      <c r="C75" s="409" t="s">
        <v>143</v>
      </c>
      <c r="D75" s="207" t="s">
        <v>95</v>
      </c>
      <c r="E75" s="353">
        <v>186</v>
      </c>
      <c r="F75" s="467">
        <v>0</v>
      </c>
      <c r="G75" s="352">
        <f t="shared" si="2"/>
        <v>0</v>
      </c>
      <c r="H75" s="571"/>
    </row>
    <row r="76" spans="2:9" ht="25.5" customHeight="1" x14ac:dyDescent="0.2">
      <c r="B76" s="312" t="s">
        <v>604</v>
      </c>
      <c r="C76" s="409" t="s">
        <v>718</v>
      </c>
      <c r="D76" s="207" t="s">
        <v>95</v>
      </c>
      <c r="E76" s="353">
        <v>95</v>
      </c>
      <c r="F76" s="467">
        <v>0</v>
      </c>
      <c r="G76" s="352">
        <f t="shared" si="2"/>
        <v>0</v>
      </c>
      <c r="H76" s="571"/>
    </row>
    <row r="77" spans="2:9" ht="29.25" customHeight="1" x14ac:dyDescent="0.2">
      <c r="B77" s="411">
        <v>31</v>
      </c>
      <c r="C77" s="410" t="s">
        <v>151</v>
      </c>
      <c r="D77" s="222" t="s">
        <v>112</v>
      </c>
      <c r="E77" s="472">
        <v>14.5</v>
      </c>
      <c r="F77" s="467">
        <v>0</v>
      </c>
      <c r="G77" s="352">
        <f t="shared" si="2"/>
        <v>0</v>
      </c>
    </row>
    <row r="78" spans="2:9" ht="36.75" customHeight="1" x14ac:dyDescent="0.2">
      <c r="B78" s="131">
        <v>32</v>
      </c>
      <c r="C78" s="1366" t="s">
        <v>152</v>
      </c>
      <c r="D78" s="1367" t="s">
        <v>149</v>
      </c>
      <c r="E78" s="1359">
        <v>45</v>
      </c>
      <c r="F78" s="467">
        <v>0</v>
      </c>
      <c r="G78" s="1361">
        <f t="shared" si="2"/>
        <v>0</v>
      </c>
    </row>
    <row r="79" spans="2:9" ht="30" customHeight="1" x14ac:dyDescent="0.2">
      <c r="B79" s="411">
        <v>33</v>
      </c>
      <c r="C79" s="223" t="s">
        <v>153</v>
      </c>
      <c r="D79" s="222" t="s">
        <v>112</v>
      </c>
      <c r="E79" s="472">
        <v>25.5</v>
      </c>
      <c r="F79" s="467">
        <v>0</v>
      </c>
      <c r="G79" s="352">
        <f t="shared" si="2"/>
        <v>0</v>
      </c>
    </row>
    <row r="80" spans="2:9" ht="28.5" customHeight="1" x14ac:dyDescent="0.2">
      <c r="B80" s="131">
        <v>34</v>
      </c>
      <c r="C80" s="223" t="s">
        <v>155</v>
      </c>
      <c r="D80" s="222" t="s">
        <v>156</v>
      </c>
      <c r="E80" s="472">
        <v>53</v>
      </c>
      <c r="F80" s="467">
        <v>0</v>
      </c>
      <c r="G80" s="352">
        <f t="shared" si="2"/>
        <v>0</v>
      </c>
    </row>
    <row r="81" spans="1:9" s="147" customFormat="1" ht="21.75" customHeight="1" x14ac:dyDescent="0.25">
      <c r="B81" s="327" t="s">
        <v>12</v>
      </c>
      <c r="C81" s="214" t="s">
        <v>157</v>
      </c>
      <c r="D81" s="224"/>
      <c r="E81" s="215"/>
      <c r="F81" s="216"/>
      <c r="G81" s="290">
        <f>SUM(G41:G80)</f>
        <v>0</v>
      </c>
      <c r="H81" s="150"/>
    </row>
    <row r="82" spans="1:9" x14ac:dyDescent="0.2">
      <c r="B82" s="129"/>
      <c r="C82" s="197"/>
      <c r="D82" s="198"/>
      <c r="E82" s="353"/>
      <c r="F82" s="358"/>
      <c r="G82" s="350"/>
    </row>
    <row r="83" spans="1:9" ht="24" x14ac:dyDescent="0.2">
      <c r="B83" s="128" t="s">
        <v>83</v>
      </c>
      <c r="C83" s="192" t="s">
        <v>89</v>
      </c>
      <c r="D83" s="192" t="s">
        <v>90</v>
      </c>
      <c r="E83" s="194" t="s">
        <v>91</v>
      </c>
      <c r="F83" s="195" t="s">
        <v>92</v>
      </c>
      <c r="G83" s="196" t="s">
        <v>93</v>
      </c>
    </row>
    <row r="84" spans="1:9" x14ac:dyDescent="0.2">
      <c r="B84" s="129"/>
      <c r="C84" s="197"/>
      <c r="D84" s="207"/>
      <c r="E84" s="353"/>
      <c r="F84" s="358"/>
      <c r="G84" s="350"/>
    </row>
    <row r="85" spans="1:9" s="295" customFormat="1" ht="20.25" x14ac:dyDescent="0.3">
      <c r="B85" s="296" t="s">
        <v>17</v>
      </c>
      <c r="C85" s="297" t="s">
        <v>158</v>
      </c>
      <c r="D85" s="298"/>
      <c r="E85" s="299"/>
      <c r="F85" s="300"/>
      <c r="G85" s="301"/>
      <c r="H85" s="570"/>
    </row>
    <row r="86" spans="1:9" s="139" customFormat="1" ht="18" customHeight="1" x14ac:dyDescent="0.2">
      <c r="A86" s="140"/>
      <c r="B86" s="143" t="s">
        <v>1</v>
      </c>
      <c r="C86" s="168"/>
      <c r="D86" s="170"/>
      <c r="E86" s="170"/>
      <c r="F86" s="170"/>
      <c r="G86" s="169"/>
    </row>
    <row r="87" spans="1:9" s="139" customFormat="1" ht="18" customHeight="1" x14ac:dyDescent="0.25">
      <c r="A87" s="141"/>
      <c r="B87" s="144" t="s">
        <v>2</v>
      </c>
      <c r="C87" s="171"/>
      <c r="D87" s="172"/>
      <c r="E87" s="173"/>
      <c r="F87" s="173"/>
      <c r="G87" s="172"/>
    </row>
    <row r="88" spans="1:9" s="139" customFormat="1" ht="18" customHeight="1" x14ac:dyDescent="0.2">
      <c r="A88" s="140"/>
      <c r="B88" s="143" t="s">
        <v>3</v>
      </c>
      <c r="C88" s="168"/>
      <c r="D88" s="170"/>
      <c r="E88" s="170"/>
      <c r="F88" s="170"/>
      <c r="G88" s="169"/>
    </row>
    <row r="89" spans="1:9" s="139" customFormat="1" ht="18" customHeight="1" x14ac:dyDescent="0.25">
      <c r="A89" s="141"/>
      <c r="B89" s="144" t="s">
        <v>4</v>
      </c>
      <c r="C89" s="171"/>
      <c r="D89" s="173"/>
      <c r="E89" s="173"/>
      <c r="F89" s="173"/>
      <c r="G89" s="172"/>
    </row>
    <row r="90" spans="1:9" s="130" customFormat="1" ht="18.75" customHeight="1" x14ac:dyDescent="0.2">
      <c r="B90" s="3184" t="s">
        <v>159</v>
      </c>
      <c r="C90" s="3185"/>
      <c r="D90" s="3185"/>
      <c r="E90" s="3185"/>
      <c r="F90" s="3185"/>
      <c r="G90" s="3186"/>
      <c r="H90" s="565"/>
    </row>
    <row r="91" spans="1:9" s="130" customFormat="1" ht="18.75" customHeight="1" x14ac:dyDescent="0.2">
      <c r="B91" s="3184" t="s">
        <v>160</v>
      </c>
      <c r="C91" s="3185"/>
      <c r="D91" s="3185"/>
      <c r="E91" s="3185"/>
      <c r="F91" s="3185"/>
      <c r="G91" s="3186"/>
      <c r="H91" s="565"/>
    </row>
    <row r="92" spans="1:9" s="130" customFormat="1" ht="18.75" customHeight="1" x14ac:dyDescent="0.2">
      <c r="B92" s="3184" t="s">
        <v>161</v>
      </c>
      <c r="C92" s="3185"/>
      <c r="D92" s="3185"/>
      <c r="E92" s="3185"/>
      <c r="F92" s="3185"/>
      <c r="G92" s="3186"/>
      <c r="H92" s="565"/>
    </row>
    <row r="93" spans="1:9" ht="30" customHeight="1" x14ac:dyDescent="0.2">
      <c r="B93" s="153">
        <v>1</v>
      </c>
      <c r="C93" s="1806" t="s">
        <v>162</v>
      </c>
      <c r="D93" s="226"/>
      <c r="E93" s="353"/>
      <c r="F93" s="358"/>
      <c r="G93" s="350"/>
    </row>
    <row r="94" spans="1:9" s="147" customFormat="1" ht="18.75" customHeight="1" x14ac:dyDescent="0.25">
      <c r="B94" s="148"/>
      <c r="C94" s="1823" t="s">
        <v>1720</v>
      </c>
      <c r="D94" s="1367" t="s">
        <v>95</v>
      </c>
      <c r="E94" s="1359">
        <v>1371</v>
      </c>
      <c r="F94" s="1360">
        <v>0</v>
      </c>
      <c r="G94" s="1361">
        <f t="shared" ref="G94:G103" si="4">E94*F94</f>
        <v>0</v>
      </c>
      <c r="H94" s="150"/>
      <c r="I94" s="490"/>
    </row>
    <row r="95" spans="1:9" ht="27" customHeight="1" x14ac:dyDescent="0.2">
      <c r="B95" s="148"/>
      <c r="C95" s="1823" t="s">
        <v>1721</v>
      </c>
      <c r="D95" s="1367" t="s">
        <v>95</v>
      </c>
      <c r="E95" s="1359">
        <v>152</v>
      </c>
      <c r="F95" s="1360">
        <v>0</v>
      </c>
      <c r="G95" s="1361">
        <f t="shared" si="4"/>
        <v>0</v>
      </c>
    </row>
    <row r="96" spans="1:9" s="147" customFormat="1" ht="18.75" customHeight="1" x14ac:dyDescent="0.25">
      <c r="B96" s="148"/>
      <c r="C96" s="1807" t="s">
        <v>723</v>
      </c>
      <c r="D96" s="226" t="s">
        <v>95</v>
      </c>
      <c r="E96" s="353">
        <v>445</v>
      </c>
      <c r="F96" s="1360">
        <v>0</v>
      </c>
      <c r="G96" s="352">
        <f t="shared" si="4"/>
        <v>0</v>
      </c>
      <c r="H96" s="150"/>
      <c r="I96" s="490"/>
    </row>
    <row r="97" spans="2:9" ht="27" customHeight="1" x14ac:dyDescent="0.2">
      <c r="B97" s="148"/>
      <c r="C97" s="1807" t="s">
        <v>835</v>
      </c>
      <c r="D97" s="226" t="s">
        <v>95</v>
      </c>
      <c r="E97" s="353">
        <v>50</v>
      </c>
      <c r="F97" s="1360">
        <v>0</v>
      </c>
      <c r="G97" s="352">
        <f t="shared" si="4"/>
        <v>0</v>
      </c>
    </row>
    <row r="98" spans="2:9" s="147" customFormat="1" ht="18.75" customHeight="1" x14ac:dyDescent="0.25">
      <c r="B98" s="148"/>
      <c r="C98" s="1807" t="s">
        <v>821</v>
      </c>
      <c r="D98" s="226" t="s">
        <v>95</v>
      </c>
      <c r="E98" s="353">
        <v>796</v>
      </c>
      <c r="F98" s="1360">
        <v>0</v>
      </c>
      <c r="G98" s="352">
        <f t="shared" si="4"/>
        <v>0</v>
      </c>
      <c r="H98" s="150"/>
      <c r="I98" s="490"/>
    </row>
    <row r="99" spans="2:9" ht="27" customHeight="1" x14ac:dyDescent="0.2">
      <c r="B99" s="148"/>
      <c r="C99" s="1807" t="s">
        <v>822</v>
      </c>
      <c r="D99" s="226" t="s">
        <v>95</v>
      </c>
      <c r="E99" s="353">
        <v>88</v>
      </c>
      <c r="F99" s="1360">
        <v>0</v>
      </c>
      <c r="G99" s="352">
        <f t="shared" si="4"/>
        <v>0</v>
      </c>
      <c r="I99" s="1365"/>
    </row>
    <row r="100" spans="2:9" s="147" customFormat="1" ht="18.75" customHeight="1" x14ac:dyDescent="0.25">
      <c r="B100" s="148"/>
      <c r="C100" s="1807" t="s">
        <v>1733</v>
      </c>
      <c r="D100" s="226" t="s">
        <v>95</v>
      </c>
      <c r="E100" s="353">
        <v>206</v>
      </c>
      <c r="F100" s="1360">
        <v>0</v>
      </c>
      <c r="G100" s="352">
        <f t="shared" si="4"/>
        <v>0</v>
      </c>
      <c r="H100" s="150"/>
      <c r="I100" s="490"/>
    </row>
    <row r="101" spans="2:9" ht="27" customHeight="1" x14ac:dyDescent="0.2">
      <c r="B101" s="148"/>
      <c r="C101" s="1807" t="s">
        <v>1734</v>
      </c>
      <c r="D101" s="226" t="s">
        <v>95</v>
      </c>
      <c r="E101" s="353">
        <v>22</v>
      </c>
      <c r="F101" s="1360">
        <v>0</v>
      </c>
      <c r="G101" s="352">
        <f t="shared" si="4"/>
        <v>0</v>
      </c>
    </row>
    <row r="102" spans="2:9" s="147" customFormat="1" ht="18.75" customHeight="1" x14ac:dyDescent="0.25">
      <c r="B102" s="148"/>
      <c r="C102" s="1807" t="s">
        <v>165</v>
      </c>
      <c r="D102" s="226" t="s">
        <v>95</v>
      </c>
      <c r="E102" s="353">
        <v>547</v>
      </c>
      <c r="F102" s="1360">
        <v>0</v>
      </c>
      <c r="G102" s="352">
        <f t="shared" si="4"/>
        <v>0</v>
      </c>
      <c r="H102" s="150"/>
      <c r="I102" s="490"/>
    </row>
    <row r="103" spans="2:9" ht="27.75" customHeight="1" x14ac:dyDescent="0.2">
      <c r="B103" s="148"/>
      <c r="C103" s="1807" t="s">
        <v>166</v>
      </c>
      <c r="D103" s="226" t="s">
        <v>95</v>
      </c>
      <c r="E103" s="353">
        <v>60</v>
      </c>
      <c r="F103" s="1360">
        <v>0</v>
      </c>
      <c r="G103" s="352">
        <f t="shared" si="4"/>
        <v>0</v>
      </c>
      <c r="I103" s="1365"/>
    </row>
    <row r="104" spans="2:9" ht="36" x14ac:dyDescent="0.2">
      <c r="B104" s="3181" t="s">
        <v>167</v>
      </c>
      <c r="C104" s="310" t="s">
        <v>168</v>
      </c>
      <c r="D104" s="221"/>
      <c r="E104" s="353"/>
      <c r="F104" s="467"/>
      <c r="G104" s="352"/>
      <c r="I104" s="1365"/>
    </row>
    <row r="105" spans="2:9" x14ac:dyDescent="0.2">
      <c r="B105" s="3182"/>
      <c r="C105" s="291" t="s">
        <v>169</v>
      </c>
      <c r="D105" s="221" t="s">
        <v>95</v>
      </c>
      <c r="E105" s="353">
        <v>50</v>
      </c>
      <c r="F105" s="467">
        <v>0</v>
      </c>
      <c r="G105" s="352">
        <f t="shared" ref="G105:G107" si="5">E105*F105</f>
        <v>0</v>
      </c>
    </row>
    <row r="106" spans="2:9" s="147" customFormat="1" ht="12.75" customHeight="1" x14ac:dyDescent="0.2">
      <c r="B106" s="3182"/>
      <c r="C106" s="291" t="s">
        <v>170</v>
      </c>
      <c r="D106" s="221" t="s">
        <v>95</v>
      </c>
      <c r="E106" s="353">
        <v>30</v>
      </c>
      <c r="F106" s="467">
        <v>0</v>
      </c>
      <c r="G106" s="352">
        <f t="shared" si="5"/>
        <v>0</v>
      </c>
      <c r="H106" s="150"/>
    </row>
    <row r="107" spans="2:9" s="147" customFormat="1" ht="36" x14ac:dyDescent="0.25">
      <c r="B107" s="154">
        <v>2</v>
      </c>
      <c r="C107" s="227" t="s">
        <v>172</v>
      </c>
      <c r="D107" s="209" t="s">
        <v>95</v>
      </c>
      <c r="E107" s="348">
        <f>SUM(E94:E103)</f>
        <v>3737</v>
      </c>
      <c r="F107" s="467">
        <v>0</v>
      </c>
      <c r="G107" s="352">
        <f t="shared" si="5"/>
        <v>0</v>
      </c>
      <c r="H107" s="150"/>
      <c r="I107" s="490"/>
    </row>
    <row r="108" spans="2:9" ht="36" x14ac:dyDescent="0.2">
      <c r="B108" s="309" t="s">
        <v>173</v>
      </c>
      <c r="C108" s="227" t="s">
        <v>174</v>
      </c>
      <c r="D108" s="209" t="s">
        <v>95</v>
      </c>
      <c r="E108" s="348">
        <f>SUM(E94:E103)</f>
        <v>3737</v>
      </c>
      <c r="F108" s="467">
        <v>0</v>
      </c>
      <c r="G108" s="352">
        <f>E108*F108</f>
        <v>0</v>
      </c>
      <c r="I108" s="1365"/>
    </row>
    <row r="109" spans="2:9" s="147" customFormat="1" ht="24" x14ac:dyDescent="0.25">
      <c r="B109" s="309" t="s">
        <v>175</v>
      </c>
      <c r="C109" s="227" t="s">
        <v>176</v>
      </c>
      <c r="D109" s="209" t="s">
        <v>95</v>
      </c>
      <c r="E109" s="348">
        <f>SUM(E94:E103)</f>
        <v>3737</v>
      </c>
      <c r="F109" s="467">
        <v>0</v>
      </c>
      <c r="G109" s="352">
        <f>E109*F109</f>
        <v>0</v>
      </c>
      <c r="H109" s="150"/>
    </row>
    <row r="110" spans="2:9" s="147" customFormat="1" ht="36" x14ac:dyDescent="0.25">
      <c r="B110" s="309" t="s">
        <v>177</v>
      </c>
      <c r="C110" s="227" t="s">
        <v>178</v>
      </c>
      <c r="D110" s="209" t="s">
        <v>95</v>
      </c>
      <c r="E110" s="348">
        <f>SUM(E94:E103)</f>
        <v>3737</v>
      </c>
      <c r="F110" s="467">
        <v>0</v>
      </c>
      <c r="G110" s="352">
        <f>E110*F110</f>
        <v>0</v>
      </c>
      <c r="H110" s="150"/>
    </row>
    <row r="111" spans="2:9" s="136" customFormat="1" ht="24" x14ac:dyDescent="0.2">
      <c r="B111" s="153">
        <v>3</v>
      </c>
      <c r="C111" s="264" t="s">
        <v>179</v>
      </c>
      <c r="D111" s="231"/>
      <c r="E111" s="232"/>
      <c r="F111" s="233">
        <v>0</v>
      </c>
      <c r="G111" s="234"/>
      <c r="H111" s="565"/>
    </row>
    <row r="112" spans="2:9" s="136" customFormat="1" x14ac:dyDescent="0.2">
      <c r="B112" s="292" t="s">
        <v>180</v>
      </c>
      <c r="C112" s="1808" t="s">
        <v>181</v>
      </c>
      <c r="D112" s="231"/>
      <c r="E112" s="232"/>
      <c r="F112" s="233"/>
      <c r="G112" s="234"/>
      <c r="H112" s="565"/>
    </row>
    <row r="113" spans="2:8" s="136" customFormat="1" x14ac:dyDescent="0.2">
      <c r="B113" s="129"/>
      <c r="C113" s="1808" t="s">
        <v>182</v>
      </c>
      <c r="D113" s="231"/>
      <c r="E113" s="232"/>
      <c r="F113" s="233"/>
      <c r="G113" s="234"/>
      <c r="H113" s="565"/>
    </row>
    <row r="114" spans="2:8" s="136" customFormat="1" x14ac:dyDescent="0.2">
      <c r="B114" s="152"/>
      <c r="C114" s="1810" t="s">
        <v>183</v>
      </c>
      <c r="D114" s="236" t="s">
        <v>149</v>
      </c>
      <c r="E114" s="232">
        <v>21</v>
      </c>
      <c r="F114" s="271">
        <v>0</v>
      </c>
      <c r="G114" s="272">
        <f t="shared" ref="G114:G115" si="6">E114*F114</f>
        <v>0</v>
      </c>
      <c r="H114" s="565"/>
    </row>
    <row r="115" spans="2:8" s="136" customFormat="1" x14ac:dyDescent="0.2">
      <c r="B115" s="152"/>
      <c r="C115" s="1810" t="s">
        <v>184</v>
      </c>
      <c r="D115" s="236" t="s">
        <v>149</v>
      </c>
      <c r="E115" s="232">
        <v>7</v>
      </c>
      <c r="F115" s="271">
        <v>0</v>
      </c>
      <c r="G115" s="272">
        <f t="shared" si="6"/>
        <v>0</v>
      </c>
      <c r="H115" s="565"/>
    </row>
    <row r="116" spans="2:8" s="136" customFormat="1" x14ac:dyDescent="0.2">
      <c r="B116" s="129"/>
      <c r="C116" s="1808" t="s">
        <v>836</v>
      </c>
      <c r="D116" s="231"/>
      <c r="E116" s="232"/>
      <c r="F116" s="233"/>
      <c r="G116" s="234"/>
      <c r="H116" s="565"/>
    </row>
    <row r="117" spans="2:8" s="136" customFormat="1" x14ac:dyDescent="0.2">
      <c r="B117" s="152"/>
      <c r="C117" s="1810" t="s">
        <v>837</v>
      </c>
      <c r="D117" s="236" t="s">
        <v>149</v>
      </c>
      <c r="E117" s="232">
        <v>7</v>
      </c>
      <c r="F117" s="271">
        <v>0</v>
      </c>
      <c r="G117" s="272">
        <f t="shared" ref="G117:G118" si="7">E117*F117</f>
        <v>0</v>
      </c>
      <c r="H117" s="565"/>
    </row>
    <row r="118" spans="2:8" s="136" customFormat="1" x14ac:dyDescent="0.2">
      <c r="B118" s="152"/>
      <c r="C118" s="1810" t="s">
        <v>900</v>
      </c>
      <c r="D118" s="236" t="s">
        <v>149</v>
      </c>
      <c r="E118" s="232">
        <v>4</v>
      </c>
      <c r="F118" s="271">
        <v>0</v>
      </c>
      <c r="G118" s="272">
        <f t="shared" si="7"/>
        <v>0</v>
      </c>
      <c r="H118" s="565"/>
    </row>
    <row r="119" spans="2:8" s="136" customFormat="1" x14ac:dyDescent="0.2">
      <c r="B119" s="129"/>
      <c r="C119" s="1808" t="s">
        <v>185</v>
      </c>
      <c r="D119" s="231"/>
      <c r="E119" s="232"/>
      <c r="F119" s="233"/>
      <c r="G119" s="234"/>
      <c r="H119" s="565"/>
    </row>
    <row r="120" spans="2:8" s="136" customFormat="1" x14ac:dyDescent="0.2">
      <c r="B120" s="152"/>
      <c r="C120" s="1810" t="s">
        <v>186</v>
      </c>
      <c r="D120" s="236" t="s">
        <v>149</v>
      </c>
      <c r="E120" s="232">
        <v>10</v>
      </c>
      <c r="F120" s="271">
        <v>0</v>
      </c>
      <c r="G120" s="272">
        <f t="shared" ref="G120:G121" si="8">E120*F120</f>
        <v>0</v>
      </c>
      <c r="H120" s="565"/>
    </row>
    <row r="121" spans="2:8" s="136" customFormat="1" x14ac:dyDescent="0.2">
      <c r="B121" s="152"/>
      <c r="C121" s="1810" t="s">
        <v>187</v>
      </c>
      <c r="D121" s="236" t="s">
        <v>149</v>
      </c>
      <c r="E121" s="232">
        <v>6</v>
      </c>
      <c r="F121" s="271">
        <v>0</v>
      </c>
      <c r="G121" s="272">
        <f t="shared" si="8"/>
        <v>0</v>
      </c>
      <c r="H121" s="565"/>
    </row>
    <row r="122" spans="2:8" s="136" customFormat="1" x14ac:dyDescent="0.2">
      <c r="B122" s="292" t="s">
        <v>188</v>
      </c>
      <c r="C122" s="238" t="s">
        <v>189</v>
      </c>
      <c r="D122" s="239"/>
      <c r="E122" s="240"/>
      <c r="F122" s="241">
        <v>0</v>
      </c>
      <c r="G122" s="242"/>
      <c r="H122" s="565"/>
    </row>
    <row r="123" spans="2:8" s="136" customFormat="1" x14ac:dyDescent="0.2">
      <c r="B123" s="135"/>
      <c r="C123" s="238" t="s">
        <v>190</v>
      </c>
      <c r="D123" s="239"/>
      <c r="E123" s="240"/>
      <c r="F123" s="241">
        <v>0</v>
      </c>
      <c r="G123" s="242"/>
      <c r="H123" s="565"/>
    </row>
    <row r="124" spans="2:8" s="136" customFormat="1" x14ac:dyDescent="0.2">
      <c r="B124" s="135"/>
      <c r="C124" s="243" t="s">
        <v>191</v>
      </c>
      <c r="D124" s="239" t="s">
        <v>149</v>
      </c>
      <c r="E124" s="240">
        <v>9</v>
      </c>
      <c r="F124" s="273">
        <v>0</v>
      </c>
      <c r="G124" s="274">
        <f t="shared" ref="G124:G131" si="9">E124*F124</f>
        <v>0</v>
      </c>
      <c r="H124" s="565"/>
    </row>
    <row r="125" spans="2:8" s="136" customFormat="1" ht="36" x14ac:dyDescent="0.2">
      <c r="B125" s="135"/>
      <c r="C125" s="244" t="s">
        <v>192</v>
      </c>
      <c r="D125" s="239" t="s">
        <v>149</v>
      </c>
      <c r="E125" s="240">
        <v>9</v>
      </c>
      <c r="F125" s="273">
        <v>0</v>
      </c>
      <c r="G125" s="274">
        <f t="shared" si="9"/>
        <v>0</v>
      </c>
      <c r="H125" s="565"/>
    </row>
    <row r="126" spans="2:8" s="136" customFormat="1" x14ac:dyDescent="0.2">
      <c r="B126" s="135"/>
      <c r="C126" s="244" t="s">
        <v>193</v>
      </c>
      <c r="D126" s="239" t="s">
        <v>149</v>
      </c>
      <c r="E126" s="240">
        <v>9</v>
      </c>
      <c r="F126" s="273">
        <v>0</v>
      </c>
      <c r="G126" s="274">
        <f t="shared" si="9"/>
        <v>0</v>
      </c>
      <c r="H126" s="565"/>
    </row>
    <row r="127" spans="2:8" s="136" customFormat="1" x14ac:dyDescent="0.2">
      <c r="B127" s="135"/>
      <c r="C127" s="244" t="s">
        <v>194</v>
      </c>
      <c r="D127" s="239" t="s">
        <v>149</v>
      </c>
      <c r="E127" s="240">
        <v>9</v>
      </c>
      <c r="F127" s="273">
        <v>0</v>
      </c>
      <c r="G127" s="274">
        <f t="shared" si="9"/>
        <v>0</v>
      </c>
      <c r="H127" s="565"/>
    </row>
    <row r="128" spans="2:8" s="136" customFormat="1" x14ac:dyDescent="0.2">
      <c r="B128" s="135"/>
      <c r="C128" s="244" t="s">
        <v>195</v>
      </c>
      <c r="D128" s="239" t="s">
        <v>149</v>
      </c>
      <c r="E128" s="240">
        <v>18</v>
      </c>
      <c r="F128" s="273">
        <v>0</v>
      </c>
      <c r="G128" s="274">
        <f t="shared" si="9"/>
        <v>0</v>
      </c>
      <c r="H128" s="565"/>
    </row>
    <row r="129" spans="2:8" s="136" customFormat="1" x14ac:dyDescent="0.2">
      <c r="B129" s="135"/>
      <c r="C129" s="244" t="s">
        <v>196</v>
      </c>
      <c r="D129" s="239" t="s">
        <v>149</v>
      </c>
      <c r="E129" s="240">
        <v>18</v>
      </c>
      <c r="F129" s="273">
        <v>0</v>
      </c>
      <c r="G129" s="274">
        <f t="shared" si="9"/>
        <v>0</v>
      </c>
      <c r="H129" s="565"/>
    </row>
    <row r="130" spans="2:8" s="136" customFormat="1" x14ac:dyDescent="0.2">
      <c r="B130" s="135"/>
      <c r="C130" s="244" t="s">
        <v>197</v>
      </c>
      <c r="D130" s="239" t="s">
        <v>149</v>
      </c>
      <c r="E130" s="240">
        <v>9</v>
      </c>
      <c r="F130" s="273">
        <v>0</v>
      </c>
      <c r="G130" s="274">
        <f t="shared" si="9"/>
        <v>0</v>
      </c>
      <c r="H130" s="565"/>
    </row>
    <row r="131" spans="2:8" s="136" customFormat="1" x14ac:dyDescent="0.2">
      <c r="B131" s="135"/>
      <c r="C131" s="244" t="s">
        <v>198</v>
      </c>
      <c r="D131" s="239" t="s">
        <v>149</v>
      </c>
      <c r="E131" s="240">
        <v>9</v>
      </c>
      <c r="F131" s="273">
        <v>0</v>
      </c>
      <c r="G131" s="274">
        <f t="shared" si="9"/>
        <v>0</v>
      </c>
      <c r="H131" s="565"/>
    </row>
    <row r="132" spans="2:8" s="136" customFormat="1" x14ac:dyDescent="0.2">
      <c r="B132" s="135"/>
      <c r="C132" s="238" t="s">
        <v>838</v>
      </c>
      <c r="D132" s="239"/>
      <c r="E132" s="240"/>
      <c r="F132" s="241">
        <v>0</v>
      </c>
      <c r="G132" s="242"/>
      <c r="H132" s="565"/>
    </row>
    <row r="133" spans="2:8" s="136" customFormat="1" x14ac:dyDescent="0.2">
      <c r="B133" s="135"/>
      <c r="C133" s="243" t="s">
        <v>207</v>
      </c>
      <c r="D133" s="239" t="s">
        <v>149</v>
      </c>
      <c r="E133" s="240">
        <v>3</v>
      </c>
      <c r="F133" s="273">
        <v>0</v>
      </c>
      <c r="G133" s="274">
        <f t="shared" ref="G133:G140" si="10">E133*F133</f>
        <v>0</v>
      </c>
      <c r="H133" s="565"/>
    </row>
    <row r="134" spans="2:8" s="136" customFormat="1" ht="36" x14ac:dyDescent="0.2">
      <c r="B134" s="135"/>
      <c r="C134" s="244" t="s">
        <v>192</v>
      </c>
      <c r="D134" s="239" t="s">
        <v>149</v>
      </c>
      <c r="E134" s="240">
        <v>3</v>
      </c>
      <c r="F134" s="273">
        <v>0</v>
      </c>
      <c r="G134" s="274">
        <f t="shared" si="10"/>
        <v>0</v>
      </c>
      <c r="H134" s="565"/>
    </row>
    <row r="135" spans="2:8" s="136" customFormat="1" x14ac:dyDescent="0.2">
      <c r="B135" s="135"/>
      <c r="C135" s="244" t="s">
        <v>193</v>
      </c>
      <c r="D135" s="239" t="s">
        <v>149</v>
      </c>
      <c r="E135" s="240">
        <v>3</v>
      </c>
      <c r="F135" s="273">
        <v>0</v>
      </c>
      <c r="G135" s="274">
        <f t="shared" si="10"/>
        <v>0</v>
      </c>
      <c r="H135" s="565"/>
    </row>
    <row r="136" spans="2:8" s="136" customFormat="1" x14ac:dyDescent="0.2">
      <c r="B136" s="135"/>
      <c r="C136" s="244" t="s">
        <v>194</v>
      </c>
      <c r="D136" s="239" t="s">
        <v>149</v>
      </c>
      <c r="E136" s="240">
        <v>3</v>
      </c>
      <c r="F136" s="273">
        <v>0</v>
      </c>
      <c r="G136" s="274">
        <f t="shared" si="10"/>
        <v>0</v>
      </c>
      <c r="H136" s="565"/>
    </row>
    <row r="137" spans="2:8" s="136" customFormat="1" x14ac:dyDescent="0.2">
      <c r="B137" s="135"/>
      <c r="C137" s="244" t="s">
        <v>235</v>
      </c>
      <c r="D137" s="239" t="s">
        <v>149</v>
      </c>
      <c r="E137" s="240">
        <v>6</v>
      </c>
      <c r="F137" s="273">
        <v>0</v>
      </c>
      <c r="G137" s="274">
        <f t="shared" si="10"/>
        <v>0</v>
      </c>
      <c r="H137" s="565"/>
    </row>
    <row r="138" spans="2:8" s="136" customFormat="1" x14ac:dyDescent="0.2">
      <c r="B138" s="135"/>
      <c r="C138" s="244" t="s">
        <v>839</v>
      </c>
      <c r="D138" s="239" t="s">
        <v>149</v>
      </c>
      <c r="E138" s="240">
        <v>6</v>
      </c>
      <c r="F138" s="273">
        <v>0</v>
      </c>
      <c r="G138" s="274">
        <f t="shared" si="10"/>
        <v>0</v>
      </c>
      <c r="H138" s="565"/>
    </row>
    <row r="139" spans="2:8" s="136" customFormat="1" x14ac:dyDescent="0.2">
      <c r="B139" s="135"/>
      <c r="C139" s="244" t="s">
        <v>197</v>
      </c>
      <c r="D139" s="239" t="s">
        <v>149</v>
      </c>
      <c r="E139" s="240">
        <v>3</v>
      </c>
      <c r="F139" s="273">
        <v>0</v>
      </c>
      <c r="G139" s="274">
        <f t="shared" si="10"/>
        <v>0</v>
      </c>
      <c r="H139" s="565"/>
    </row>
    <row r="140" spans="2:8" s="136" customFormat="1" x14ac:dyDescent="0.2">
      <c r="B140" s="135"/>
      <c r="C140" s="244" t="s">
        <v>198</v>
      </c>
      <c r="D140" s="239" t="s">
        <v>149</v>
      </c>
      <c r="E140" s="240">
        <v>3</v>
      </c>
      <c r="F140" s="273">
        <v>0</v>
      </c>
      <c r="G140" s="274">
        <f t="shared" si="10"/>
        <v>0</v>
      </c>
      <c r="H140" s="565"/>
    </row>
    <row r="141" spans="2:8" s="136" customFormat="1" ht="12.75" customHeight="1" x14ac:dyDescent="0.2">
      <c r="B141" s="135"/>
      <c r="C141" s="238" t="s">
        <v>840</v>
      </c>
      <c r="D141" s="239"/>
      <c r="E141" s="240"/>
      <c r="F141" s="241">
        <v>0</v>
      </c>
      <c r="G141" s="242"/>
      <c r="H141" s="565"/>
    </row>
    <row r="142" spans="2:8" s="136" customFormat="1" x14ac:dyDescent="0.2">
      <c r="B142" s="135"/>
      <c r="C142" s="243" t="s">
        <v>841</v>
      </c>
      <c r="D142" s="239" t="s">
        <v>149</v>
      </c>
      <c r="E142" s="240">
        <v>2</v>
      </c>
      <c r="F142" s="273">
        <v>0</v>
      </c>
      <c r="G142" s="274">
        <f t="shared" ref="G142:G151" si="11">E142*F142</f>
        <v>0</v>
      </c>
      <c r="H142" s="565"/>
    </row>
    <row r="143" spans="2:8" s="136" customFormat="1" ht="36" x14ac:dyDescent="0.2">
      <c r="B143" s="135"/>
      <c r="C143" s="244" t="s">
        <v>285</v>
      </c>
      <c r="D143" s="239" t="s">
        <v>149</v>
      </c>
      <c r="E143" s="240">
        <v>2</v>
      </c>
      <c r="F143" s="273">
        <v>0</v>
      </c>
      <c r="G143" s="274">
        <f t="shared" si="11"/>
        <v>0</v>
      </c>
      <c r="H143" s="565"/>
    </row>
    <row r="144" spans="2:8" s="136" customFormat="1" x14ac:dyDescent="0.2">
      <c r="B144" s="135"/>
      <c r="C144" s="244" t="s">
        <v>193</v>
      </c>
      <c r="D144" s="239" t="s">
        <v>149</v>
      </c>
      <c r="E144" s="240">
        <v>2</v>
      </c>
      <c r="F144" s="273">
        <v>0</v>
      </c>
      <c r="G144" s="274">
        <f t="shared" si="11"/>
        <v>0</v>
      </c>
      <c r="H144" s="565"/>
    </row>
    <row r="145" spans="2:8" s="136" customFormat="1" x14ac:dyDescent="0.2">
      <c r="B145" s="135"/>
      <c r="C145" s="244" t="s">
        <v>194</v>
      </c>
      <c r="D145" s="239" t="s">
        <v>149</v>
      </c>
      <c r="E145" s="240">
        <v>2</v>
      </c>
      <c r="F145" s="273">
        <v>0</v>
      </c>
      <c r="G145" s="274">
        <f t="shared" si="11"/>
        <v>0</v>
      </c>
      <c r="H145" s="565"/>
    </row>
    <row r="146" spans="2:8" s="136" customFormat="1" x14ac:dyDescent="0.2">
      <c r="B146" s="135"/>
      <c r="C146" s="1811" t="s">
        <v>239</v>
      </c>
      <c r="D146" s="239" t="s">
        <v>149</v>
      </c>
      <c r="E146" s="240">
        <v>4</v>
      </c>
      <c r="F146" s="273">
        <v>0</v>
      </c>
      <c r="G146" s="274">
        <f t="shared" si="11"/>
        <v>0</v>
      </c>
      <c r="H146" s="565"/>
    </row>
    <row r="147" spans="2:8" s="136" customFormat="1" x14ac:dyDescent="0.2">
      <c r="B147" s="135"/>
      <c r="C147" s="1811" t="s">
        <v>240</v>
      </c>
      <c r="D147" s="239" t="s">
        <v>149</v>
      </c>
      <c r="E147" s="240">
        <v>4</v>
      </c>
      <c r="F147" s="273">
        <v>0</v>
      </c>
      <c r="G147" s="274">
        <f t="shared" si="11"/>
        <v>0</v>
      </c>
      <c r="H147" s="565"/>
    </row>
    <row r="148" spans="2:8" s="136" customFormat="1" x14ac:dyDescent="0.2">
      <c r="B148" s="135"/>
      <c r="C148" s="1811" t="s">
        <v>241</v>
      </c>
      <c r="D148" s="239" t="s">
        <v>149</v>
      </c>
      <c r="E148" s="240">
        <v>4</v>
      </c>
      <c r="F148" s="273">
        <v>0</v>
      </c>
      <c r="G148" s="274">
        <f t="shared" si="11"/>
        <v>0</v>
      </c>
      <c r="H148" s="565"/>
    </row>
    <row r="149" spans="2:8" s="136" customFormat="1" x14ac:dyDescent="0.2">
      <c r="B149" s="135"/>
      <c r="C149" s="1811" t="s">
        <v>242</v>
      </c>
      <c r="D149" s="239" t="s">
        <v>149</v>
      </c>
      <c r="E149" s="240">
        <v>4</v>
      </c>
      <c r="F149" s="273">
        <v>0</v>
      </c>
      <c r="G149" s="274">
        <f t="shared" si="11"/>
        <v>0</v>
      </c>
      <c r="H149" s="565"/>
    </row>
    <row r="150" spans="2:8" s="136" customFormat="1" x14ac:dyDescent="0.2">
      <c r="B150" s="135"/>
      <c r="C150" s="1811" t="s">
        <v>197</v>
      </c>
      <c r="D150" s="239" t="s">
        <v>149</v>
      </c>
      <c r="E150" s="240">
        <v>2</v>
      </c>
      <c r="F150" s="273">
        <v>0</v>
      </c>
      <c r="G150" s="274">
        <f t="shared" si="11"/>
        <v>0</v>
      </c>
      <c r="H150" s="565"/>
    </row>
    <row r="151" spans="2:8" s="136" customFormat="1" x14ac:dyDescent="0.2">
      <c r="B151" s="135"/>
      <c r="C151" s="1812" t="s">
        <v>198</v>
      </c>
      <c r="D151" s="239" t="s">
        <v>149</v>
      </c>
      <c r="E151" s="240">
        <v>2</v>
      </c>
      <c r="F151" s="273">
        <v>0</v>
      </c>
      <c r="G151" s="274">
        <f t="shared" si="11"/>
        <v>0</v>
      </c>
      <c r="H151" s="565"/>
    </row>
    <row r="152" spans="2:8" s="136" customFormat="1" x14ac:dyDescent="0.2">
      <c r="B152" s="292" t="s">
        <v>199</v>
      </c>
      <c r="C152" s="247" t="s">
        <v>200</v>
      </c>
      <c r="D152" s="202"/>
      <c r="E152" s="248"/>
      <c r="F152" s="249"/>
      <c r="G152" s="205"/>
      <c r="H152" s="565"/>
    </row>
    <row r="153" spans="2:8" s="136" customFormat="1" x14ac:dyDescent="0.2">
      <c r="B153" s="292"/>
      <c r="C153" s="247" t="s">
        <v>1769</v>
      </c>
      <c r="D153" s="202"/>
      <c r="E153" s="248"/>
      <c r="F153" s="249">
        <v>0</v>
      </c>
      <c r="G153" s="205"/>
      <c r="H153" s="565"/>
    </row>
    <row r="154" spans="2:8" s="136" customFormat="1" ht="25.5" customHeight="1" x14ac:dyDescent="0.2">
      <c r="B154" s="135"/>
      <c r="C154" s="250" t="s">
        <v>202</v>
      </c>
      <c r="D154" s="202" t="s">
        <v>149</v>
      </c>
      <c r="E154" s="248">
        <v>2</v>
      </c>
      <c r="F154" s="275">
        <v>0</v>
      </c>
      <c r="G154" s="276">
        <f t="shared" ref="G154:G158" si="12">E154*F154</f>
        <v>0</v>
      </c>
      <c r="H154" s="565"/>
    </row>
    <row r="155" spans="2:8" s="136" customFormat="1" x14ac:dyDescent="0.2">
      <c r="B155" s="135"/>
      <c r="C155" s="1813" t="s">
        <v>1723</v>
      </c>
      <c r="D155" s="202" t="s">
        <v>149</v>
      </c>
      <c r="E155" s="248">
        <v>4</v>
      </c>
      <c r="F155" s="275">
        <v>0</v>
      </c>
      <c r="G155" s="276">
        <f t="shared" si="12"/>
        <v>0</v>
      </c>
      <c r="H155" s="565"/>
    </row>
    <row r="156" spans="2:8" s="136" customFormat="1" x14ac:dyDescent="0.2">
      <c r="B156" s="135"/>
      <c r="C156" s="1813" t="s">
        <v>1770</v>
      </c>
      <c r="D156" s="202" t="s">
        <v>149</v>
      </c>
      <c r="E156" s="248">
        <v>4</v>
      </c>
      <c r="F156" s="275">
        <v>0</v>
      </c>
      <c r="G156" s="276">
        <f t="shared" si="12"/>
        <v>0</v>
      </c>
      <c r="H156" s="565"/>
    </row>
    <row r="157" spans="2:8" s="136" customFormat="1" x14ac:dyDescent="0.2">
      <c r="B157" s="135"/>
      <c r="C157" s="1813" t="s">
        <v>203</v>
      </c>
      <c r="D157" s="202" t="s">
        <v>149</v>
      </c>
      <c r="E157" s="248">
        <v>2</v>
      </c>
      <c r="F157" s="275">
        <v>0</v>
      </c>
      <c r="G157" s="276">
        <f t="shared" si="12"/>
        <v>0</v>
      </c>
      <c r="H157" s="565"/>
    </row>
    <row r="158" spans="2:8" s="136" customFormat="1" x14ac:dyDescent="0.2">
      <c r="B158" s="135"/>
      <c r="C158" s="1815" t="s">
        <v>198</v>
      </c>
      <c r="D158" s="202" t="s">
        <v>149</v>
      </c>
      <c r="E158" s="248">
        <v>2</v>
      </c>
      <c r="F158" s="275">
        <v>0</v>
      </c>
      <c r="G158" s="276">
        <f t="shared" si="12"/>
        <v>0</v>
      </c>
      <c r="H158" s="565"/>
    </row>
    <row r="159" spans="2:8" s="136" customFormat="1" x14ac:dyDescent="0.2">
      <c r="B159" s="292" t="s">
        <v>204</v>
      </c>
      <c r="C159" s="253" t="s">
        <v>205</v>
      </c>
      <c r="D159" s="254"/>
      <c r="E159" s="255"/>
      <c r="F159" s="256"/>
      <c r="G159" s="257"/>
      <c r="H159" s="565"/>
    </row>
    <row r="160" spans="2:8" s="136" customFormat="1" x14ac:dyDescent="0.2">
      <c r="B160" s="135"/>
      <c r="C160" s="253" t="s">
        <v>206</v>
      </c>
      <c r="D160" s="254"/>
      <c r="E160" s="255"/>
      <c r="F160" s="256">
        <v>0</v>
      </c>
      <c r="G160" s="257"/>
      <c r="H160" s="565"/>
    </row>
    <row r="161" spans="2:8" s="136" customFormat="1" x14ac:dyDescent="0.2">
      <c r="B161" s="135"/>
      <c r="C161" s="258" t="s">
        <v>207</v>
      </c>
      <c r="D161" s="254" t="s">
        <v>149</v>
      </c>
      <c r="E161" s="255">
        <v>4</v>
      </c>
      <c r="F161" s="277">
        <v>0</v>
      </c>
      <c r="G161" s="278">
        <f t="shared" ref="G161:G176" si="13">E161*F161</f>
        <v>0</v>
      </c>
      <c r="H161" s="565"/>
    </row>
    <row r="162" spans="2:8" s="136" customFormat="1" x14ac:dyDescent="0.2">
      <c r="B162" s="135"/>
      <c r="C162" s="258" t="s">
        <v>208</v>
      </c>
      <c r="D162" s="254" t="s">
        <v>149</v>
      </c>
      <c r="E162" s="255">
        <v>8</v>
      </c>
      <c r="F162" s="277">
        <v>0</v>
      </c>
      <c r="G162" s="278">
        <f t="shared" si="13"/>
        <v>0</v>
      </c>
      <c r="H162" s="565"/>
    </row>
    <row r="163" spans="2:8" s="136" customFormat="1" x14ac:dyDescent="0.2">
      <c r="B163" s="135"/>
      <c r="C163" s="259" t="s">
        <v>209</v>
      </c>
      <c r="D163" s="254" t="s">
        <v>149</v>
      </c>
      <c r="E163" s="255">
        <v>4</v>
      </c>
      <c r="F163" s="277">
        <v>0</v>
      </c>
      <c r="G163" s="278">
        <f t="shared" si="13"/>
        <v>0</v>
      </c>
      <c r="H163" s="565"/>
    </row>
    <row r="164" spans="2:8" s="136" customFormat="1" x14ac:dyDescent="0.2">
      <c r="B164" s="135"/>
      <c r="C164" s="259" t="s">
        <v>210</v>
      </c>
      <c r="D164" s="254" t="s">
        <v>149</v>
      </c>
      <c r="E164" s="255">
        <v>4</v>
      </c>
      <c r="F164" s="277">
        <v>0</v>
      </c>
      <c r="G164" s="278">
        <f t="shared" si="13"/>
        <v>0</v>
      </c>
      <c r="H164" s="565"/>
    </row>
    <row r="165" spans="2:8" s="136" customFormat="1" x14ac:dyDescent="0.2">
      <c r="B165" s="135"/>
      <c r="C165" s="259" t="s">
        <v>211</v>
      </c>
      <c r="D165" s="254" t="s">
        <v>149</v>
      </c>
      <c r="E165" s="255">
        <v>4</v>
      </c>
      <c r="F165" s="277">
        <v>0</v>
      </c>
      <c r="G165" s="278">
        <f t="shared" si="13"/>
        <v>0</v>
      </c>
      <c r="H165" s="565"/>
    </row>
    <row r="166" spans="2:8" s="136" customFormat="1" x14ac:dyDescent="0.2">
      <c r="B166" s="135"/>
      <c r="C166" s="259" t="s">
        <v>212</v>
      </c>
      <c r="D166" s="254" t="s">
        <v>149</v>
      </c>
      <c r="E166" s="255">
        <v>4</v>
      </c>
      <c r="F166" s="277">
        <v>0</v>
      </c>
      <c r="G166" s="278">
        <f t="shared" si="13"/>
        <v>0</v>
      </c>
      <c r="H166" s="565"/>
    </row>
    <row r="167" spans="2:8" s="136" customFormat="1" x14ac:dyDescent="0.2">
      <c r="B167" s="135"/>
      <c r="C167" s="259" t="s">
        <v>213</v>
      </c>
      <c r="D167" s="254" t="s">
        <v>149</v>
      </c>
      <c r="E167" s="255">
        <v>4</v>
      </c>
      <c r="F167" s="277">
        <v>0</v>
      </c>
      <c r="G167" s="278">
        <f t="shared" si="13"/>
        <v>0</v>
      </c>
      <c r="H167" s="565"/>
    </row>
    <row r="168" spans="2:8" s="136" customFormat="1" x14ac:dyDescent="0.2">
      <c r="B168" s="135"/>
      <c r="C168" s="259" t="s">
        <v>214</v>
      </c>
      <c r="D168" s="254" t="s">
        <v>149</v>
      </c>
      <c r="E168" s="255">
        <v>4</v>
      </c>
      <c r="F168" s="277">
        <v>0</v>
      </c>
      <c r="G168" s="278">
        <f t="shared" si="13"/>
        <v>0</v>
      </c>
      <c r="H168" s="565"/>
    </row>
    <row r="169" spans="2:8" s="136" customFormat="1" x14ac:dyDescent="0.2">
      <c r="B169" s="135"/>
      <c r="C169" s="259" t="s">
        <v>215</v>
      </c>
      <c r="D169" s="254" t="s">
        <v>149</v>
      </c>
      <c r="E169" s="255">
        <v>4</v>
      </c>
      <c r="F169" s="277">
        <v>0</v>
      </c>
      <c r="G169" s="278">
        <f t="shared" si="13"/>
        <v>0</v>
      </c>
      <c r="H169" s="565"/>
    </row>
    <row r="170" spans="2:8" s="136" customFormat="1" x14ac:dyDescent="0.2">
      <c r="B170" s="135"/>
      <c r="C170" s="259" t="s">
        <v>216</v>
      </c>
      <c r="D170" s="254" t="s">
        <v>149</v>
      </c>
      <c r="E170" s="255">
        <v>4</v>
      </c>
      <c r="F170" s="277">
        <v>0</v>
      </c>
      <c r="G170" s="278">
        <f t="shared" si="13"/>
        <v>0</v>
      </c>
      <c r="H170" s="565"/>
    </row>
    <row r="171" spans="2:8" s="136" customFormat="1" x14ac:dyDescent="0.2">
      <c r="B171" s="135"/>
      <c r="C171" s="1816" t="s">
        <v>217</v>
      </c>
      <c r="D171" s="254" t="s">
        <v>149</v>
      </c>
      <c r="E171" s="255">
        <v>4</v>
      </c>
      <c r="F171" s="277">
        <v>0</v>
      </c>
      <c r="G171" s="278">
        <f t="shared" si="13"/>
        <v>0</v>
      </c>
      <c r="H171" s="565"/>
    </row>
    <row r="172" spans="2:8" s="136" customFormat="1" x14ac:dyDescent="0.2">
      <c r="B172" s="135"/>
      <c r="C172" s="1819" t="s">
        <v>195</v>
      </c>
      <c r="D172" s="254" t="s">
        <v>149</v>
      </c>
      <c r="E172" s="255">
        <v>8</v>
      </c>
      <c r="F172" s="277">
        <v>0</v>
      </c>
      <c r="G172" s="278">
        <f t="shared" si="13"/>
        <v>0</v>
      </c>
      <c r="H172" s="565"/>
    </row>
    <row r="173" spans="2:8" s="136" customFormat="1" x14ac:dyDescent="0.2">
      <c r="B173" s="135"/>
      <c r="C173" s="1816" t="s">
        <v>218</v>
      </c>
      <c r="D173" s="254" t="s">
        <v>149</v>
      </c>
      <c r="E173" s="255">
        <v>8</v>
      </c>
      <c r="F173" s="277">
        <v>0</v>
      </c>
      <c r="G173" s="278">
        <f t="shared" si="13"/>
        <v>0</v>
      </c>
      <c r="H173" s="565"/>
    </row>
    <row r="174" spans="2:8" s="136" customFormat="1" x14ac:dyDescent="0.2">
      <c r="B174" s="135"/>
      <c r="C174" s="1816" t="s">
        <v>219</v>
      </c>
      <c r="D174" s="254" t="s">
        <v>149</v>
      </c>
      <c r="E174" s="255">
        <v>4</v>
      </c>
      <c r="F174" s="277">
        <v>0</v>
      </c>
      <c r="G174" s="278">
        <f t="shared" si="13"/>
        <v>0</v>
      </c>
      <c r="H174" s="565"/>
    </row>
    <row r="175" spans="2:8" s="136" customFormat="1" x14ac:dyDescent="0.2">
      <c r="B175" s="135"/>
      <c r="C175" s="1816" t="s">
        <v>227</v>
      </c>
      <c r="D175" s="254" t="s">
        <v>149</v>
      </c>
      <c r="E175" s="255">
        <v>12</v>
      </c>
      <c r="F175" s="277">
        <v>0</v>
      </c>
      <c r="G175" s="278">
        <f t="shared" si="13"/>
        <v>0</v>
      </c>
      <c r="H175" s="565"/>
    </row>
    <row r="176" spans="2:8" s="136" customFormat="1" x14ac:dyDescent="0.2">
      <c r="B176" s="135"/>
      <c r="C176" s="1817" t="s">
        <v>198</v>
      </c>
      <c r="D176" s="254" t="s">
        <v>149</v>
      </c>
      <c r="E176" s="255">
        <v>4</v>
      </c>
      <c r="F176" s="277">
        <v>0</v>
      </c>
      <c r="G176" s="278">
        <f t="shared" si="13"/>
        <v>0</v>
      </c>
      <c r="H176" s="565"/>
    </row>
    <row r="177" spans="2:8" s="136" customFormat="1" x14ac:dyDescent="0.2">
      <c r="B177" s="135"/>
      <c r="C177" s="253" t="s">
        <v>842</v>
      </c>
      <c r="D177" s="254"/>
      <c r="E177" s="255"/>
      <c r="F177" s="256">
        <v>0</v>
      </c>
      <c r="G177" s="257"/>
      <c r="H177" s="565"/>
    </row>
    <row r="178" spans="2:8" s="136" customFormat="1" x14ac:dyDescent="0.2">
      <c r="B178" s="135"/>
      <c r="C178" s="258" t="s">
        <v>207</v>
      </c>
      <c r="D178" s="254" t="s">
        <v>149</v>
      </c>
      <c r="E178" s="255">
        <v>3</v>
      </c>
      <c r="F178" s="277">
        <v>0</v>
      </c>
      <c r="G178" s="278">
        <f t="shared" ref="G178:G193" si="14">E178*F178</f>
        <v>0</v>
      </c>
      <c r="H178" s="565"/>
    </row>
    <row r="179" spans="2:8" s="136" customFormat="1" x14ac:dyDescent="0.2">
      <c r="B179" s="135"/>
      <c r="C179" s="258" t="s">
        <v>208</v>
      </c>
      <c r="D179" s="254" t="s">
        <v>149</v>
      </c>
      <c r="E179" s="255">
        <v>6</v>
      </c>
      <c r="F179" s="277">
        <v>0</v>
      </c>
      <c r="G179" s="278">
        <f t="shared" si="14"/>
        <v>0</v>
      </c>
      <c r="H179" s="565"/>
    </row>
    <row r="180" spans="2:8" s="136" customFormat="1" x14ac:dyDescent="0.2">
      <c r="B180" s="135"/>
      <c r="C180" s="259" t="s">
        <v>843</v>
      </c>
      <c r="D180" s="254" t="s">
        <v>149</v>
      </c>
      <c r="E180" s="255">
        <v>3</v>
      </c>
      <c r="F180" s="277">
        <v>0</v>
      </c>
      <c r="G180" s="278">
        <f t="shared" si="14"/>
        <v>0</v>
      </c>
      <c r="H180" s="565"/>
    </row>
    <row r="181" spans="2:8" s="136" customFormat="1" x14ac:dyDescent="0.2">
      <c r="B181" s="135"/>
      <c r="C181" s="259" t="s">
        <v>210</v>
      </c>
      <c r="D181" s="254" t="s">
        <v>149</v>
      </c>
      <c r="E181" s="255">
        <v>3</v>
      </c>
      <c r="F181" s="277">
        <v>0</v>
      </c>
      <c r="G181" s="278">
        <f t="shared" si="14"/>
        <v>0</v>
      </c>
      <c r="H181" s="565"/>
    </row>
    <row r="182" spans="2:8" s="136" customFormat="1" x14ac:dyDescent="0.2">
      <c r="B182" s="135"/>
      <c r="C182" s="259" t="s">
        <v>211</v>
      </c>
      <c r="D182" s="254" t="s">
        <v>149</v>
      </c>
      <c r="E182" s="255">
        <v>3</v>
      </c>
      <c r="F182" s="277">
        <v>0</v>
      </c>
      <c r="G182" s="278">
        <f t="shared" si="14"/>
        <v>0</v>
      </c>
      <c r="H182" s="565"/>
    </row>
    <row r="183" spans="2:8" s="136" customFormat="1" x14ac:dyDescent="0.2">
      <c r="B183" s="135"/>
      <c r="C183" s="259" t="s">
        <v>212</v>
      </c>
      <c r="D183" s="254" t="s">
        <v>149</v>
      </c>
      <c r="E183" s="255">
        <v>3</v>
      </c>
      <c r="F183" s="277">
        <v>0</v>
      </c>
      <c r="G183" s="278">
        <f t="shared" si="14"/>
        <v>0</v>
      </c>
      <c r="H183" s="565"/>
    </row>
    <row r="184" spans="2:8" s="136" customFormat="1" x14ac:dyDescent="0.2">
      <c r="B184" s="135"/>
      <c r="C184" s="259" t="s">
        <v>213</v>
      </c>
      <c r="D184" s="254" t="s">
        <v>149</v>
      </c>
      <c r="E184" s="255">
        <v>3</v>
      </c>
      <c r="F184" s="277">
        <v>0</v>
      </c>
      <c r="G184" s="278">
        <f t="shared" si="14"/>
        <v>0</v>
      </c>
      <c r="H184" s="565"/>
    </row>
    <row r="185" spans="2:8" s="136" customFormat="1" x14ac:dyDescent="0.2">
      <c r="B185" s="135"/>
      <c r="C185" s="259" t="s">
        <v>214</v>
      </c>
      <c r="D185" s="254" t="s">
        <v>149</v>
      </c>
      <c r="E185" s="255">
        <v>3</v>
      </c>
      <c r="F185" s="277">
        <v>0</v>
      </c>
      <c r="G185" s="278">
        <f t="shared" si="14"/>
        <v>0</v>
      </c>
      <c r="H185" s="565"/>
    </row>
    <row r="186" spans="2:8" s="136" customFormat="1" x14ac:dyDescent="0.2">
      <c r="B186" s="135"/>
      <c r="C186" s="259" t="s">
        <v>215</v>
      </c>
      <c r="D186" s="254" t="s">
        <v>149</v>
      </c>
      <c r="E186" s="255">
        <v>3</v>
      </c>
      <c r="F186" s="277">
        <v>0</v>
      </c>
      <c r="G186" s="278">
        <f t="shared" si="14"/>
        <v>0</v>
      </c>
      <c r="H186" s="565"/>
    </row>
    <row r="187" spans="2:8" s="136" customFormat="1" x14ac:dyDescent="0.2">
      <c r="B187" s="135"/>
      <c r="C187" s="1816" t="s">
        <v>216</v>
      </c>
      <c r="D187" s="254" t="s">
        <v>149</v>
      </c>
      <c r="E187" s="255">
        <v>3</v>
      </c>
      <c r="F187" s="277">
        <v>0</v>
      </c>
      <c r="G187" s="278">
        <f t="shared" si="14"/>
        <v>0</v>
      </c>
      <c r="H187" s="565"/>
    </row>
    <row r="188" spans="2:8" s="136" customFormat="1" x14ac:dyDescent="0.2">
      <c r="B188" s="135"/>
      <c r="C188" s="1816" t="s">
        <v>329</v>
      </c>
      <c r="D188" s="254" t="s">
        <v>149</v>
      </c>
      <c r="E188" s="255">
        <v>3</v>
      </c>
      <c r="F188" s="277">
        <v>0</v>
      </c>
      <c r="G188" s="278">
        <f t="shared" si="14"/>
        <v>0</v>
      </c>
      <c r="H188" s="565"/>
    </row>
    <row r="189" spans="2:8" s="136" customFormat="1" x14ac:dyDescent="0.2">
      <c r="B189" s="135"/>
      <c r="C189" s="1816" t="s">
        <v>235</v>
      </c>
      <c r="D189" s="254" t="s">
        <v>149</v>
      </c>
      <c r="E189" s="255">
        <v>6</v>
      </c>
      <c r="F189" s="277">
        <v>0</v>
      </c>
      <c r="G189" s="278">
        <f t="shared" si="14"/>
        <v>0</v>
      </c>
      <c r="H189" s="565"/>
    </row>
    <row r="190" spans="2:8" s="136" customFormat="1" x14ac:dyDescent="0.2">
      <c r="B190" s="135"/>
      <c r="C190" s="1816" t="s">
        <v>236</v>
      </c>
      <c r="D190" s="254" t="s">
        <v>149</v>
      </c>
      <c r="E190" s="255">
        <v>6</v>
      </c>
      <c r="F190" s="277">
        <v>0</v>
      </c>
      <c r="G190" s="278">
        <f t="shared" si="14"/>
        <v>0</v>
      </c>
      <c r="H190" s="565"/>
    </row>
    <row r="191" spans="2:8" s="136" customFormat="1" x14ac:dyDescent="0.2">
      <c r="B191" s="135"/>
      <c r="C191" s="259" t="s">
        <v>219</v>
      </c>
      <c r="D191" s="254" t="s">
        <v>149</v>
      </c>
      <c r="E191" s="255">
        <v>3</v>
      </c>
      <c r="F191" s="277">
        <v>0</v>
      </c>
      <c r="G191" s="278">
        <f t="shared" si="14"/>
        <v>0</v>
      </c>
      <c r="H191" s="565"/>
    </row>
    <row r="192" spans="2:8" s="136" customFormat="1" x14ac:dyDescent="0.2">
      <c r="B192" s="135"/>
      <c r="C192" s="1816" t="s">
        <v>227</v>
      </c>
      <c r="D192" s="254" t="s">
        <v>149</v>
      </c>
      <c r="E192" s="255">
        <v>9</v>
      </c>
      <c r="F192" s="277">
        <v>0</v>
      </c>
      <c r="G192" s="278">
        <f t="shared" si="14"/>
        <v>0</v>
      </c>
      <c r="H192" s="565"/>
    </row>
    <row r="193" spans="2:8" s="136" customFormat="1" x14ac:dyDescent="0.2">
      <c r="B193" s="135"/>
      <c r="C193" s="1817" t="s">
        <v>198</v>
      </c>
      <c r="D193" s="254" t="s">
        <v>149</v>
      </c>
      <c r="E193" s="255">
        <v>3</v>
      </c>
      <c r="F193" s="277">
        <v>0</v>
      </c>
      <c r="G193" s="278">
        <f t="shared" si="14"/>
        <v>0</v>
      </c>
      <c r="H193" s="565"/>
    </row>
    <row r="194" spans="2:8" s="136" customFormat="1" x14ac:dyDescent="0.2">
      <c r="B194" s="292" t="s">
        <v>220</v>
      </c>
      <c r="C194" s="238" t="s">
        <v>221</v>
      </c>
      <c r="D194" s="239"/>
      <c r="E194" s="240"/>
      <c r="F194" s="241"/>
      <c r="G194" s="242"/>
      <c r="H194" s="565"/>
    </row>
    <row r="195" spans="2:8" s="136" customFormat="1" x14ac:dyDescent="0.2">
      <c r="B195" s="135"/>
      <c r="C195" s="238" t="s">
        <v>222</v>
      </c>
      <c r="D195" s="239"/>
      <c r="E195" s="240"/>
      <c r="F195" s="241">
        <v>0</v>
      </c>
      <c r="G195" s="242"/>
      <c r="H195" s="565"/>
    </row>
    <row r="196" spans="2:8" s="136" customFormat="1" x14ac:dyDescent="0.2">
      <c r="B196" s="135"/>
      <c r="C196" s="243" t="s">
        <v>207</v>
      </c>
      <c r="D196" s="239" t="s">
        <v>149</v>
      </c>
      <c r="E196" s="240">
        <v>6</v>
      </c>
      <c r="F196" s="273">
        <v>0</v>
      </c>
      <c r="G196" s="274">
        <f t="shared" ref="G196:G206" si="15">E196*F196</f>
        <v>0</v>
      </c>
      <c r="H196" s="565"/>
    </row>
    <row r="197" spans="2:8" s="136" customFormat="1" ht="24" x14ac:dyDescent="0.2">
      <c r="B197" s="135"/>
      <c r="C197" s="244" t="s">
        <v>223</v>
      </c>
      <c r="D197" s="239" t="s">
        <v>149</v>
      </c>
      <c r="E197" s="240">
        <v>6</v>
      </c>
      <c r="F197" s="273">
        <v>0</v>
      </c>
      <c r="G197" s="274">
        <f t="shared" si="15"/>
        <v>0</v>
      </c>
      <c r="H197" s="565"/>
    </row>
    <row r="198" spans="2:8" s="136" customFormat="1" x14ac:dyDescent="0.2">
      <c r="B198" s="135"/>
      <c r="C198" s="244" t="s">
        <v>213</v>
      </c>
      <c r="D198" s="239" t="s">
        <v>149</v>
      </c>
      <c r="E198" s="240">
        <v>6</v>
      </c>
      <c r="F198" s="273">
        <v>0</v>
      </c>
      <c r="G198" s="274">
        <f t="shared" si="15"/>
        <v>0</v>
      </c>
      <c r="H198" s="565"/>
    </row>
    <row r="199" spans="2:8" s="136" customFormat="1" x14ac:dyDescent="0.2">
      <c r="B199" s="135"/>
      <c r="C199" s="244" t="s">
        <v>224</v>
      </c>
      <c r="D199" s="239" t="s">
        <v>149</v>
      </c>
      <c r="E199" s="240">
        <v>6</v>
      </c>
      <c r="F199" s="273">
        <v>0</v>
      </c>
      <c r="G199" s="274">
        <f t="shared" si="15"/>
        <v>0</v>
      </c>
      <c r="H199" s="565"/>
    </row>
    <row r="200" spans="2:8" s="136" customFormat="1" x14ac:dyDescent="0.2">
      <c r="B200" s="135"/>
      <c r="C200" s="244" t="s">
        <v>225</v>
      </c>
      <c r="D200" s="239" t="s">
        <v>149</v>
      </c>
      <c r="E200" s="240">
        <v>6</v>
      </c>
      <c r="F200" s="273">
        <v>0</v>
      </c>
      <c r="G200" s="274">
        <f t="shared" si="15"/>
        <v>0</v>
      </c>
      <c r="H200" s="565"/>
    </row>
    <row r="201" spans="2:8" s="136" customFormat="1" x14ac:dyDescent="0.2">
      <c r="B201" s="135"/>
      <c r="C201" s="1828" t="s">
        <v>226</v>
      </c>
      <c r="D201" s="239" t="s">
        <v>149</v>
      </c>
      <c r="E201" s="240">
        <v>6</v>
      </c>
      <c r="F201" s="273">
        <v>0</v>
      </c>
      <c r="G201" s="274">
        <f t="shared" si="15"/>
        <v>0</v>
      </c>
      <c r="H201" s="565"/>
    </row>
    <row r="202" spans="2:8" s="136" customFormat="1" x14ac:dyDescent="0.2">
      <c r="B202" s="135"/>
      <c r="C202" s="1828" t="s">
        <v>217</v>
      </c>
      <c r="D202" s="239" t="s">
        <v>149</v>
      </c>
      <c r="E202" s="240">
        <v>6</v>
      </c>
      <c r="F202" s="273">
        <v>0</v>
      </c>
      <c r="G202" s="274">
        <f t="shared" si="15"/>
        <v>0</v>
      </c>
      <c r="H202" s="565"/>
    </row>
    <row r="203" spans="2:8" s="136" customFormat="1" x14ac:dyDescent="0.2">
      <c r="B203" s="135"/>
      <c r="C203" s="244" t="s">
        <v>195</v>
      </c>
      <c r="D203" s="239" t="s">
        <v>149</v>
      </c>
      <c r="E203" s="240">
        <v>12</v>
      </c>
      <c r="F203" s="273">
        <v>0</v>
      </c>
      <c r="G203" s="274">
        <f t="shared" si="15"/>
        <v>0</v>
      </c>
      <c r="H203" s="565"/>
    </row>
    <row r="204" spans="2:8" s="136" customFormat="1" x14ac:dyDescent="0.2">
      <c r="B204" s="135"/>
      <c r="C204" s="1828" t="s">
        <v>1723</v>
      </c>
      <c r="D204" s="239" t="s">
        <v>149</v>
      </c>
      <c r="E204" s="240">
        <v>12</v>
      </c>
      <c r="F204" s="273">
        <v>0</v>
      </c>
      <c r="G204" s="274">
        <f t="shared" si="15"/>
        <v>0</v>
      </c>
      <c r="H204" s="565"/>
    </row>
    <row r="205" spans="2:8" s="136" customFormat="1" x14ac:dyDescent="0.2">
      <c r="B205" s="135"/>
      <c r="C205" s="1828" t="s">
        <v>227</v>
      </c>
      <c r="D205" s="239" t="s">
        <v>149</v>
      </c>
      <c r="E205" s="240">
        <v>6</v>
      </c>
      <c r="F205" s="273">
        <v>0</v>
      </c>
      <c r="G205" s="274">
        <f t="shared" si="15"/>
        <v>0</v>
      </c>
      <c r="H205" s="565"/>
    </row>
    <row r="206" spans="2:8" s="136" customFormat="1" x14ac:dyDescent="0.2">
      <c r="B206" s="135"/>
      <c r="C206" s="1829" t="s">
        <v>1725</v>
      </c>
      <c r="D206" s="239" t="s">
        <v>149</v>
      </c>
      <c r="E206" s="240">
        <v>6</v>
      </c>
      <c r="F206" s="273">
        <v>0</v>
      </c>
      <c r="G206" s="274">
        <f t="shared" si="15"/>
        <v>0</v>
      </c>
      <c r="H206" s="565"/>
    </row>
    <row r="207" spans="2:8" s="136" customFormat="1" x14ac:dyDescent="0.2">
      <c r="B207" s="135"/>
      <c r="C207" s="238" t="s">
        <v>1771</v>
      </c>
      <c r="D207" s="239"/>
      <c r="E207" s="240"/>
      <c r="F207" s="241">
        <v>0</v>
      </c>
      <c r="G207" s="242"/>
      <c r="H207" s="565"/>
    </row>
    <row r="208" spans="2:8" s="136" customFormat="1" x14ac:dyDescent="0.2">
      <c r="B208" s="135"/>
      <c r="C208" s="243" t="s">
        <v>207</v>
      </c>
      <c r="D208" s="239" t="s">
        <v>149</v>
      </c>
      <c r="E208" s="240">
        <v>1</v>
      </c>
      <c r="F208" s="273">
        <v>0</v>
      </c>
      <c r="G208" s="274">
        <f t="shared" ref="G208:G219" si="16">E208*F208</f>
        <v>0</v>
      </c>
      <c r="H208" s="565"/>
    </row>
    <row r="209" spans="2:8" ht="24" x14ac:dyDescent="0.2">
      <c r="B209" s="655"/>
      <c r="C209" s="1389" t="s">
        <v>223</v>
      </c>
      <c r="D209" s="1390" t="s">
        <v>149</v>
      </c>
      <c r="E209" s="1391">
        <v>1</v>
      </c>
      <c r="F209" s="273">
        <v>0</v>
      </c>
      <c r="G209" s="1392">
        <f t="shared" si="16"/>
        <v>0</v>
      </c>
    </row>
    <row r="210" spans="2:8" s="136" customFormat="1" x14ac:dyDescent="0.2">
      <c r="B210" s="135"/>
      <c r="C210" s="244" t="s">
        <v>213</v>
      </c>
      <c r="D210" s="239" t="s">
        <v>149</v>
      </c>
      <c r="E210" s="240">
        <v>1</v>
      </c>
      <c r="F210" s="273">
        <v>0</v>
      </c>
      <c r="G210" s="274">
        <f t="shared" si="16"/>
        <v>0</v>
      </c>
      <c r="H210" s="565"/>
    </row>
    <row r="211" spans="2:8" s="136" customFormat="1" x14ac:dyDescent="0.2">
      <c r="B211" s="135"/>
      <c r="C211" s="244" t="s">
        <v>224</v>
      </c>
      <c r="D211" s="239" t="s">
        <v>149</v>
      </c>
      <c r="E211" s="240">
        <v>1</v>
      </c>
      <c r="F211" s="273">
        <v>0</v>
      </c>
      <c r="G211" s="274">
        <f t="shared" si="16"/>
        <v>0</v>
      </c>
      <c r="H211" s="565"/>
    </row>
    <row r="212" spans="2:8" x14ac:dyDescent="0.2">
      <c r="B212" s="135"/>
      <c r="C212" s="244" t="s">
        <v>225</v>
      </c>
      <c r="D212" s="239" t="s">
        <v>149</v>
      </c>
      <c r="E212" s="240">
        <v>1</v>
      </c>
      <c r="F212" s="273">
        <v>0</v>
      </c>
      <c r="G212" s="274">
        <f t="shared" si="16"/>
        <v>0</v>
      </c>
    </row>
    <row r="213" spans="2:8" x14ac:dyDescent="0.2">
      <c r="B213" s="135"/>
      <c r="C213" s="1811" t="s">
        <v>226</v>
      </c>
      <c r="D213" s="239" t="s">
        <v>149</v>
      </c>
      <c r="E213" s="240">
        <v>1</v>
      </c>
      <c r="F213" s="273">
        <v>0</v>
      </c>
      <c r="G213" s="274">
        <f t="shared" si="16"/>
        <v>0</v>
      </c>
    </row>
    <row r="214" spans="2:8" x14ac:dyDescent="0.2">
      <c r="B214" s="135"/>
      <c r="C214" s="1811" t="s">
        <v>217</v>
      </c>
      <c r="D214" s="239" t="s">
        <v>149</v>
      </c>
      <c r="E214" s="240">
        <v>1</v>
      </c>
      <c r="F214" s="273">
        <v>0</v>
      </c>
      <c r="G214" s="274">
        <f t="shared" si="16"/>
        <v>0</v>
      </c>
    </row>
    <row r="215" spans="2:8" x14ac:dyDescent="0.2">
      <c r="B215" s="135"/>
      <c r="C215" s="1811" t="s">
        <v>235</v>
      </c>
      <c r="D215" s="239" t="s">
        <v>149</v>
      </c>
      <c r="E215" s="240">
        <v>2</v>
      </c>
      <c r="F215" s="273">
        <v>0</v>
      </c>
      <c r="G215" s="274">
        <f t="shared" si="16"/>
        <v>0</v>
      </c>
    </row>
    <row r="216" spans="2:8" x14ac:dyDescent="0.2">
      <c r="B216" s="135"/>
      <c r="C216" s="1811" t="s">
        <v>236</v>
      </c>
      <c r="D216" s="239" t="s">
        <v>149</v>
      </c>
      <c r="E216" s="240">
        <v>2</v>
      </c>
      <c r="F216" s="273">
        <v>0</v>
      </c>
      <c r="G216" s="274">
        <f t="shared" si="16"/>
        <v>0</v>
      </c>
    </row>
    <row r="217" spans="2:8" x14ac:dyDescent="0.2">
      <c r="B217" s="135"/>
      <c r="C217" s="1811" t="s">
        <v>227</v>
      </c>
      <c r="D217" s="239" t="s">
        <v>149</v>
      </c>
      <c r="E217" s="240">
        <v>1</v>
      </c>
      <c r="F217" s="273">
        <v>0</v>
      </c>
      <c r="G217" s="274">
        <f t="shared" si="16"/>
        <v>0</v>
      </c>
    </row>
    <row r="218" spans="2:8" x14ac:dyDescent="0.2">
      <c r="B218" s="135"/>
      <c r="C218" s="1812" t="s">
        <v>198</v>
      </c>
      <c r="D218" s="239" t="s">
        <v>149</v>
      </c>
      <c r="E218" s="240">
        <v>1</v>
      </c>
      <c r="F218" s="273">
        <v>0</v>
      </c>
      <c r="G218" s="274">
        <f t="shared" si="16"/>
        <v>0</v>
      </c>
    </row>
    <row r="219" spans="2:8" ht="24" x14ac:dyDescent="0.2">
      <c r="B219" s="309" t="s">
        <v>228</v>
      </c>
      <c r="C219" s="238" t="s">
        <v>229</v>
      </c>
      <c r="D219" s="239" t="s">
        <v>149</v>
      </c>
      <c r="E219" s="240">
        <v>7</v>
      </c>
      <c r="F219" s="273">
        <v>0</v>
      </c>
      <c r="G219" s="274">
        <f t="shared" si="16"/>
        <v>0</v>
      </c>
    </row>
    <row r="220" spans="2:8" x14ac:dyDescent="0.2">
      <c r="B220" s="292" t="s">
        <v>330</v>
      </c>
      <c r="C220" s="247" t="s">
        <v>331</v>
      </c>
      <c r="D220" s="247"/>
      <c r="E220" s="247"/>
      <c r="F220" s="247"/>
      <c r="G220" s="247"/>
    </row>
    <row r="221" spans="2:8" x14ac:dyDescent="0.2">
      <c r="B221" s="135"/>
      <c r="C221" s="247" t="s">
        <v>1772</v>
      </c>
      <c r="D221" s="202"/>
      <c r="E221" s="248"/>
      <c r="F221" s="249">
        <v>0</v>
      </c>
      <c r="G221" s="205"/>
    </row>
    <row r="222" spans="2:8" ht="24" x14ac:dyDescent="0.2">
      <c r="B222" s="655"/>
      <c r="C222" s="1374" t="s">
        <v>1415</v>
      </c>
      <c r="D222" s="1375" t="s">
        <v>149</v>
      </c>
      <c r="E222" s="1376">
        <v>1</v>
      </c>
      <c r="F222" s="1377">
        <v>0</v>
      </c>
      <c r="G222" s="1378">
        <f t="shared" ref="G222:G226" si="17">E222*F222</f>
        <v>0</v>
      </c>
    </row>
    <row r="223" spans="2:8" x14ac:dyDescent="0.2">
      <c r="B223" s="135"/>
      <c r="C223" s="1814" t="s">
        <v>195</v>
      </c>
      <c r="D223" s="202" t="s">
        <v>149</v>
      </c>
      <c r="E223" s="248">
        <v>2</v>
      </c>
      <c r="F223" s="1377">
        <v>0</v>
      </c>
      <c r="G223" s="276">
        <f t="shared" si="17"/>
        <v>0</v>
      </c>
    </row>
    <row r="224" spans="2:8" x14ac:dyDescent="0.2">
      <c r="B224" s="135"/>
      <c r="C224" s="1814" t="s">
        <v>218</v>
      </c>
      <c r="D224" s="202" t="s">
        <v>149</v>
      </c>
      <c r="E224" s="248">
        <v>2</v>
      </c>
      <c r="F224" s="1377">
        <v>0</v>
      </c>
      <c r="G224" s="276">
        <f t="shared" si="17"/>
        <v>0</v>
      </c>
    </row>
    <row r="225" spans="2:7" x14ac:dyDescent="0.2">
      <c r="B225" s="135"/>
      <c r="C225" s="1814" t="s">
        <v>227</v>
      </c>
      <c r="D225" s="202" t="s">
        <v>149</v>
      </c>
      <c r="E225" s="248">
        <v>1</v>
      </c>
      <c r="F225" s="1377">
        <v>0</v>
      </c>
      <c r="G225" s="276">
        <f t="shared" si="17"/>
        <v>0</v>
      </c>
    </row>
    <row r="226" spans="2:7" x14ac:dyDescent="0.2">
      <c r="B226" s="135"/>
      <c r="C226" s="1815" t="s">
        <v>198</v>
      </c>
      <c r="D226" s="202" t="s">
        <v>149</v>
      </c>
      <c r="E226" s="248">
        <v>1</v>
      </c>
      <c r="F226" s="1377">
        <v>0</v>
      </c>
      <c r="G226" s="276">
        <f t="shared" si="17"/>
        <v>0</v>
      </c>
    </row>
    <row r="227" spans="2:7" x14ac:dyDescent="0.2">
      <c r="B227" s="292" t="s">
        <v>230</v>
      </c>
      <c r="C227" s="253" t="s">
        <v>231</v>
      </c>
      <c r="D227" s="254"/>
      <c r="E227" s="255"/>
      <c r="F227" s="256"/>
      <c r="G227" s="257"/>
    </row>
    <row r="228" spans="2:7" x14ac:dyDescent="0.2">
      <c r="B228" s="135"/>
      <c r="C228" s="253" t="s">
        <v>1724</v>
      </c>
      <c r="D228" s="254"/>
      <c r="E228" s="255"/>
      <c r="F228" s="256">
        <v>0</v>
      </c>
      <c r="G228" s="257"/>
    </row>
    <row r="229" spans="2:7" ht="24" x14ac:dyDescent="0.2">
      <c r="B229" s="655"/>
      <c r="C229" s="1379" t="s">
        <v>1097</v>
      </c>
      <c r="D229" s="1380" t="s">
        <v>149</v>
      </c>
      <c r="E229" s="1381">
        <v>1</v>
      </c>
      <c r="F229" s="1382">
        <v>0</v>
      </c>
      <c r="G229" s="1383">
        <f t="shared" ref="G229:G234" si="18">E229*F229</f>
        <v>0</v>
      </c>
    </row>
    <row r="230" spans="2:7" x14ac:dyDescent="0.2">
      <c r="B230" s="135"/>
      <c r="C230" s="1819" t="s">
        <v>354</v>
      </c>
      <c r="D230" s="254" t="s">
        <v>149</v>
      </c>
      <c r="E230" s="255">
        <v>2</v>
      </c>
      <c r="F230" s="1382">
        <v>0</v>
      </c>
      <c r="G230" s="278">
        <f t="shared" si="18"/>
        <v>0</v>
      </c>
    </row>
    <row r="231" spans="2:7" x14ac:dyDescent="0.2">
      <c r="B231" s="135"/>
      <c r="C231" s="1819" t="s">
        <v>195</v>
      </c>
      <c r="D231" s="254" t="s">
        <v>149</v>
      </c>
      <c r="E231" s="255">
        <v>1</v>
      </c>
      <c r="F231" s="1382">
        <v>0</v>
      </c>
      <c r="G231" s="278">
        <f t="shared" si="18"/>
        <v>0</v>
      </c>
    </row>
    <row r="232" spans="2:7" x14ac:dyDescent="0.2">
      <c r="B232" s="135"/>
      <c r="C232" s="1819" t="s">
        <v>1723</v>
      </c>
      <c r="D232" s="254" t="s">
        <v>149</v>
      </c>
      <c r="E232" s="255">
        <v>1</v>
      </c>
      <c r="F232" s="1382">
        <v>0</v>
      </c>
      <c r="G232" s="278">
        <f t="shared" si="18"/>
        <v>0</v>
      </c>
    </row>
    <row r="233" spans="2:7" x14ac:dyDescent="0.2">
      <c r="B233" s="135"/>
      <c r="C233" s="1819" t="s">
        <v>227</v>
      </c>
      <c r="D233" s="254" t="s">
        <v>149</v>
      </c>
      <c r="E233" s="255">
        <v>1</v>
      </c>
      <c r="F233" s="1382">
        <v>0</v>
      </c>
      <c r="G233" s="278">
        <f t="shared" si="18"/>
        <v>0</v>
      </c>
    </row>
    <row r="234" spans="2:7" x14ac:dyDescent="0.2">
      <c r="B234" s="135"/>
      <c r="C234" s="1820" t="s">
        <v>1725</v>
      </c>
      <c r="D234" s="254" t="s">
        <v>149</v>
      </c>
      <c r="E234" s="255">
        <v>1</v>
      </c>
      <c r="F234" s="1382">
        <v>0</v>
      </c>
      <c r="G234" s="278">
        <f t="shared" si="18"/>
        <v>0</v>
      </c>
    </row>
    <row r="235" spans="2:7" x14ac:dyDescent="0.2">
      <c r="B235" s="135"/>
      <c r="C235" s="253" t="s">
        <v>232</v>
      </c>
      <c r="D235" s="254"/>
      <c r="E235" s="255"/>
      <c r="F235" s="256">
        <v>0</v>
      </c>
      <c r="G235" s="257"/>
    </row>
    <row r="236" spans="2:7" ht="24" x14ac:dyDescent="0.2">
      <c r="B236" s="655"/>
      <c r="C236" s="1379" t="s">
        <v>233</v>
      </c>
      <c r="D236" s="1380" t="s">
        <v>149</v>
      </c>
      <c r="E236" s="1381">
        <v>3</v>
      </c>
      <c r="F236" s="1382">
        <v>0</v>
      </c>
      <c r="G236" s="1383">
        <f t="shared" ref="G236:G240" si="19">E236*F236</f>
        <v>0</v>
      </c>
    </row>
    <row r="237" spans="2:7" x14ac:dyDescent="0.2">
      <c r="B237" s="135"/>
      <c r="C237" s="1819" t="s">
        <v>195</v>
      </c>
      <c r="D237" s="254" t="s">
        <v>149</v>
      </c>
      <c r="E237" s="255">
        <v>9</v>
      </c>
      <c r="F237" s="1382">
        <v>0</v>
      </c>
      <c r="G237" s="278">
        <f t="shared" si="19"/>
        <v>0</v>
      </c>
    </row>
    <row r="238" spans="2:7" x14ac:dyDescent="0.2">
      <c r="B238" s="135"/>
      <c r="C238" s="1819" t="s">
        <v>1723</v>
      </c>
      <c r="D238" s="254" t="s">
        <v>149</v>
      </c>
      <c r="E238" s="255">
        <v>9</v>
      </c>
      <c r="F238" s="1382">
        <v>0</v>
      </c>
      <c r="G238" s="278">
        <f t="shared" si="19"/>
        <v>0</v>
      </c>
    </row>
    <row r="239" spans="2:7" x14ac:dyDescent="0.2">
      <c r="B239" s="135"/>
      <c r="C239" s="1819" t="s">
        <v>227</v>
      </c>
      <c r="D239" s="254" t="s">
        <v>149</v>
      </c>
      <c r="E239" s="255">
        <v>3</v>
      </c>
      <c r="F239" s="1382">
        <v>0</v>
      </c>
      <c r="G239" s="278">
        <f t="shared" si="19"/>
        <v>0</v>
      </c>
    </row>
    <row r="240" spans="2:7" x14ac:dyDescent="0.2">
      <c r="B240" s="135"/>
      <c r="C240" s="1820" t="s">
        <v>1725</v>
      </c>
      <c r="D240" s="254" t="s">
        <v>149</v>
      </c>
      <c r="E240" s="255">
        <v>3</v>
      </c>
      <c r="F240" s="1382">
        <v>0</v>
      </c>
      <c r="G240" s="278">
        <f t="shared" si="19"/>
        <v>0</v>
      </c>
    </row>
    <row r="241" spans="2:7" x14ac:dyDescent="0.2">
      <c r="B241" s="135"/>
      <c r="C241" s="253" t="s">
        <v>237</v>
      </c>
      <c r="D241" s="254"/>
      <c r="E241" s="255"/>
      <c r="F241" s="256">
        <v>0</v>
      </c>
      <c r="G241" s="257"/>
    </row>
    <row r="242" spans="2:7" ht="24" x14ac:dyDescent="0.2">
      <c r="B242" s="655"/>
      <c r="C242" s="1379" t="s">
        <v>238</v>
      </c>
      <c r="D242" s="1380" t="s">
        <v>149</v>
      </c>
      <c r="E242" s="1381">
        <v>1</v>
      </c>
      <c r="F242" s="1382">
        <v>0</v>
      </c>
      <c r="G242" s="1383">
        <f t="shared" ref="G242:G250" si="20">E242*F242</f>
        <v>0</v>
      </c>
    </row>
    <row r="243" spans="2:7" x14ac:dyDescent="0.2">
      <c r="B243" s="135"/>
      <c r="C243" s="1819" t="s">
        <v>195</v>
      </c>
      <c r="D243" s="254" t="s">
        <v>149</v>
      </c>
      <c r="E243" s="255">
        <v>2</v>
      </c>
      <c r="F243" s="1382">
        <v>0</v>
      </c>
      <c r="G243" s="278">
        <f t="shared" si="20"/>
        <v>0</v>
      </c>
    </row>
    <row r="244" spans="2:7" x14ac:dyDescent="0.2">
      <c r="B244" s="135"/>
      <c r="C244" s="1819" t="s">
        <v>239</v>
      </c>
      <c r="D244" s="254" t="s">
        <v>149</v>
      </c>
      <c r="E244" s="255">
        <v>1</v>
      </c>
      <c r="F244" s="1382">
        <v>0</v>
      </c>
      <c r="G244" s="278">
        <f t="shared" si="20"/>
        <v>0</v>
      </c>
    </row>
    <row r="245" spans="2:7" x14ac:dyDescent="0.2">
      <c r="B245" s="135"/>
      <c r="C245" s="1819" t="s">
        <v>1723</v>
      </c>
      <c r="D245" s="254" t="s">
        <v>149</v>
      </c>
      <c r="E245" s="255">
        <v>2</v>
      </c>
      <c r="F245" s="1382">
        <v>0</v>
      </c>
      <c r="G245" s="278">
        <f t="shared" si="20"/>
        <v>0</v>
      </c>
    </row>
    <row r="246" spans="2:7" x14ac:dyDescent="0.2">
      <c r="B246" s="135"/>
      <c r="C246" s="1819" t="s">
        <v>1761</v>
      </c>
      <c r="D246" s="254" t="s">
        <v>149</v>
      </c>
      <c r="E246" s="255">
        <v>1</v>
      </c>
      <c r="F246" s="1382">
        <v>0</v>
      </c>
      <c r="G246" s="278">
        <f t="shared" si="20"/>
        <v>0</v>
      </c>
    </row>
    <row r="247" spans="2:7" x14ac:dyDescent="0.2">
      <c r="B247" s="135"/>
      <c r="C247" s="1819" t="s">
        <v>1774</v>
      </c>
      <c r="D247" s="254" t="s">
        <v>149</v>
      </c>
      <c r="E247" s="255">
        <v>1</v>
      </c>
      <c r="F247" s="1382">
        <v>0</v>
      </c>
      <c r="G247" s="278">
        <f t="shared" si="20"/>
        <v>0</v>
      </c>
    </row>
    <row r="248" spans="2:7" x14ac:dyDescent="0.2">
      <c r="B248" s="135"/>
      <c r="C248" s="1819" t="s">
        <v>1775</v>
      </c>
      <c r="D248" s="254" t="s">
        <v>149</v>
      </c>
      <c r="E248" s="255">
        <v>1</v>
      </c>
      <c r="F248" s="1382">
        <v>0</v>
      </c>
      <c r="G248" s="278">
        <f t="shared" si="20"/>
        <v>0</v>
      </c>
    </row>
    <row r="249" spans="2:7" x14ac:dyDescent="0.2">
      <c r="B249" s="135"/>
      <c r="C249" s="1819" t="s">
        <v>227</v>
      </c>
      <c r="D249" s="254" t="s">
        <v>149</v>
      </c>
      <c r="E249" s="255">
        <v>1</v>
      </c>
      <c r="F249" s="1382">
        <v>0</v>
      </c>
      <c r="G249" s="278">
        <f t="shared" si="20"/>
        <v>0</v>
      </c>
    </row>
    <row r="250" spans="2:7" x14ac:dyDescent="0.2">
      <c r="B250" s="135"/>
      <c r="C250" s="1820" t="s">
        <v>1725</v>
      </c>
      <c r="D250" s="254" t="s">
        <v>149</v>
      </c>
      <c r="E250" s="255">
        <v>1</v>
      </c>
      <c r="F250" s="1382">
        <v>0</v>
      </c>
      <c r="G250" s="278">
        <f t="shared" si="20"/>
        <v>0</v>
      </c>
    </row>
    <row r="251" spans="2:7" x14ac:dyDescent="0.2">
      <c r="B251" s="135"/>
      <c r="C251" s="253" t="s">
        <v>845</v>
      </c>
      <c r="D251" s="254"/>
      <c r="E251" s="255"/>
      <c r="F251" s="256">
        <v>0</v>
      </c>
      <c r="G251" s="257"/>
    </row>
    <row r="252" spans="2:7" ht="24" x14ac:dyDescent="0.2">
      <c r="B252" s="655"/>
      <c r="C252" s="1379" t="s">
        <v>1679</v>
      </c>
      <c r="D252" s="1380" t="s">
        <v>149</v>
      </c>
      <c r="E252" s="1381">
        <v>1</v>
      </c>
      <c r="F252" s="1382">
        <v>0</v>
      </c>
      <c r="G252" s="1383">
        <f t="shared" ref="G252:G258" si="21">E252*F252</f>
        <v>0</v>
      </c>
    </row>
    <row r="253" spans="2:7" x14ac:dyDescent="0.2">
      <c r="B253" s="135"/>
      <c r="C253" s="1816" t="s">
        <v>239</v>
      </c>
      <c r="D253" s="254" t="s">
        <v>149</v>
      </c>
      <c r="E253" s="255">
        <v>3</v>
      </c>
      <c r="F253" s="1382">
        <v>0</v>
      </c>
      <c r="G253" s="278">
        <f t="shared" si="21"/>
        <v>0</v>
      </c>
    </row>
    <row r="254" spans="2:7" x14ac:dyDescent="0.2">
      <c r="B254" s="135"/>
      <c r="C254" s="1816" t="s">
        <v>240</v>
      </c>
      <c r="D254" s="254" t="s">
        <v>149</v>
      </c>
      <c r="E254" s="255">
        <v>3</v>
      </c>
      <c r="F254" s="1382">
        <v>0</v>
      </c>
      <c r="G254" s="278">
        <f t="shared" si="21"/>
        <v>0</v>
      </c>
    </row>
    <row r="255" spans="2:7" x14ac:dyDescent="0.2">
      <c r="B255" s="135"/>
      <c r="C255" s="1816" t="s">
        <v>241</v>
      </c>
      <c r="D255" s="254" t="s">
        <v>149</v>
      </c>
      <c r="E255" s="255">
        <v>3</v>
      </c>
      <c r="F255" s="1382">
        <v>0</v>
      </c>
      <c r="G255" s="278">
        <f t="shared" si="21"/>
        <v>0</v>
      </c>
    </row>
    <row r="256" spans="2:7" x14ac:dyDescent="0.2">
      <c r="B256" s="135"/>
      <c r="C256" s="1816" t="s">
        <v>242</v>
      </c>
      <c r="D256" s="254" t="s">
        <v>149</v>
      </c>
      <c r="E256" s="255">
        <v>3</v>
      </c>
      <c r="F256" s="1382">
        <v>0</v>
      </c>
      <c r="G256" s="278">
        <f t="shared" si="21"/>
        <v>0</v>
      </c>
    </row>
    <row r="257" spans="2:9" x14ac:dyDescent="0.2">
      <c r="B257" s="135"/>
      <c r="C257" s="1816" t="s">
        <v>227</v>
      </c>
      <c r="D257" s="254" t="s">
        <v>149</v>
      </c>
      <c r="E257" s="255">
        <v>1</v>
      </c>
      <c r="F257" s="1382">
        <v>0</v>
      </c>
      <c r="G257" s="278">
        <f t="shared" si="21"/>
        <v>0</v>
      </c>
    </row>
    <row r="258" spans="2:9" x14ac:dyDescent="0.2">
      <c r="B258" s="135"/>
      <c r="C258" s="1817" t="s">
        <v>198</v>
      </c>
      <c r="D258" s="254" t="s">
        <v>149</v>
      </c>
      <c r="E258" s="255">
        <v>1</v>
      </c>
      <c r="F258" s="1382">
        <v>0</v>
      </c>
      <c r="G258" s="278">
        <f t="shared" si="21"/>
        <v>0</v>
      </c>
    </row>
    <row r="259" spans="2:9" x14ac:dyDescent="0.2">
      <c r="B259" s="292" t="s">
        <v>243</v>
      </c>
      <c r="C259" s="247" t="s">
        <v>244</v>
      </c>
      <c r="D259" s="202"/>
      <c r="E259" s="248"/>
      <c r="F259" s="249"/>
      <c r="G259" s="205"/>
      <c r="I259" s="1393"/>
    </row>
    <row r="260" spans="2:9" x14ac:dyDescent="0.2">
      <c r="B260" s="655"/>
      <c r="C260" s="1394" t="s">
        <v>245</v>
      </c>
      <c r="D260" s="1375"/>
      <c r="E260" s="1376"/>
      <c r="F260" s="1395">
        <v>0</v>
      </c>
      <c r="G260" s="1396"/>
      <c r="I260" s="1397"/>
    </row>
    <row r="261" spans="2:9" ht="36" x14ac:dyDescent="0.2">
      <c r="B261" s="655"/>
      <c r="C261" s="1374" t="s">
        <v>246</v>
      </c>
      <c r="D261" s="1375" t="s">
        <v>149</v>
      </c>
      <c r="E261" s="1376">
        <v>2</v>
      </c>
      <c r="F261" s="1377">
        <v>0</v>
      </c>
      <c r="G261" s="1378">
        <f t="shared" ref="G261:G263" si="22">E261*F261</f>
        <v>0</v>
      </c>
      <c r="I261" s="1397"/>
    </row>
    <row r="262" spans="2:9" x14ac:dyDescent="0.2">
      <c r="B262" s="655"/>
      <c r="C262" s="1830" t="s">
        <v>247</v>
      </c>
      <c r="D262" s="1375" t="s">
        <v>149</v>
      </c>
      <c r="E262" s="1376">
        <v>2</v>
      </c>
      <c r="F262" s="1377">
        <v>0</v>
      </c>
      <c r="G262" s="1378">
        <f t="shared" si="22"/>
        <v>0</v>
      </c>
      <c r="I262" s="1397"/>
    </row>
    <row r="263" spans="2:9" x14ac:dyDescent="0.2">
      <c r="B263" s="655"/>
      <c r="C263" s="1831" t="s">
        <v>248</v>
      </c>
      <c r="D263" s="1375" t="s">
        <v>149</v>
      </c>
      <c r="E263" s="1376">
        <v>2</v>
      </c>
      <c r="F263" s="1377">
        <v>0</v>
      </c>
      <c r="G263" s="1378">
        <f t="shared" si="22"/>
        <v>0</v>
      </c>
      <c r="I263" s="1397"/>
    </row>
    <row r="264" spans="2:9" x14ac:dyDescent="0.2">
      <c r="B264" s="655"/>
      <c r="C264" s="1394" t="s">
        <v>1789</v>
      </c>
      <c r="D264" s="1375"/>
      <c r="E264" s="1376"/>
      <c r="F264" s="1395">
        <v>0</v>
      </c>
      <c r="G264" s="1396"/>
      <c r="I264" s="1397"/>
    </row>
    <row r="265" spans="2:9" ht="36" x14ac:dyDescent="0.2">
      <c r="B265" s="655"/>
      <c r="C265" s="1374" t="s">
        <v>1790</v>
      </c>
      <c r="D265" s="1375" t="s">
        <v>149</v>
      </c>
      <c r="E265" s="1376">
        <v>2</v>
      </c>
      <c r="F265" s="1377">
        <v>0</v>
      </c>
      <c r="G265" s="1378">
        <f t="shared" ref="G265:G267" si="23">E265*F265</f>
        <v>0</v>
      </c>
      <c r="I265" s="1397"/>
    </row>
    <row r="266" spans="2:9" x14ac:dyDescent="0.2">
      <c r="B266" s="655"/>
      <c r="C266" s="1830" t="s">
        <v>247</v>
      </c>
      <c r="D266" s="1375" t="s">
        <v>149</v>
      </c>
      <c r="E266" s="1376">
        <v>2</v>
      </c>
      <c r="F266" s="1377">
        <v>0</v>
      </c>
      <c r="G266" s="1378">
        <f t="shared" si="23"/>
        <v>0</v>
      </c>
      <c r="I266" s="1397"/>
    </row>
    <row r="267" spans="2:9" x14ac:dyDescent="0.2">
      <c r="B267" s="655"/>
      <c r="C267" s="1831" t="s">
        <v>248</v>
      </c>
      <c r="D267" s="1375" t="s">
        <v>149</v>
      </c>
      <c r="E267" s="1376">
        <v>2</v>
      </c>
      <c r="F267" s="1377">
        <v>0</v>
      </c>
      <c r="G267" s="1378">
        <f t="shared" si="23"/>
        <v>0</v>
      </c>
      <c r="I267" s="1397"/>
    </row>
    <row r="268" spans="2:9" x14ac:dyDescent="0.2">
      <c r="B268" s="655"/>
      <c r="C268" s="1394" t="s">
        <v>249</v>
      </c>
      <c r="D268" s="1375"/>
      <c r="E268" s="1376"/>
      <c r="F268" s="1395">
        <v>0</v>
      </c>
      <c r="G268" s="1396"/>
      <c r="I268" s="1397"/>
    </row>
    <row r="269" spans="2:9" ht="36" x14ac:dyDescent="0.2">
      <c r="B269" s="135"/>
      <c r="C269" s="262" t="s">
        <v>250</v>
      </c>
      <c r="D269" s="202" t="s">
        <v>149</v>
      </c>
      <c r="E269" s="248">
        <v>12</v>
      </c>
      <c r="F269" s="275">
        <v>0</v>
      </c>
      <c r="G269" s="276">
        <f t="shared" ref="G269:G271" si="24">E269*F269</f>
        <v>0</v>
      </c>
      <c r="I269" s="1393"/>
    </row>
    <row r="270" spans="2:9" x14ac:dyDescent="0.2">
      <c r="B270" s="135"/>
      <c r="C270" s="1814" t="s">
        <v>247</v>
      </c>
      <c r="D270" s="202" t="s">
        <v>149</v>
      </c>
      <c r="E270" s="248">
        <v>12</v>
      </c>
      <c r="F270" s="275">
        <v>0</v>
      </c>
      <c r="G270" s="276">
        <f t="shared" si="24"/>
        <v>0</v>
      </c>
      <c r="I270" s="1393"/>
    </row>
    <row r="271" spans="2:9" x14ac:dyDescent="0.2">
      <c r="B271" s="135"/>
      <c r="C271" s="1815" t="s">
        <v>198</v>
      </c>
      <c r="D271" s="202" t="s">
        <v>149</v>
      </c>
      <c r="E271" s="248">
        <v>12</v>
      </c>
      <c r="F271" s="275">
        <v>0</v>
      </c>
      <c r="G271" s="276">
        <f t="shared" si="24"/>
        <v>0</v>
      </c>
      <c r="I271" s="1393"/>
    </row>
    <row r="272" spans="2:9" x14ac:dyDescent="0.2">
      <c r="B272" s="135"/>
      <c r="C272" s="247" t="s">
        <v>1791</v>
      </c>
      <c r="D272" s="202"/>
      <c r="E272" s="248"/>
      <c r="F272" s="249">
        <v>0</v>
      </c>
      <c r="G272" s="205"/>
      <c r="I272" s="1393"/>
    </row>
    <row r="273" spans="2:9" ht="36" x14ac:dyDescent="0.2">
      <c r="B273" s="135"/>
      <c r="C273" s="262" t="s">
        <v>1792</v>
      </c>
      <c r="D273" s="202" t="s">
        <v>149</v>
      </c>
      <c r="E273" s="248">
        <v>2</v>
      </c>
      <c r="F273" s="275">
        <v>0</v>
      </c>
      <c r="G273" s="276">
        <f t="shared" ref="G273:G275" si="25">E273*F273</f>
        <v>0</v>
      </c>
      <c r="I273" s="1393"/>
    </row>
    <row r="274" spans="2:9" x14ac:dyDescent="0.2">
      <c r="B274" s="135"/>
      <c r="C274" s="1814" t="s">
        <v>247</v>
      </c>
      <c r="D274" s="202" t="s">
        <v>149</v>
      </c>
      <c r="E274" s="248">
        <v>2</v>
      </c>
      <c r="F274" s="275">
        <v>0</v>
      </c>
      <c r="G274" s="276">
        <f t="shared" si="25"/>
        <v>0</v>
      </c>
      <c r="I274" s="1393"/>
    </row>
    <row r="275" spans="2:9" x14ac:dyDescent="0.2">
      <c r="B275" s="135"/>
      <c r="C275" s="1821" t="s">
        <v>248</v>
      </c>
      <c r="D275" s="202" t="s">
        <v>149</v>
      </c>
      <c r="E275" s="248">
        <v>2</v>
      </c>
      <c r="F275" s="275">
        <v>0</v>
      </c>
      <c r="G275" s="276">
        <f t="shared" si="25"/>
        <v>0</v>
      </c>
      <c r="I275" s="1393"/>
    </row>
    <row r="276" spans="2:9" x14ac:dyDescent="0.2">
      <c r="B276" s="135"/>
      <c r="C276" s="247" t="s">
        <v>1754</v>
      </c>
      <c r="D276" s="202"/>
      <c r="E276" s="248"/>
      <c r="F276" s="249">
        <v>0</v>
      </c>
      <c r="G276" s="205"/>
      <c r="I276" s="1393"/>
    </row>
    <row r="277" spans="2:9" ht="36" x14ac:dyDescent="0.2">
      <c r="B277" s="135"/>
      <c r="C277" s="262" t="s">
        <v>1755</v>
      </c>
      <c r="D277" s="202" t="s">
        <v>149</v>
      </c>
      <c r="E277" s="248">
        <v>1</v>
      </c>
      <c r="F277" s="275">
        <v>0</v>
      </c>
      <c r="G277" s="276">
        <f t="shared" ref="G277:G279" si="26">E277*F277</f>
        <v>0</v>
      </c>
      <c r="I277" s="1393"/>
    </row>
    <row r="278" spans="2:9" x14ac:dyDescent="0.2">
      <c r="B278" s="135"/>
      <c r="C278" s="1814" t="s">
        <v>247</v>
      </c>
      <c r="D278" s="202" t="s">
        <v>149</v>
      </c>
      <c r="E278" s="248">
        <v>1</v>
      </c>
      <c r="F278" s="275">
        <v>0</v>
      </c>
      <c r="G278" s="276">
        <f t="shared" si="26"/>
        <v>0</v>
      </c>
      <c r="I278" s="1393"/>
    </row>
    <row r="279" spans="2:9" x14ac:dyDescent="0.2">
      <c r="B279" s="135"/>
      <c r="C279" s="1821" t="s">
        <v>248</v>
      </c>
      <c r="D279" s="202" t="s">
        <v>149</v>
      </c>
      <c r="E279" s="248">
        <v>1</v>
      </c>
      <c r="F279" s="275">
        <v>0</v>
      </c>
      <c r="G279" s="276">
        <f t="shared" si="26"/>
        <v>0</v>
      </c>
      <c r="I279" s="1393"/>
    </row>
    <row r="280" spans="2:9" x14ac:dyDescent="0.2">
      <c r="B280" s="135"/>
      <c r="C280" s="247" t="s">
        <v>849</v>
      </c>
      <c r="D280" s="202"/>
      <c r="E280" s="248"/>
      <c r="F280" s="249">
        <v>0</v>
      </c>
      <c r="G280" s="205"/>
      <c r="I280" s="1393"/>
    </row>
    <row r="281" spans="2:9" ht="36" x14ac:dyDescent="0.2">
      <c r="B281" s="135"/>
      <c r="C281" s="262" t="s">
        <v>850</v>
      </c>
      <c r="D281" s="202" t="s">
        <v>149</v>
      </c>
      <c r="E281" s="248">
        <v>26</v>
      </c>
      <c r="F281" s="275">
        <v>0</v>
      </c>
      <c r="G281" s="276">
        <f t="shared" ref="G281:G284" si="27">E281*F281</f>
        <v>0</v>
      </c>
      <c r="I281" s="1393"/>
    </row>
    <row r="282" spans="2:9" x14ac:dyDescent="0.2">
      <c r="B282" s="135"/>
      <c r="C282" s="1814" t="s">
        <v>247</v>
      </c>
      <c r="D282" s="202" t="s">
        <v>149</v>
      </c>
      <c r="E282" s="248">
        <v>26</v>
      </c>
      <c r="F282" s="275">
        <v>0</v>
      </c>
      <c r="G282" s="276">
        <f t="shared" si="27"/>
        <v>0</v>
      </c>
      <c r="I282" s="1393"/>
    </row>
    <row r="283" spans="2:9" x14ac:dyDescent="0.2">
      <c r="B283" s="135"/>
      <c r="C283" s="1815" t="s">
        <v>198</v>
      </c>
      <c r="D283" s="202" t="s">
        <v>149</v>
      </c>
      <c r="E283" s="248">
        <v>26</v>
      </c>
      <c r="F283" s="275">
        <v>0</v>
      </c>
      <c r="G283" s="276">
        <f t="shared" si="27"/>
        <v>0</v>
      </c>
      <c r="I283" s="1393"/>
    </row>
    <row r="284" spans="2:9" x14ac:dyDescent="0.2">
      <c r="B284" s="135"/>
      <c r="C284" s="1815" t="s">
        <v>1727</v>
      </c>
      <c r="D284" s="202" t="s">
        <v>149</v>
      </c>
      <c r="E284" s="248">
        <v>2</v>
      </c>
      <c r="F284" s="275">
        <v>0</v>
      </c>
      <c r="G284" s="276">
        <f t="shared" si="27"/>
        <v>0</v>
      </c>
      <c r="I284" s="1393"/>
    </row>
    <row r="285" spans="2:9" x14ac:dyDescent="0.2">
      <c r="B285" s="292" t="s">
        <v>251</v>
      </c>
      <c r="C285" s="280" t="s">
        <v>300</v>
      </c>
      <c r="D285" s="281"/>
      <c r="E285" s="282"/>
      <c r="F285" s="283"/>
      <c r="G285" s="284"/>
    </row>
    <row r="286" spans="2:9" ht="60" x14ac:dyDescent="0.2">
      <c r="B286" s="655"/>
      <c r="C286" s="1398" t="s">
        <v>301</v>
      </c>
      <c r="D286" s="1399" t="s">
        <v>149</v>
      </c>
      <c r="E286" s="1400">
        <v>45</v>
      </c>
      <c r="F286" s="1401">
        <v>0</v>
      </c>
      <c r="G286" s="1402">
        <f t="shared" ref="G286" si="28">E286*F286</f>
        <v>0</v>
      </c>
    </row>
    <row r="287" spans="2:9" s="136" customFormat="1" ht="25.5" customHeight="1" x14ac:dyDescent="0.2">
      <c r="B287" s="293" t="s">
        <v>17</v>
      </c>
      <c r="C287" s="294" t="s">
        <v>302</v>
      </c>
      <c r="D287" s="218"/>
      <c r="E287" s="203"/>
      <c r="F287" s="204"/>
      <c r="G287" s="290">
        <f>SUM(G93:G286)</f>
        <v>0</v>
      </c>
      <c r="H287" s="565"/>
    </row>
  </sheetData>
  <mergeCells count="9">
    <mergeCell ref="B91:G91"/>
    <mergeCell ref="B92:G92"/>
    <mergeCell ref="B104:B106"/>
    <mergeCell ref="C6:G6"/>
    <mergeCell ref="B40:G40"/>
    <mergeCell ref="B52:B54"/>
    <mergeCell ref="B68:B69"/>
    <mergeCell ref="B71:B72"/>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6" max="16383" man="1"/>
    <brk id="8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B158-2647-4C34-8F5E-08D13D38152D}">
  <sheetPr codeName="Sheet2">
    <tabColor rgb="FFFFC000"/>
  </sheetPr>
  <dimension ref="A2:L79"/>
  <sheetViews>
    <sheetView showZeros="0" topLeftCell="A33" zoomScale="110" zoomScaleNormal="110" workbookViewId="0">
      <selection activeCell="C45" sqref="C45"/>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701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795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10</v>
      </c>
      <c r="C15" s="340" t="s">
        <v>85</v>
      </c>
      <c r="D15" s="341"/>
      <c r="E15" s="342"/>
      <c r="F15" s="343"/>
      <c r="G15" s="20">
        <f>G34</f>
        <v>0</v>
      </c>
      <c r="H15" s="18"/>
      <c r="I15" s="331"/>
      <c r="J15" s="331"/>
      <c r="K15" s="331"/>
      <c r="L15" s="331"/>
    </row>
    <row r="16" spans="1:12" s="17" customFormat="1" ht="18.75" customHeight="1" x14ac:dyDescent="0.25">
      <c r="A16" s="331"/>
      <c r="B16" s="332" t="s">
        <v>12</v>
      </c>
      <c r="C16" s="340" t="s">
        <v>86</v>
      </c>
      <c r="D16" s="341"/>
      <c r="E16" s="342"/>
      <c r="F16" s="343"/>
      <c r="G16" s="20">
        <f>G50</f>
        <v>0</v>
      </c>
      <c r="H16" s="18"/>
      <c r="I16" s="331"/>
      <c r="J16" s="331"/>
      <c r="K16" s="331"/>
      <c r="L16" s="331"/>
    </row>
    <row r="17" spans="2:8" s="17" customFormat="1" ht="18.75" customHeight="1" x14ac:dyDescent="0.25">
      <c r="B17" s="332" t="s">
        <v>17</v>
      </c>
      <c r="C17" s="340" t="s">
        <v>87</v>
      </c>
      <c r="D17" s="341"/>
      <c r="E17" s="342"/>
      <c r="F17" s="343"/>
      <c r="G17" s="20">
        <f>G79</f>
        <v>0</v>
      </c>
      <c r="H17" s="18"/>
    </row>
    <row r="18" spans="2:8" s="17" customFormat="1" ht="18.75" customHeight="1" x14ac:dyDescent="0.25">
      <c r="B18" s="333"/>
      <c r="C18" s="344" t="s">
        <v>88</v>
      </c>
      <c r="D18" s="345"/>
      <c r="E18" s="346"/>
      <c r="F18" s="347"/>
      <c r="G18" s="19">
        <f>SUM(G15:G17)</f>
        <v>0</v>
      </c>
      <c r="H18" s="18"/>
    </row>
    <row r="19" spans="2:8" x14ac:dyDescent="0.2">
      <c r="B19" s="127"/>
      <c r="C19" s="183"/>
      <c r="D19" s="184"/>
      <c r="E19" s="185"/>
      <c r="F19" s="186"/>
      <c r="G19" s="187"/>
      <c r="H19" s="122"/>
    </row>
    <row r="21" spans="2:8" ht="24" x14ac:dyDescent="0.2">
      <c r="B21" s="128" t="s">
        <v>83</v>
      </c>
      <c r="C21" s="192" t="s">
        <v>89</v>
      </c>
      <c r="D21" s="193" t="s">
        <v>90</v>
      </c>
      <c r="E21" s="194" t="s">
        <v>91</v>
      </c>
      <c r="F21" s="195" t="s">
        <v>92</v>
      </c>
      <c r="G21" s="196" t="s">
        <v>93</v>
      </c>
      <c r="H21" s="122"/>
    </row>
    <row r="22" spans="2:8" x14ac:dyDescent="0.2">
      <c r="B22" s="129"/>
      <c r="C22" s="197"/>
      <c r="D22" s="198"/>
      <c r="E22" s="199"/>
      <c r="F22" s="200"/>
      <c r="G22" s="201"/>
      <c r="H22" s="122"/>
    </row>
    <row r="23" spans="2:8" s="16" customFormat="1" ht="20.25" x14ac:dyDescent="0.3">
      <c r="B23" s="303" t="s">
        <v>10</v>
      </c>
      <c r="C23" s="306" t="s">
        <v>85</v>
      </c>
      <c r="D23" s="305"/>
      <c r="E23" s="299"/>
      <c r="F23" s="300"/>
      <c r="G23" s="301"/>
      <c r="H23" s="302"/>
    </row>
    <row r="24" spans="2:8" ht="27.75" customHeight="1" x14ac:dyDescent="0.2">
      <c r="B24" s="129">
        <v>1</v>
      </c>
      <c r="C24" s="206" t="s">
        <v>796</v>
      </c>
      <c r="D24" s="207" t="s">
        <v>98</v>
      </c>
      <c r="E24" s="199">
        <v>1</v>
      </c>
      <c r="F24" s="44">
        <v>0</v>
      </c>
      <c r="G24" s="270">
        <f t="shared" ref="G24:G33" si="0">E24*F24</f>
        <v>0</v>
      </c>
      <c r="H24" s="122"/>
    </row>
    <row r="25" spans="2:8" x14ac:dyDescent="0.2">
      <c r="B25" s="129">
        <v>2</v>
      </c>
      <c r="C25" s="206" t="s">
        <v>96</v>
      </c>
      <c r="D25" s="10" t="s">
        <v>98</v>
      </c>
      <c r="E25" s="199">
        <f>E24</f>
        <v>1</v>
      </c>
      <c r="F25" s="44">
        <v>0</v>
      </c>
      <c r="G25" s="270">
        <f t="shared" si="0"/>
        <v>0</v>
      </c>
      <c r="H25" s="122"/>
    </row>
    <row r="26" spans="2:8" ht="53.25" customHeight="1" x14ac:dyDescent="0.2">
      <c r="B26" s="129">
        <v>3</v>
      </c>
      <c r="C26" s="206" t="s">
        <v>97</v>
      </c>
      <c r="D26" s="207" t="s">
        <v>98</v>
      </c>
      <c r="E26" s="228">
        <v>1</v>
      </c>
      <c r="F26" s="44">
        <v>0</v>
      </c>
      <c r="G26" s="270">
        <f t="shared" si="0"/>
        <v>0</v>
      </c>
      <c r="H26" s="122"/>
    </row>
    <row r="27" spans="2:8" ht="127.5" customHeight="1" x14ac:dyDescent="0.2">
      <c r="B27" s="129">
        <v>4</v>
      </c>
      <c r="C27" s="208" t="s">
        <v>99</v>
      </c>
      <c r="D27" s="209" t="s">
        <v>98</v>
      </c>
      <c r="E27" s="228">
        <v>1</v>
      </c>
      <c r="F27" s="44">
        <v>0</v>
      </c>
      <c r="G27" s="270">
        <f t="shared" si="0"/>
        <v>0</v>
      </c>
      <c r="H27" s="122"/>
    </row>
    <row r="28" spans="2:8" ht="30.75" customHeight="1" x14ac:dyDescent="0.2">
      <c r="B28" s="129">
        <v>5</v>
      </c>
      <c r="C28" s="208" t="s">
        <v>100</v>
      </c>
      <c r="D28" s="210" t="s">
        <v>98</v>
      </c>
      <c r="E28" s="228">
        <v>1</v>
      </c>
      <c r="F28" s="44">
        <v>0</v>
      </c>
      <c r="G28" s="270">
        <f t="shared" si="0"/>
        <v>0</v>
      </c>
      <c r="H28" s="122"/>
    </row>
    <row r="29" spans="2:8" ht="39.75" customHeight="1" x14ac:dyDescent="0.2">
      <c r="B29" s="129">
        <v>6</v>
      </c>
      <c r="C29" s="3165" t="s">
        <v>2590</v>
      </c>
      <c r="D29" s="10" t="s">
        <v>149</v>
      </c>
      <c r="E29" s="228">
        <v>1</v>
      </c>
      <c r="F29" s="44">
        <v>0</v>
      </c>
      <c r="G29" s="270">
        <f t="shared" si="0"/>
        <v>0</v>
      </c>
      <c r="H29" s="122"/>
    </row>
    <row r="30" spans="2:8" ht="26.25" customHeight="1" x14ac:dyDescent="0.2">
      <c r="B30" s="129">
        <v>7</v>
      </c>
      <c r="C30" s="3165" t="s">
        <v>2591</v>
      </c>
      <c r="D30" s="210" t="s">
        <v>98</v>
      </c>
      <c r="E30" s="228">
        <v>1</v>
      </c>
      <c r="F30" s="44">
        <v>0</v>
      </c>
      <c r="G30" s="270">
        <f t="shared" si="0"/>
        <v>0</v>
      </c>
      <c r="H30" s="122"/>
    </row>
    <row r="31" spans="2:8" ht="14.25" customHeight="1" x14ac:dyDescent="0.2">
      <c r="B31" s="129">
        <v>8</v>
      </c>
      <c r="C31" s="211" t="s">
        <v>105</v>
      </c>
      <c r="D31" s="210" t="s">
        <v>98</v>
      </c>
      <c r="E31" s="228">
        <v>1</v>
      </c>
      <c r="F31" s="44">
        <v>0</v>
      </c>
      <c r="G31" s="270">
        <f t="shared" si="0"/>
        <v>0</v>
      </c>
      <c r="H31" s="122"/>
    </row>
    <row r="32" spans="2:8" ht="38.25" customHeight="1" x14ac:dyDescent="0.2">
      <c r="B32" s="129">
        <v>9</v>
      </c>
      <c r="C32" s="212" t="s">
        <v>106</v>
      </c>
      <c r="D32" s="210" t="s">
        <v>98</v>
      </c>
      <c r="E32" s="45">
        <v>1</v>
      </c>
      <c r="F32" s="44">
        <v>0</v>
      </c>
      <c r="G32" s="270">
        <f t="shared" si="0"/>
        <v>0</v>
      </c>
      <c r="H32" s="122"/>
    </row>
    <row r="33" spans="1:9" ht="39.75" customHeight="1" x14ac:dyDescent="0.2">
      <c r="A33" s="121"/>
      <c r="B33" s="129">
        <v>10</v>
      </c>
      <c r="C33" s="307" t="s">
        <v>107</v>
      </c>
      <c r="D33" s="210" t="s">
        <v>98</v>
      </c>
      <c r="E33" s="45">
        <v>1</v>
      </c>
      <c r="F33" s="44">
        <v>0</v>
      </c>
      <c r="G33" s="270">
        <f t="shared" si="0"/>
        <v>0</v>
      </c>
      <c r="H33" s="122"/>
      <c r="I33" s="121"/>
    </row>
    <row r="34" spans="1:9" s="9" customFormat="1" ht="23.25" customHeight="1" x14ac:dyDescent="0.2">
      <c r="A34" s="147"/>
      <c r="B34" s="327" t="s">
        <v>10</v>
      </c>
      <c r="C34" s="214" t="s">
        <v>108</v>
      </c>
      <c r="D34" s="214"/>
      <c r="E34" s="215"/>
      <c r="F34" s="216"/>
      <c r="G34" s="290">
        <f>SUM(G24:G33)</f>
        <v>0</v>
      </c>
      <c r="H34" s="122"/>
      <c r="I34" s="147"/>
    </row>
    <row r="35" spans="1:9" x14ac:dyDescent="0.2">
      <c r="A35" s="121"/>
      <c r="B35" s="129"/>
      <c r="C35" s="197"/>
      <c r="D35" s="198"/>
      <c r="E35" s="199"/>
      <c r="F35" s="200"/>
      <c r="G35" s="201"/>
      <c r="H35" s="122"/>
      <c r="I35" s="121"/>
    </row>
    <row r="36" spans="1:9" ht="24" x14ac:dyDescent="0.2">
      <c r="A36" s="121"/>
      <c r="B36" s="128" t="s">
        <v>83</v>
      </c>
      <c r="C36" s="192" t="s">
        <v>89</v>
      </c>
      <c r="D36" s="193" t="s">
        <v>90</v>
      </c>
      <c r="E36" s="194" t="s">
        <v>91</v>
      </c>
      <c r="F36" s="195" t="s">
        <v>92</v>
      </c>
      <c r="G36" s="196" t="s">
        <v>93</v>
      </c>
      <c r="H36" s="122"/>
      <c r="I36" s="121"/>
    </row>
    <row r="37" spans="1:9" x14ac:dyDescent="0.2">
      <c r="A37" s="121"/>
      <c r="B37" s="129"/>
      <c r="C37" s="217"/>
      <c r="D37" s="207"/>
      <c r="E37" s="199"/>
      <c r="F37" s="200"/>
      <c r="G37" s="201"/>
      <c r="H37" s="122"/>
      <c r="I37" s="121"/>
    </row>
    <row r="38" spans="1:9" s="16" customFormat="1" ht="20.25" x14ac:dyDescent="0.3">
      <c r="A38" s="295"/>
      <c r="B38" s="303" t="s">
        <v>12</v>
      </c>
      <c r="C38" s="304" t="s">
        <v>109</v>
      </c>
      <c r="D38" s="298"/>
      <c r="E38" s="299"/>
      <c r="F38" s="300"/>
      <c r="G38" s="301"/>
      <c r="H38" s="122"/>
      <c r="I38" s="295"/>
    </row>
    <row r="39" spans="1:9" s="43" customFormat="1" ht="71.25" customHeight="1" x14ac:dyDescent="0.2">
      <c r="A39" s="130"/>
      <c r="B39" s="3184" t="s">
        <v>110</v>
      </c>
      <c r="C39" s="3185"/>
      <c r="D39" s="3185"/>
      <c r="E39" s="3185"/>
      <c r="F39" s="3185"/>
      <c r="G39" s="3186"/>
      <c r="H39" s="122"/>
      <c r="I39" s="130"/>
    </row>
    <row r="40" spans="1:9" ht="27.75" customHeight="1" x14ac:dyDescent="0.2">
      <c r="A40" s="147"/>
      <c r="B40" s="131">
        <v>1</v>
      </c>
      <c r="C40" s="311" t="s">
        <v>797</v>
      </c>
      <c r="D40" s="10" t="s">
        <v>117</v>
      </c>
      <c r="E40" s="199">
        <v>520</v>
      </c>
      <c r="F40" s="44">
        <v>0</v>
      </c>
      <c r="G40" s="270">
        <f t="shared" ref="G40:G49" si="1">E40*F40</f>
        <v>0</v>
      </c>
      <c r="H40" s="122"/>
      <c r="I40" s="132"/>
    </row>
    <row r="41" spans="1:9" ht="39" customHeight="1" x14ac:dyDescent="0.2">
      <c r="A41" s="121"/>
      <c r="B41" s="131">
        <v>2</v>
      </c>
      <c r="C41" s="206" t="s">
        <v>798</v>
      </c>
      <c r="D41" s="207" t="s">
        <v>95</v>
      </c>
      <c r="E41" s="199">
        <v>122</v>
      </c>
      <c r="F41" s="44">
        <v>0</v>
      </c>
      <c r="G41" s="270">
        <f t="shared" si="1"/>
        <v>0</v>
      </c>
      <c r="H41" s="122"/>
      <c r="I41" s="132"/>
    </row>
    <row r="42" spans="1:9" ht="39.75" customHeight="1" x14ac:dyDescent="0.2">
      <c r="A42" s="121"/>
      <c r="B42" s="131">
        <v>3</v>
      </c>
      <c r="C42" s="206" t="s">
        <v>799</v>
      </c>
      <c r="D42" s="209" t="s">
        <v>112</v>
      </c>
      <c r="E42" s="199">
        <v>4</v>
      </c>
      <c r="F42" s="44">
        <v>0</v>
      </c>
      <c r="G42" s="270">
        <f t="shared" si="1"/>
        <v>0</v>
      </c>
      <c r="H42" s="122"/>
      <c r="I42" s="133"/>
    </row>
    <row r="43" spans="1:9" ht="27" customHeight="1" x14ac:dyDescent="0.2">
      <c r="A43" s="121"/>
      <c r="B43" s="131">
        <v>4</v>
      </c>
      <c r="C43" s="206" t="s">
        <v>304</v>
      </c>
      <c r="D43" s="209" t="s">
        <v>112</v>
      </c>
      <c r="E43" s="199">
        <f>E24*0.3</f>
        <v>0.3</v>
      </c>
      <c r="F43" s="44">
        <v>0</v>
      </c>
      <c r="G43" s="270">
        <f t="shared" si="1"/>
        <v>0</v>
      </c>
      <c r="H43" s="122"/>
      <c r="I43" s="133"/>
    </row>
    <row r="44" spans="1:9" s="43" customFormat="1" ht="39" customHeight="1" x14ac:dyDescent="0.2">
      <c r="A44" s="130"/>
      <c r="B44" s="131">
        <v>5</v>
      </c>
      <c r="C44" s="314" t="s">
        <v>800</v>
      </c>
      <c r="D44" s="210" t="s">
        <v>112</v>
      </c>
      <c r="E44" s="199">
        <v>50.2</v>
      </c>
      <c r="F44" s="44">
        <v>0</v>
      </c>
      <c r="G44" s="270">
        <f t="shared" si="1"/>
        <v>0</v>
      </c>
      <c r="H44" s="122"/>
      <c r="I44" s="130"/>
    </row>
    <row r="45" spans="1:9" s="9" customFormat="1" ht="54" customHeight="1" x14ac:dyDescent="0.2">
      <c r="A45" s="147"/>
      <c r="B45" s="3187">
        <v>6</v>
      </c>
      <c r="C45" s="308" t="s">
        <v>122</v>
      </c>
      <c r="D45" s="210"/>
      <c r="E45" s="199"/>
      <c r="F45" s="44"/>
      <c r="G45" s="270"/>
      <c r="H45" s="122"/>
      <c r="I45" s="147"/>
    </row>
    <row r="46" spans="1:9" s="9" customFormat="1" ht="15" customHeight="1" x14ac:dyDescent="0.2">
      <c r="A46" s="147"/>
      <c r="B46" s="3189"/>
      <c r="C46" s="308" t="s">
        <v>305</v>
      </c>
      <c r="D46" s="207" t="s">
        <v>95</v>
      </c>
      <c r="E46" s="199">
        <v>10</v>
      </c>
      <c r="F46" s="44">
        <v>0</v>
      </c>
      <c r="G46" s="270">
        <f t="shared" si="1"/>
        <v>0</v>
      </c>
      <c r="H46" s="122"/>
      <c r="I46" s="147"/>
    </row>
    <row r="47" spans="1:9" ht="25.5" customHeight="1" x14ac:dyDescent="0.2">
      <c r="A47" s="121"/>
      <c r="B47" s="131">
        <v>7</v>
      </c>
      <c r="C47" s="206" t="s">
        <v>801</v>
      </c>
      <c r="D47" s="209" t="s">
        <v>95</v>
      </c>
      <c r="E47" s="199">
        <v>10</v>
      </c>
      <c r="F47" s="44">
        <v>0</v>
      </c>
      <c r="G47" s="270">
        <f t="shared" si="1"/>
        <v>0</v>
      </c>
      <c r="H47" s="122"/>
      <c r="I47" s="121"/>
    </row>
    <row r="48" spans="1:9" ht="65.25" customHeight="1" x14ac:dyDescent="0.2">
      <c r="A48" s="121"/>
      <c r="B48" s="131">
        <v>8</v>
      </c>
      <c r="C48" s="314" t="s">
        <v>706</v>
      </c>
      <c r="D48" s="209" t="s">
        <v>117</v>
      </c>
      <c r="E48" s="199">
        <v>502</v>
      </c>
      <c r="F48" s="44">
        <v>0</v>
      </c>
      <c r="G48" s="270">
        <f t="shared" si="1"/>
        <v>0</v>
      </c>
      <c r="H48" s="122"/>
      <c r="I48" s="121"/>
    </row>
    <row r="49" spans="1:8" ht="30" customHeight="1" x14ac:dyDescent="0.2">
      <c r="A49" s="121">
        <v>6</v>
      </c>
      <c r="B49" s="131">
        <v>9</v>
      </c>
      <c r="C49" s="206" t="s">
        <v>802</v>
      </c>
      <c r="D49" s="207" t="s">
        <v>117</v>
      </c>
      <c r="E49" s="199">
        <v>122</v>
      </c>
      <c r="F49" s="44">
        <v>0</v>
      </c>
      <c r="G49" s="270">
        <f t="shared" si="1"/>
        <v>0</v>
      </c>
      <c r="H49" s="122"/>
    </row>
    <row r="50" spans="1:8" s="9" customFormat="1" ht="21.75" customHeight="1" x14ac:dyDescent="0.2">
      <c r="A50" s="147"/>
      <c r="B50" s="327" t="s">
        <v>12</v>
      </c>
      <c r="C50" s="214" t="s">
        <v>157</v>
      </c>
      <c r="D50" s="224"/>
      <c r="E50" s="215"/>
      <c r="F50" s="216"/>
      <c r="G50" s="290">
        <f>SUM(G40:G49)</f>
        <v>0</v>
      </c>
      <c r="H50" s="122"/>
    </row>
    <row r="51" spans="1:8" x14ac:dyDescent="0.2">
      <c r="A51" s="121"/>
      <c r="B51" s="129"/>
      <c r="C51" s="197"/>
      <c r="D51" s="198"/>
      <c r="E51" s="199"/>
      <c r="F51" s="200"/>
      <c r="G51" s="201"/>
      <c r="H51" s="122"/>
    </row>
    <row r="52" spans="1:8" ht="24" x14ac:dyDescent="0.2">
      <c r="A52" s="121"/>
      <c r="B52" s="128" t="s">
        <v>83</v>
      </c>
      <c r="C52" s="192" t="s">
        <v>89</v>
      </c>
      <c r="D52" s="192" t="s">
        <v>90</v>
      </c>
      <c r="E52" s="194" t="s">
        <v>91</v>
      </c>
      <c r="F52" s="195" t="s">
        <v>92</v>
      </c>
      <c r="G52" s="196" t="s">
        <v>93</v>
      </c>
      <c r="H52" s="122"/>
    </row>
    <row r="53" spans="1:8" x14ac:dyDescent="0.2">
      <c r="A53" s="121"/>
      <c r="B53" s="129"/>
      <c r="C53" s="197"/>
      <c r="D53" s="207"/>
      <c r="E53" s="199"/>
      <c r="F53" s="200"/>
      <c r="G53" s="201"/>
      <c r="H53" s="122"/>
    </row>
    <row r="54" spans="1:8" s="16" customFormat="1" ht="24" customHeight="1" x14ac:dyDescent="0.3">
      <c r="A54" s="295"/>
      <c r="B54" s="296" t="s">
        <v>17</v>
      </c>
      <c r="C54" s="297" t="s">
        <v>158</v>
      </c>
      <c r="D54" s="298"/>
      <c r="E54" s="299"/>
      <c r="F54" s="300"/>
      <c r="G54" s="301"/>
      <c r="H54" s="122"/>
    </row>
    <row r="55" spans="1:8" s="24" customFormat="1" ht="18" customHeight="1" x14ac:dyDescent="0.2">
      <c r="A55" s="140"/>
      <c r="B55" s="143" t="s">
        <v>1</v>
      </c>
      <c r="C55" s="168"/>
      <c r="D55" s="170"/>
      <c r="E55" s="170"/>
      <c r="F55" s="170"/>
      <c r="G55" s="169"/>
      <c r="H55" s="122"/>
    </row>
    <row r="56" spans="1:8" s="24" customFormat="1" ht="18" customHeight="1" x14ac:dyDescent="0.25">
      <c r="A56" s="141"/>
      <c r="B56" s="144" t="s">
        <v>2</v>
      </c>
      <c r="C56" s="171"/>
      <c r="D56" s="172"/>
      <c r="E56" s="173"/>
      <c r="F56" s="173"/>
      <c r="G56" s="172"/>
      <c r="H56" s="122"/>
    </row>
    <row r="57" spans="1:8" s="24" customFormat="1" ht="18" customHeight="1" x14ac:dyDescent="0.2">
      <c r="A57" s="140"/>
      <c r="B57" s="143" t="s">
        <v>3</v>
      </c>
      <c r="C57" s="168"/>
      <c r="D57" s="170"/>
      <c r="E57" s="170"/>
      <c r="F57" s="170"/>
      <c r="G57" s="169"/>
      <c r="H57" s="122"/>
    </row>
    <row r="58" spans="1:8" s="24" customFormat="1" ht="18" customHeight="1" x14ac:dyDescent="0.25">
      <c r="A58" s="141"/>
      <c r="B58" s="144" t="s">
        <v>4</v>
      </c>
      <c r="C58" s="171"/>
      <c r="D58" s="173"/>
      <c r="E58" s="173"/>
      <c r="F58" s="173"/>
      <c r="G58" s="172"/>
      <c r="H58" s="122"/>
    </row>
    <row r="59" spans="1:8" s="43" customFormat="1" ht="18.75" customHeight="1" x14ac:dyDescent="0.2">
      <c r="A59" s="130"/>
      <c r="B59" s="3184" t="s">
        <v>159</v>
      </c>
      <c r="C59" s="3185"/>
      <c r="D59" s="3185"/>
      <c r="E59" s="3185"/>
      <c r="F59" s="3185"/>
      <c r="G59" s="3186"/>
      <c r="H59" s="122"/>
    </row>
    <row r="60" spans="1:8" ht="30" customHeight="1" x14ac:dyDescent="0.2">
      <c r="A60" s="121"/>
      <c r="B60" s="42">
        <v>1</v>
      </c>
      <c r="C60" s="225" t="s">
        <v>803</v>
      </c>
      <c r="D60" s="226"/>
      <c r="E60" s="199"/>
      <c r="F60" s="200"/>
      <c r="G60" s="201"/>
      <c r="H60" s="122"/>
    </row>
    <row r="61" spans="1:8" ht="30" customHeight="1" x14ac:dyDescent="0.2">
      <c r="A61" s="121"/>
      <c r="B61" s="40" t="s">
        <v>167</v>
      </c>
      <c r="C61" s="225" t="s">
        <v>162</v>
      </c>
      <c r="D61" s="226"/>
      <c r="E61" s="199"/>
      <c r="F61" s="200"/>
      <c r="G61" s="201"/>
      <c r="H61" s="122"/>
    </row>
    <row r="62" spans="1:8" s="9" customFormat="1" ht="19.5" customHeight="1" x14ac:dyDescent="0.2">
      <c r="A62" s="147"/>
      <c r="B62" s="41"/>
      <c r="C62" s="35" t="s">
        <v>165</v>
      </c>
      <c r="D62" s="226" t="s">
        <v>95</v>
      </c>
      <c r="E62" s="199">
        <v>40</v>
      </c>
      <c r="F62" s="269">
        <v>0</v>
      </c>
      <c r="G62" s="270">
        <f>E62*F62</f>
        <v>0</v>
      </c>
      <c r="H62" s="122"/>
    </row>
    <row r="63" spans="1:8" ht="40.5" customHeight="1" x14ac:dyDescent="0.2">
      <c r="A63" s="121"/>
      <c r="B63" s="40" t="s">
        <v>622</v>
      </c>
      <c r="C63" s="227" t="s">
        <v>172</v>
      </c>
      <c r="D63" s="226" t="s">
        <v>95</v>
      </c>
      <c r="E63" s="228">
        <v>40</v>
      </c>
      <c r="F63" s="269">
        <v>0</v>
      </c>
      <c r="G63" s="270">
        <f>E63*F63</f>
        <v>0</v>
      </c>
      <c r="H63" s="122"/>
    </row>
    <row r="64" spans="1:8" ht="41.25" customHeight="1" x14ac:dyDescent="0.2">
      <c r="A64" s="121"/>
      <c r="B64" s="40" t="s">
        <v>804</v>
      </c>
      <c r="C64" s="227" t="s">
        <v>174</v>
      </c>
      <c r="D64" s="209" t="s">
        <v>98</v>
      </c>
      <c r="E64" s="228">
        <v>1</v>
      </c>
      <c r="F64" s="269">
        <v>0</v>
      </c>
      <c r="G64" s="270">
        <f>E64*F64</f>
        <v>0</v>
      </c>
      <c r="H64" s="122"/>
    </row>
    <row r="65" spans="2:8" ht="27" customHeight="1" x14ac:dyDescent="0.2">
      <c r="B65" s="40" t="s">
        <v>805</v>
      </c>
      <c r="C65" s="227" t="s">
        <v>176</v>
      </c>
      <c r="D65" s="209" t="s">
        <v>98</v>
      </c>
      <c r="E65" s="228">
        <v>1</v>
      </c>
      <c r="F65" s="269">
        <v>0</v>
      </c>
      <c r="G65" s="270">
        <f>E65*F65</f>
        <v>0</v>
      </c>
      <c r="H65" s="122"/>
    </row>
    <row r="66" spans="2:8" ht="39" customHeight="1" x14ac:dyDescent="0.2">
      <c r="B66" s="40" t="s">
        <v>806</v>
      </c>
      <c r="C66" s="227" t="s">
        <v>178</v>
      </c>
      <c r="D66" s="209" t="s">
        <v>98</v>
      </c>
      <c r="E66" s="228">
        <v>1</v>
      </c>
      <c r="F66" s="269">
        <v>0</v>
      </c>
      <c r="G66" s="270">
        <f>E66*F66</f>
        <v>0</v>
      </c>
      <c r="H66" s="122"/>
    </row>
    <row r="67" spans="2:8" ht="27.75" customHeight="1" x14ac:dyDescent="0.2">
      <c r="B67" s="40" t="s">
        <v>633</v>
      </c>
      <c r="C67" s="37" t="s">
        <v>179</v>
      </c>
      <c r="D67" s="198"/>
      <c r="E67" s="199"/>
      <c r="F67" s="199"/>
      <c r="G67" s="201"/>
      <c r="H67" s="122"/>
    </row>
    <row r="68" spans="2:8" s="34" customFormat="1" x14ac:dyDescent="0.2">
      <c r="B68" s="39" t="s">
        <v>807</v>
      </c>
      <c r="C68" s="37" t="s">
        <v>808</v>
      </c>
      <c r="D68" s="198"/>
      <c r="E68" s="348"/>
      <c r="F68" s="349"/>
      <c r="G68" s="350"/>
      <c r="H68" s="122"/>
    </row>
    <row r="69" spans="2:8" s="34" customFormat="1" x14ac:dyDescent="0.2">
      <c r="B69" s="36"/>
      <c r="C69" s="37" t="s">
        <v>809</v>
      </c>
      <c r="D69" s="198"/>
      <c r="E69" s="348"/>
      <c r="F69" s="349">
        <v>0</v>
      </c>
      <c r="G69" s="350"/>
      <c r="H69" s="122"/>
    </row>
    <row r="70" spans="2:8" s="34" customFormat="1" ht="30" customHeight="1" x14ac:dyDescent="0.2">
      <c r="B70" s="36"/>
      <c r="C70" s="208" t="s">
        <v>810</v>
      </c>
      <c r="D70" s="198" t="s">
        <v>149</v>
      </c>
      <c r="E70" s="348">
        <v>1</v>
      </c>
      <c r="F70" s="351">
        <v>0</v>
      </c>
      <c r="G70" s="352">
        <f>E70*F70</f>
        <v>0</v>
      </c>
      <c r="H70" s="122"/>
    </row>
    <row r="71" spans="2:8" s="34" customFormat="1" x14ac:dyDescent="0.2">
      <c r="B71" s="36"/>
      <c r="C71" s="35" t="s">
        <v>811</v>
      </c>
      <c r="D71" s="198" t="s">
        <v>149</v>
      </c>
      <c r="E71" s="348">
        <v>1</v>
      </c>
      <c r="F71" s="351">
        <v>0</v>
      </c>
      <c r="G71" s="352">
        <f>E71*F71</f>
        <v>0</v>
      </c>
      <c r="H71" s="122"/>
    </row>
    <row r="72" spans="2:8" s="34" customFormat="1" x14ac:dyDescent="0.2">
      <c r="B72" s="36"/>
      <c r="C72" s="35" t="s">
        <v>247</v>
      </c>
      <c r="D72" s="198" t="s">
        <v>149</v>
      </c>
      <c r="E72" s="348">
        <v>1</v>
      </c>
      <c r="F72" s="351">
        <v>0</v>
      </c>
      <c r="G72" s="352">
        <f>E72*F72</f>
        <v>0</v>
      </c>
      <c r="H72" s="122"/>
    </row>
    <row r="73" spans="2:8" s="34" customFormat="1" x14ac:dyDescent="0.2">
      <c r="B73" s="36"/>
      <c r="C73" s="38" t="s">
        <v>198</v>
      </c>
      <c r="D73" s="198" t="s">
        <v>149</v>
      </c>
      <c r="E73" s="348">
        <v>1</v>
      </c>
      <c r="F73" s="351">
        <v>0</v>
      </c>
      <c r="G73" s="352">
        <f>E73*F73</f>
        <v>0</v>
      </c>
      <c r="H73" s="122"/>
    </row>
    <row r="74" spans="2:8" s="34" customFormat="1" x14ac:dyDescent="0.2">
      <c r="B74" s="36"/>
      <c r="C74" s="37" t="s">
        <v>812</v>
      </c>
      <c r="D74" s="198"/>
      <c r="E74" s="348"/>
      <c r="F74" s="351">
        <v>0</v>
      </c>
      <c r="G74" s="350"/>
      <c r="H74" s="122"/>
    </row>
    <row r="75" spans="2:8" s="34" customFormat="1" ht="29.25" customHeight="1" x14ac:dyDescent="0.2">
      <c r="B75" s="36"/>
      <c r="C75" s="208" t="s">
        <v>813</v>
      </c>
      <c r="D75" s="198" t="s">
        <v>149</v>
      </c>
      <c r="E75" s="348">
        <v>1</v>
      </c>
      <c r="F75" s="351">
        <v>0</v>
      </c>
      <c r="G75" s="352">
        <f>E75*F75</f>
        <v>0</v>
      </c>
      <c r="H75" s="122"/>
    </row>
    <row r="76" spans="2:8" s="34" customFormat="1" x14ac:dyDescent="0.2">
      <c r="B76" s="36"/>
      <c r="C76" s="35" t="s">
        <v>811</v>
      </c>
      <c r="D76" s="198" t="s">
        <v>149</v>
      </c>
      <c r="E76" s="348">
        <v>1</v>
      </c>
      <c r="F76" s="351">
        <v>0</v>
      </c>
      <c r="G76" s="352">
        <f>E76*F76</f>
        <v>0</v>
      </c>
      <c r="H76" s="122"/>
    </row>
    <row r="77" spans="2:8" s="34" customFormat="1" x14ac:dyDescent="0.2">
      <c r="B77" s="36"/>
      <c r="C77" s="35" t="s">
        <v>247</v>
      </c>
      <c r="D77" s="198" t="s">
        <v>149</v>
      </c>
      <c r="E77" s="348">
        <v>1</v>
      </c>
      <c r="F77" s="351">
        <v>0</v>
      </c>
      <c r="G77" s="352">
        <f>E77*F77</f>
        <v>0</v>
      </c>
      <c r="H77" s="122"/>
    </row>
    <row r="78" spans="2:8" s="34" customFormat="1" x14ac:dyDescent="0.2">
      <c r="B78" s="135"/>
      <c r="C78" s="211" t="s">
        <v>198</v>
      </c>
      <c r="D78" s="198" t="s">
        <v>149</v>
      </c>
      <c r="E78" s="348">
        <v>1</v>
      </c>
      <c r="F78" s="351">
        <v>0</v>
      </c>
      <c r="G78" s="352">
        <f>E78*F78</f>
        <v>0</v>
      </c>
      <c r="H78" s="122"/>
    </row>
    <row r="79" spans="2:8" s="9" customFormat="1" ht="25.5" customHeight="1" x14ac:dyDescent="0.25">
      <c r="B79" s="293" t="s">
        <v>17</v>
      </c>
      <c r="C79" s="294" t="s">
        <v>302</v>
      </c>
      <c r="D79" s="218"/>
      <c r="E79" s="203"/>
      <c r="F79" s="204"/>
      <c r="G79" s="290">
        <f>SUM(G61:G78)</f>
        <v>0</v>
      </c>
      <c r="H79" s="150"/>
    </row>
  </sheetData>
  <mergeCells count="3">
    <mergeCell ref="B39:G39"/>
    <mergeCell ref="B45:B46"/>
    <mergeCell ref="B59:G59"/>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19" max="16383" man="1"/>
    <brk id="35" max="16383" man="1"/>
    <brk id="5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5DC6-DE14-46AC-8D9E-581FAF2B2D68}">
  <sheetPr>
    <tabColor theme="0" tint="-0.14999847407452621"/>
  </sheetPr>
  <dimension ref="A2:L163"/>
  <sheetViews>
    <sheetView showZeros="0" topLeftCell="A57" zoomScale="110" zoomScaleNormal="110" zoomScaleSheetLayoutView="100" workbookViewId="0">
      <selection activeCell="C66" sqref="C66"/>
    </sheetView>
  </sheetViews>
  <sheetFormatPr defaultColWidth="10.42578125" defaultRowHeight="12.75" x14ac:dyDescent="0.2"/>
  <cols>
    <col min="1" max="1" width="4.42578125" style="121" customWidth="1"/>
    <col min="2" max="2" width="7.42578125" style="120" customWidth="1"/>
    <col min="3" max="3" width="43.570312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1793</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G75</f>
        <v>0</v>
      </c>
      <c r="H16" s="569"/>
    </row>
    <row r="17" spans="2:8" s="1792" customFormat="1" ht="18.75" customHeight="1" x14ac:dyDescent="0.25">
      <c r="B17" s="1793" t="s">
        <v>17</v>
      </c>
      <c r="C17" s="1794" t="s">
        <v>87</v>
      </c>
      <c r="D17" s="1795"/>
      <c r="E17" s="1796"/>
      <c r="F17" s="1797"/>
      <c r="G17" s="474">
        <f>G163</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1830</v>
      </c>
      <c r="F24" s="467">
        <v>0</v>
      </c>
      <c r="G24" s="352">
        <f t="shared" ref="G24" si="0">E24*F24</f>
        <v>0</v>
      </c>
    </row>
    <row r="25" spans="2:8" x14ac:dyDescent="0.2">
      <c r="B25" s="129">
        <v>2</v>
      </c>
      <c r="C25" s="206" t="s">
        <v>96</v>
      </c>
      <c r="D25" s="207" t="s">
        <v>95</v>
      </c>
      <c r="E25" s="353">
        <f>E24</f>
        <v>1830</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48" x14ac:dyDescent="0.2">
      <c r="B29" s="129">
        <v>6</v>
      </c>
      <c r="C29" s="1822" t="s">
        <v>102</v>
      </c>
      <c r="D29" s="210" t="s">
        <v>98</v>
      </c>
      <c r="E29" s="353">
        <v>3</v>
      </c>
      <c r="F29" s="467">
        <v>0</v>
      </c>
      <c r="G29" s="352">
        <f t="shared" si="1"/>
        <v>0</v>
      </c>
    </row>
    <row r="30" spans="2:8" ht="38.25" customHeight="1" x14ac:dyDescent="0.2">
      <c r="B30" s="129">
        <v>7</v>
      </c>
      <c r="C30" s="3165" t="s">
        <v>2590</v>
      </c>
      <c r="D30" s="210" t="s">
        <v>95</v>
      </c>
      <c r="E30" s="353">
        <v>1982</v>
      </c>
      <c r="F30" s="467">
        <v>0</v>
      </c>
      <c r="G30" s="352">
        <f t="shared" si="1"/>
        <v>0</v>
      </c>
      <c r="H30" s="571"/>
    </row>
    <row r="31" spans="2:8" ht="27.75" customHeight="1" x14ac:dyDescent="0.2">
      <c r="B31" s="129">
        <v>8</v>
      </c>
      <c r="C31" s="3165" t="s">
        <v>2591</v>
      </c>
      <c r="D31" s="210" t="s">
        <v>95</v>
      </c>
      <c r="E31" s="353">
        <v>1982</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4</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(1982*1*1.4*0.07)</f>
        <v>194.23599999999999</v>
      </c>
      <c r="F41" s="467">
        <v>0</v>
      </c>
      <c r="G41" s="352">
        <f t="shared" ref="G41:G74" si="2">E41*F41</f>
        <v>0</v>
      </c>
      <c r="I41" s="132"/>
    </row>
    <row r="42" spans="2:12" ht="39" customHeight="1" x14ac:dyDescent="0.2">
      <c r="B42" s="131">
        <v>2</v>
      </c>
      <c r="C42" s="206" t="s">
        <v>113</v>
      </c>
      <c r="D42" s="207" t="s">
        <v>95</v>
      </c>
      <c r="E42" s="353">
        <f>0.6*1982</f>
        <v>1189.2</v>
      </c>
      <c r="F42" s="467">
        <v>0</v>
      </c>
      <c r="G42" s="352">
        <f t="shared" si="2"/>
        <v>0</v>
      </c>
      <c r="I42" s="132"/>
    </row>
    <row r="43" spans="2:12" ht="36" x14ac:dyDescent="0.2">
      <c r="B43" s="131">
        <v>3</v>
      </c>
      <c r="C43" s="206" t="s">
        <v>114</v>
      </c>
      <c r="D43" s="209" t="s">
        <v>112</v>
      </c>
      <c r="E43" s="353">
        <f>((1982*1*1.4)-E41)*0.1</f>
        <v>258.0564</v>
      </c>
      <c r="F43" s="467">
        <v>0</v>
      </c>
      <c r="G43" s="352">
        <f t="shared" si="2"/>
        <v>0</v>
      </c>
      <c r="I43" s="133"/>
      <c r="K43" s="134"/>
      <c r="L43" s="134"/>
    </row>
    <row r="44" spans="2:12" ht="39.75" customHeight="1" x14ac:dyDescent="0.2">
      <c r="B44" s="131">
        <v>4</v>
      </c>
      <c r="C44" s="206" t="s">
        <v>115</v>
      </c>
      <c r="D44" s="209" t="s">
        <v>112</v>
      </c>
      <c r="E44" s="353">
        <f>((1982*1*1.4)-E41)*0.9</f>
        <v>2322.5075999999999</v>
      </c>
      <c r="F44" s="467">
        <v>0</v>
      </c>
      <c r="G44" s="352">
        <f t="shared" si="2"/>
        <v>0</v>
      </c>
      <c r="I44" s="133"/>
      <c r="J44" s="134"/>
    </row>
    <row r="45" spans="2:12" ht="29.25" customHeight="1" x14ac:dyDescent="0.2">
      <c r="B45" s="131">
        <v>5</v>
      </c>
      <c r="C45" s="311" t="s">
        <v>116</v>
      </c>
      <c r="D45" s="219" t="s">
        <v>117</v>
      </c>
      <c r="E45" s="471">
        <f>1982*1.4</f>
        <v>2774.7999999999997</v>
      </c>
      <c r="F45" s="467">
        <v>0</v>
      </c>
      <c r="G45" s="352">
        <f t="shared" si="2"/>
        <v>0</v>
      </c>
      <c r="I45" s="1364"/>
    </row>
    <row r="46" spans="2:12" ht="29.25" customHeight="1" x14ac:dyDescent="0.2">
      <c r="B46" s="131">
        <v>6</v>
      </c>
      <c r="C46" s="206" t="s">
        <v>118</v>
      </c>
      <c r="D46" s="209" t="s">
        <v>117</v>
      </c>
      <c r="E46" s="353">
        <f>1982*1</f>
        <v>1982</v>
      </c>
      <c r="F46" s="467">
        <v>0</v>
      </c>
      <c r="G46" s="352">
        <f t="shared" si="2"/>
        <v>0</v>
      </c>
      <c r="I46" s="1364"/>
    </row>
    <row r="47" spans="2:12" ht="27" customHeight="1" x14ac:dyDescent="0.2">
      <c r="B47" s="131">
        <v>7</v>
      </c>
      <c r="C47" s="206" t="s">
        <v>304</v>
      </c>
      <c r="D47" s="209" t="s">
        <v>112</v>
      </c>
      <c r="E47" s="353">
        <v>575.6</v>
      </c>
      <c r="F47" s="467">
        <v>0</v>
      </c>
      <c r="G47" s="352">
        <f t="shared" si="2"/>
        <v>0</v>
      </c>
      <c r="I47" s="133"/>
    </row>
    <row r="48" spans="2:12" ht="24" x14ac:dyDescent="0.2">
      <c r="B48" s="131">
        <v>8</v>
      </c>
      <c r="C48" s="206" t="s">
        <v>119</v>
      </c>
      <c r="D48" s="209" t="s">
        <v>112</v>
      </c>
      <c r="E48" s="353">
        <v>1383.9</v>
      </c>
      <c r="F48" s="467">
        <v>0</v>
      </c>
      <c r="G48" s="352">
        <f t="shared" si="2"/>
        <v>0</v>
      </c>
      <c r="I48" s="134"/>
    </row>
    <row r="49" spans="2:12" ht="40.5" customHeight="1" x14ac:dyDescent="0.2">
      <c r="B49" s="131">
        <v>9</v>
      </c>
      <c r="C49" s="208" t="s">
        <v>120</v>
      </c>
      <c r="D49" s="209" t="s">
        <v>112</v>
      </c>
      <c r="E49" s="353">
        <v>508.98</v>
      </c>
      <c r="F49" s="467">
        <v>0</v>
      </c>
      <c r="G49" s="352">
        <f t="shared" si="2"/>
        <v>0</v>
      </c>
      <c r="I49" s="1365"/>
      <c r="J49" s="1365"/>
      <c r="K49" s="1365"/>
    </row>
    <row r="50" spans="2:12" s="130" customFormat="1" ht="39" customHeight="1" x14ac:dyDescent="0.2">
      <c r="B50" s="131">
        <v>10</v>
      </c>
      <c r="C50" s="314" t="s">
        <v>121</v>
      </c>
      <c r="D50" s="210" t="s">
        <v>112</v>
      </c>
      <c r="E50" s="353">
        <v>347.09</v>
      </c>
      <c r="F50" s="467">
        <v>0</v>
      </c>
      <c r="G50" s="352">
        <f t="shared" si="2"/>
        <v>0</v>
      </c>
      <c r="H50" s="565"/>
      <c r="I50" s="1263"/>
      <c r="J50" s="1263"/>
      <c r="K50" s="1263"/>
      <c r="L50" s="1263"/>
    </row>
    <row r="51" spans="2:12" s="147" customFormat="1" ht="54" customHeight="1" x14ac:dyDescent="0.25">
      <c r="B51" s="3187">
        <v>11</v>
      </c>
      <c r="C51" s="308" t="s">
        <v>122</v>
      </c>
      <c r="D51" s="210"/>
      <c r="E51" s="353"/>
      <c r="F51" s="467"/>
      <c r="G51" s="352"/>
      <c r="H51" s="572"/>
      <c r="I51" s="490"/>
      <c r="J51" s="490"/>
    </row>
    <row r="52" spans="2:12" s="147" customFormat="1" ht="15" customHeight="1" x14ac:dyDescent="0.25">
      <c r="B52" s="3188"/>
      <c r="C52" s="308" t="s">
        <v>124</v>
      </c>
      <c r="D52" s="207" t="s">
        <v>95</v>
      </c>
      <c r="E52" s="353">
        <v>45</v>
      </c>
      <c r="F52" s="467">
        <v>0</v>
      </c>
      <c r="G52" s="352">
        <f t="shared" si="2"/>
        <v>0</v>
      </c>
      <c r="H52" s="572"/>
      <c r="I52" s="490"/>
    </row>
    <row r="53" spans="2:12" s="147" customFormat="1" ht="15" customHeight="1" x14ac:dyDescent="0.25">
      <c r="B53" s="3189"/>
      <c r="C53" s="308" t="s">
        <v>305</v>
      </c>
      <c r="D53" s="207" t="s">
        <v>95</v>
      </c>
      <c r="E53" s="353">
        <v>20</v>
      </c>
      <c r="F53" s="467">
        <v>0</v>
      </c>
      <c r="G53" s="352">
        <f t="shared" si="2"/>
        <v>0</v>
      </c>
      <c r="H53" s="572"/>
    </row>
    <row r="54" spans="2:12" ht="25.5" customHeight="1" x14ac:dyDescent="0.2">
      <c r="B54" s="131">
        <v>12</v>
      </c>
      <c r="C54" s="206" t="s">
        <v>125</v>
      </c>
      <c r="D54" s="209" t="s">
        <v>95</v>
      </c>
      <c r="E54" s="353">
        <v>603.79999999999995</v>
      </c>
      <c r="F54" s="467">
        <v>0</v>
      </c>
      <c r="G54" s="352">
        <f t="shared" si="2"/>
        <v>0</v>
      </c>
      <c r="H54" s="571"/>
    </row>
    <row r="55" spans="2:12" ht="16.5" customHeight="1" x14ac:dyDescent="0.2">
      <c r="B55" s="131">
        <v>13</v>
      </c>
      <c r="C55" s="206" t="s">
        <v>126</v>
      </c>
      <c r="D55" s="207" t="s">
        <v>117</v>
      </c>
      <c r="E55" s="353">
        <f>E54*1.25</f>
        <v>754.75</v>
      </c>
      <c r="F55" s="467">
        <v>0</v>
      </c>
      <c r="G55" s="352">
        <f t="shared" si="2"/>
        <v>0</v>
      </c>
      <c r="H55" s="571"/>
    </row>
    <row r="56" spans="2:12" ht="41.25" customHeight="1" x14ac:dyDescent="0.2">
      <c r="B56" s="131">
        <v>14</v>
      </c>
      <c r="C56" s="206" t="s">
        <v>127</v>
      </c>
      <c r="D56" s="207" t="s">
        <v>117</v>
      </c>
      <c r="E56" s="353">
        <f>E55</f>
        <v>754.75</v>
      </c>
      <c r="F56" s="467">
        <v>0</v>
      </c>
      <c r="G56" s="352">
        <f t="shared" si="2"/>
        <v>0</v>
      </c>
      <c r="H56" s="571"/>
      <c r="I56" s="1368"/>
    </row>
    <row r="57" spans="2:12" ht="65.25" customHeight="1" x14ac:dyDescent="0.2">
      <c r="B57" s="131">
        <v>15</v>
      </c>
      <c r="C57" s="314" t="s">
        <v>706</v>
      </c>
      <c r="D57" s="209" t="s">
        <v>117</v>
      </c>
      <c r="E57" s="353">
        <v>441.6</v>
      </c>
      <c r="F57" s="467">
        <v>0</v>
      </c>
      <c r="G57" s="352">
        <f t="shared" si="2"/>
        <v>0</v>
      </c>
      <c r="H57" s="571"/>
      <c r="I57" s="1370"/>
    </row>
    <row r="58" spans="2:12" ht="51.75" customHeight="1" x14ac:dyDescent="0.2">
      <c r="B58" s="312" t="s">
        <v>576</v>
      </c>
      <c r="C58" s="208" t="s">
        <v>129</v>
      </c>
      <c r="D58" s="209" t="s">
        <v>117</v>
      </c>
      <c r="E58" s="353">
        <v>207.85</v>
      </c>
      <c r="F58" s="467">
        <v>0</v>
      </c>
      <c r="G58" s="352">
        <f t="shared" si="2"/>
        <v>0</v>
      </c>
      <c r="H58" s="571"/>
    </row>
    <row r="59" spans="2:12" ht="64.5" customHeight="1" x14ac:dyDescent="0.2">
      <c r="B59" s="312" t="s">
        <v>578</v>
      </c>
      <c r="C59" s="208" t="s">
        <v>708</v>
      </c>
      <c r="D59" s="209" t="s">
        <v>117</v>
      </c>
      <c r="E59" s="353">
        <v>207.85</v>
      </c>
      <c r="F59" s="467">
        <v>0</v>
      </c>
      <c r="G59" s="352">
        <f t="shared" si="2"/>
        <v>0</v>
      </c>
      <c r="H59" s="571"/>
      <c r="I59" s="1365"/>
    </row>
    <row r="60" spans="2:12" ht="76.5" customHeight="1" x14ac:dyDescent="0.2">
      <c r="B60" s="312" t="s">
        <v>580</v>
      </c>
      <c r="C60" s="208" t="s">
        <v>711</v>
      </c>
      <c r="D60" s="209" t="s">
        <v>117</v>
      </c>
      <c r="E60" s="353">
        <v>105.3</v>
      </c>
      <c r="F60" s="467">
        <v>0</v>
      </c>
      <c r="G60" s="352">
        <f>E60*F60</f>
        <v>0</v>
      </c>
      <c r="H60" s="571"/>
    </row>
    <row r="61" spans="2:12" ht="38.25" customHeight="1" x14ac:dyDescent="0.2">
      <c r="B61" s="312" t="s">
        <v>582</v>
      </c>
      <c r="C61" s="206" t="s">
        <v>132</v>
      </c>
      <c r="D61" s="207" t="s">
        <v>117</v>
      </c>
      <c r="E61" s="353">
        <v>43</v>
      </c>
      <c r="F61" s="467">
        <v>0</v>
      </c>
      <c r="G61" s="352">
        <f t="shared" si="2"/>
        <v>0</v>
      </c>
    </row>
    <row r="62" spans="2:12" ht="14.25" customHeight="1" x14ac:dyDescent="0.2">
      <c r="B62" s="312" t="s">
        <v>584</v>
      </c>
      <c r="C62" s="206" t="s">
        <v>134</v>
      </c>
      <c r="D62" s="209" t="s">
        <v>112</v>
      </c>
      <c r="E62" s="353">
        <v>1390.9</v>
      </c>
      <c r="F62" s="467">
        <v>0</v>
      </c>
      <c r="G62" s="352">
        <f t="shared" si="2"/>
        <v>0</v>
      </c>
      <c r="I62" s="1365"/>
    </row>
    <row r="63" spans="2:12" ht="15.75" customHeight="1" x14ac:dyDescent="0.2">
      <c r="B63" s="312" t="s">
        <v>586</v>
      </c>
      <c r="C63" s="206" t="s">
        <v>135</v>
      </c>
      <c r="D63" s="209" t="s">
        <v>112</v>
      </c>
      <c r="E63" s="353">
        <f>E62</f>
        <v>1390.9</v>
      </c>
      <c r="F63" s="467">
        <v>0</v>
      </c>
      <c r="G63" s="352">
        <f t="shared" si="2"/>
        <v>0</v>
      </c>
    </row>
    <row r="64" spans="2:12" ht="27.75" customHeight="1" x14ac:dyDescent="0.2">
      <c r="B64" s="312" t="s">
        <v>588</v>
      </c>
      <c r="C64" s="206" t="s">
        <v>136</v>
      </c>
      <c r="D64" s="209" t="s">
        <v>117</v>
      </c>
      <c r="E64" s="353">
        <v>724.56</v>
      </c>
      <c r="F64" s="467">
        <v>0</v>
      </c>
      <c r="G64" s="352">
        <f t="shared" si="2"/>
        <v>0</v>
      </c>
    </row>
    <row r="65" spans="1:9" ht="30" customHeight="1" x14ac:dyDescent="0.2">
      <c r="B65" s="312" t="s">
        <v>590</v>
      </c>
      <c r="C65" s="206" t="s">
        <v>138</v>
      </c>
      <c r="D65" s="207" t="s">
        <v>117</v>
      </c>
      <c r="E65" s="353">
        <v>754</v>
      </c>
      <c r="F65" s="467">
        <v>0</v>
      </c>
      <c r="G65" s="352">
        <f t="shared" si="2"/>
        <v>0</v>
      </c>
    </row>
    <row r="66" spans="1:9" s="130" customFormat="1" ht="51.75" customHeight="1" x14ac:dyDescent="0.2">
      <c r="B66" s="313" t="s">
        <v>592</v>
      </c>
      <c r="C66" s="408" t="s">
        <v>139</v>
      </c>
      <c r="D66" s="221"/>
      <c r="E66" s="353"/>
      <c r="F66" s="467"/>
      <c r="G66" s="352"/>
      <c r="H66" s="565"/>
    </row>
    <row r="67" spans="1:9" s="130" customFormat="1" x14ac:dyDescent="0.2">
      <c r="B67" s="2723"/>
      <c r="C67" s="291" t="s">
        <v>713</v>
      </c>
      <c r="D67" s="221" t="s">
        <v>95</v>
      </c>
      <c r="E67" s="353">
        <v>66</v>
      </c>
      <c r="F67" s="467">
        <v>0</v>
      </c>
      <c r="G67" s="352">
        <f t="shared" si="2"/>
        <v>0</v>
      </c>
      <c r="H67" s="565"/>
    </row>
    <row r="68" spans="1:9" ht="39.75" customHeight="1" x14ac:dyDescent="0.2">
      <c r="B68" s="312">
        <v>25</v>
      </c>
      <c r="C68" s="409" t="s">
        <v>142</v>
      </c>
      <c r="D68" s="207" t="s">
        <v>117</v>
      </c>
      <c r="E68" s="353">
        <v>18</v>
      </c>
      <c r="F68" s="467">
        <v>0</v>
      </c>
      <c r="G68" s="352">
        <f t="shared" si="2"/>
        <v>0</v>
      </c>
      <c r="I68" s="1372"/>
    </row>
    <row r="69" spans="1:9" ht="25.5" customHeight="1" x14ac:dyDescent="0.2">
      <c r="B69" s="312" t="s">
        <v>596</v>
      </c>
      <c r="C69" s="409" t="s">
        <v>143</v>
      </c>
      <c r="D69" s="207" t="s">
        <v>95</v>
      </c>
      <c r="E69" s="353">
        <v>44</v>
      </c>
      <c r="F69" s="467">
        <v>0</v>
      </c>
      <c r="G69" s="352">
        <f t="shared" si="2"/>
        <v>0</v>
      </c>
      <c r="H69" s="571"/>
    </row>
    <row r="70" spans="1:9" ht="25.5" customHeight="1" x14ac:dyDescent="0.2">
      <c r="B70" s="131">
        <v>27</v>
      </c>
      <c r="C70" s="409" t="s">
        <v>718</v>
      </c>
      <c r="D70" s="207" t="s">
        <v>95</v>
      </c>
      <c r="E70" s="353">
        <v>26</v>
      </c>
      <c r="F70" s="467">
        <v>0</v>
      </c>
      <c r="G70" s="352">
        <f t="shared" si="2"/>
        <v>0</v>
      </c>
      <c r="H70" s="571"/>
    </row>
    <row r="71" spans="1:9" ht="29.25" customHeight="1" x14ac:dyDescent="0.2">
      <c r="B71" s="411">
        <v>28</v>
      </c>
      <c r="C71" s="410" t="s">
        <v>151</v>
      </c>
      <c r="D71" s="222" t="s">
        <v>112</v>
      </c>
      <c r="E71" s="472">
        <v>6.5</v>
      </c>
      <c r="F71" s="467">
        <v>0</v>
      </c>
      <c r="G71" s="352">
        <f t="shared" si="2"/>
        <v>0</v>
      </c>
    </row>
    <row r="72" spans="1:9" ht="36.75" customHeight="1" x14ac:dyDescent="0.2">
      <c r="B72" s="131">
        <v>29</v>
      </c>
      <c r="C72" s="1366" t="s">
        <v>152</v>
      </c>
      <c r="D72" s="1367" t="s">
        <v>149</v>
      </c>
      <c r="E72" s="1359">
        <v>15</v>
      </c>
      <c r="F72" s="467">
        <v>0</v>
      </c>
      <c r="G72" s="1361">
        <f t="shared" si="2"/>
        <v>0</v>
      </c>
    </row>
    <row r="73" spans="1:9" ht="30" customHeight="1" x14ac:dyDescent="0.2">
      <c r="B73" s="411">
        <v>30</v>
      </c>
      <c r="C73" s="223" t="s">
        <v>153</v>
      </c>
      <c r="D73" s="222" t="s">
        <v>112</v>
      </c>
      <c r="E73" s="472">
        <v>6</v>
      </c>
      <c r="F73" s="467">
        <v>0</v>
      </c>
      <c r="G73" s="352">
        <f t="shared" si="2"/>
        <v>0</v>
      </c>
    </row>
    <row r="74" spans="1:9" ht="28.5" customHeight="1" x14ac:dyDescent="0.2">
      <c r="B74" s="131">
        <v>31</v>
      </c>
      <c r="C74" s="223" t="s">
        <v>155</v>
      </c>
      <c r="D74" s="222" t="s">
        <v>156</v>
      </c>
      <c r="E74" s="472">
        <v>12</v>
      </c>
      <c r="F74" s="467">
        <v>0</v>
      </c>
      <c r="G74" s="352">
        <f t="shared" si="2"/>
        <v>0</v>
      </c>
    </row>
    <row r="75" spans="1:9" s="147" customFormat="1" ht="21.75" customHeight="1" x14ac:dyDescent="0.25">
      <c r="B75" s="327" t="s">
        <v>12</v>
      </c>
      <c r="C75" s="214" t="s">
        <v>157</v>
      </c>
      <c r="D75" s="224"/>
      <c r="E75" s="215"/>
      <c r="F75" s="216"/>
      <c r="G75" s="290">
        <f>SUM(G41:G74)</f>
        <v>0</v>
      </c>
      <c r="H75" s="150"/>
    </row>
    <row r="76" spans="1:9" x14ac:dyDescent="0.2">
      <c r="B76" s="129"/>
      <c r="C76" s="197"/>
      <c r="D76" s="198"/>
      <c r="E76" s="353"/>
      <c r="F76" s="358"/>
      <c r="G76" s="350"/>
    </row>
    <row r="77" spans="1:9" ht="24" x14ac:dyDescent="0.2">
      <c r="B77" s="128" t="s">
        <v>83</v>
      </c>
      <c r="C77" s="192" t="s">
        <v>89</v>
      </c>
      <c r="D77" s="192" t="s">
        <v>90</v>
      </c>
      <c r="E77" s="194" t="s">
        <v>91</v>
      </c>
      <c r="F77" s="195" t="s">
        <v>92</v>
      </c>
      <c r="G77" s="196" t="s">
        <v>93</v>
      </c>
    </row>
    <row r="78" spans="1:9" x14ac:dyDescent="0.2">
      <c r="B78" s="129"/>
      <c r="C78" s="197"/>
      <c r="D78" s="207"/>
      <c r="E78" s="353"/>
      <c r="F78" s="358"/>
      <c r="G78" s="350"/>
    </row>
    <row r="79" spans="1:9" s="295" customFormat="1" ht="20.25" x14ac:dyDescent="0.3">
      <c r="B79" s="296" t="s">
        <v>17</v>
      </c>
      <c r="C79" s="297" t="s">
        <v>158</v>
      </c>
      <c r="D79" s="298"/>
      <c r="E79" s="299"/>
      <c r="F79" s="300"/>
      <c r="G79" s="301"/>
      <c r="H79" s="570"/>
    </row>
    <row r="80" spans="1:9" s="139" customFormat="1" ht="18" customHeight="1" x14ac:dyDescent="0.2">
      <c r="A80" s="140"/>
      <c r="B80" s="143" t="s">
        <v>1</v>
      </c>
      <c r="C80" s="168"/>
      <c r="D80" s="170"/>
      <c r="E80" s="170"/>
      <c r="F80" s="170"/>
      <c r="G80" s="169"/>
    </row>
    <row r="81" spans="1:9" s="139" customFormat="1" ht="18" customHeight="1" x14ac:dyDescent="0.25">
      <c r="A81" s="141"/>
      <c r="B81" s="144" t="s">
        <v>2</v>
      </c>
      <c r="C81" s="171"/>
      <c r="D81" s="172"/>
      <c r="E81" s="173"/>
      <c r="F81" s="173"/>
      <c r="G81" s="172"/>
    </row>
    <row r="82" spans="1:9" s="139" customFormat="1" ht="18" customHeight="1" x14ac:dyDescent="0.2">
      <c r="A82" s="140"/>
      <c r="B82" s="143" t="s">
        <v>3</v>
      </c>
      <c r="C82" s="168"/>
      <c r="D82" s="170"/>
      <c r="E82" s="170"/>
      <c r="F82" s="170"/>
      <c r="G82" s="169"/>
    </row>
    <row r="83" spans="1:9" s="139" customFormat="1" ht="18" customHeight="1" x14ac:dyDescent="0.25">
      <c r="A83" s="141"/>
      <c r="B83" s="144" t="s">
        <v>4</v>
      </c>
      <c r="C83" s="171"/>
      <c r="D83" s="173"/>
      <c r="E83" s="173"/>
      <c r="F83" s="173"/>
      <c r="G83" s="172"/>
    </row>
    <row r="84" spans="1:9" s="130" customFormat="1" ht="18.75" customHeight="1" x14ac:dyDescent="0.2">
      <c r="B84" s="3184" t="s">
        <v>159</v>
      </c>
      <c r="C84" s="3185"/>
      <c r="D84" s="3185"/>
      <c r="E84" s="3185"/>
      <c r="F84" s="3185"/>
      <c r="G84" s="3186"/>
      <c r="H84" s="565"/>
    </row>
    <row r="85" spans="1:9" s="130" customFormat="1" ht="18.75" customHeight="1" x14ac:dyDescent="0.2">
      <c r="B85" s="3184" t="s">
        <v>160</v>
      </c>
      <c r="C85" s="3185"/>
      <c r="D85" s="3185"/>
      <c r="E85" s="3185"/>
      <c r="F85" s="3185"/>
      <c r="G85" s="3186"/>
      <c r="H85" s="565"/>
    </row>
    <row r="86" spans="1:9" s="130" customFormat="1" ht="18.75" customHeight="1" x14ac:dyDescent="0.2">
      <c r="B86" s="3184" t="s">
        <v>161</v>
      </c>
      <c r="C86" s="3185"/>
      <c r="D86" s="3185"/>
      <c r="E86" s="3185"/>
      <c r="F86" s="3185"/>
      <c r="G86" s="3186"/>
      <c r="H86" s="565"/>
    </row>
    <row r="87" spans="1:9" ht="30" customHeight="1" x14ac:dyDescent="0.2">
      <c r="B87" s="153">
        <v>1</v>
      </c>
      <c r="C87" s="1806" t="s">
        <v>162</v>
      </c>
      <c r="D87" s="226"/>
      <c r="E87" s="353"/>
      <c r="F87" s="358"/>
      <c r="G87" s="350"/>
    </row>
    <row r="88" spans="1:9" s="147" customFormat="1" ht="18.75" customHeight="1" x14ac:dyDescent="0.25">
      <c r="B88" s="148"/>
      <c r="C88" s="1807" t="s">
        <v>821</v>
      </c>
      <c r="D88" s="226" t="s">
        <v>95</v>
      </c>
      <c r="E88" s="353">
        <v>1571</v>
      </c>
      <c r="F88" s="467">
        <v>0</v>
      </c>
      <c r="G88" s="352">
        <f t="shared" ref="G88:G93" si="3">E88*F88</f>
        <v>0</v>
      </c>
      <c r="H88" s="150"/>
      <c r="I88" s="490"/>
    </row>
    <row r="89" spans="1:9" s="147" customFormat="1" ht="24.75" customHeight="1" x14ac:dyDescent="0.25">
      <c r="B89" s="148"/>
      <c r="C89" s="1807" t="s">
        <v>822</v>
      </c>
      <c r="D89" s="226" t="s">
        <v>95</v>
      </c>
      <c r="E89" s="353">
        <v>174</v>
      </c>
      <c r="F89" s="467">
        <v>0</v>
      </c>
      <c r="G89" s="352">
        <f t="shared" si="3"/>
        <v>0</v>
      </c>
      <c r="H89" s="150"/>
      <c r="I89" s="490"/>
    </row>
    <row r="90" spans="1:9" s="147" customFormat="1" ht="18.75" customHeight="1" x14ac:dyDescent="0.25">
      <c r="B90" s="148"/>
      <c r="C90" s="1807" t="s">
        <v>823</v>
      </c>
      <c r="D90" s="226" t="s">
        <v>95</v>
      </c>
      <c r="E90" s="353">
        <v>77</v>
      </c>
      <c r="F90" s="467">
        <v>0</v>
      </c>
      <c r="G90" s="352">
        <f t="shared" si="3"/>
        <v>0</v>
      </c>
      <c r="H90" s="150"/>
      <c r="I90" s="490"/>
    </row>
    <row r="91" spans="1:9" s="147" customFormat="1" ht="24.75" customHeight="1" x14ac:dyDescent="0.25">
      <c r="B91" s="148"/>
      <c r="C91" s="1807" t="s">
        <v>824</v>
      </c>
      <c r="D91" s="226" t="s">
        <v>95</v>
      </c>
      <c r="E91" s="353">
        <v>8</v>
      </c>
      <c r="F91" s="467">
        <v>0</v>
      </c>
      <c r="G91" s="352">
        <f t="shared" si="3"/>
        <v>0</v>
      </c>
      <c r="H91" s="150"/>
    </row>
    <row r="92" spans="1:9" s="147" customFormat="1" ht="18.75" customHeight="1" x14ac:dyDescent="0.25">
      <c r="B92" s="148"/>
      <c r="C92" s="1807" t="s">
        <v>165</v>
      </c>
      <c r="D92" s="226" t="s">
        <v>95</v>
      </c>
      <c r="E92" s="353">
        <v>137</v>
      </c>
      <c r="F92" s="467">
        <v>0</v>
      </c>
      <c r="G92" s="352">
        <f t="shared" si="3"/>
        <v>0</v>
      </c>
      <c r="H92" s="150"/>
      <c r="I92" s="490"/>
    </row>
    <row r="93" spans="1:9" s="130" customFormat="1" ht="24" x14ac:dyDescent="0.2">
      <c r="B93" s="148"/>
      <c r="C93" s="1807" t="s">
        <v>166</v>
      </c>
      <c r="D93" s="226" t="s">
        <v>95</v>
      </c>
      <c r="E93" s="353">
        <v>15</v>
      </c>
      <c r="F93" s="467">
        <v>0</v>
      </c>
      <c r="G93" s="352">
        <f t="shared" si="3"/>
        <v>0</v>
      </c>
      <c r="H93" s="565"/>
      <c r="I93" s="1263"/>
    </row>
    <row r="94" spans="1:9" s="130" customFormat="1" ht="36" x14ac:dyDescent="0.2">
      <c r="B94" s="3181" t="s">
        <v>167</v>
      </c>
      <c r="C94" s="310" t="s">
        <v>168</v>
      </c>
      <c r="D94" s="221"/>
      <c r="E94" s="353"/>
      <c r="F94" s="467"/>
      <c r="G94" s="352"/>
      <c r="H94" s="565"/>
    </row>
    <row r="95" spans="1:9" ht="12.75" customHeight="1" x14ac:dyDescent="0.2">
      <c r="B95" s="3182"/>
      <c r="C95" s="291" t="s">
        <v>169</v>
      </c>
      <c r="D95" s="221" t="s">
        <v>95</v>
      </c>
      <c r="E95" s="353">
        <v>50</v>
      </c>
      <c r="F95" s="467">
        <v>0</v>
      </c>
      <c r="G95" s="352">
        <f t="shared" ref="G95:G97" si="4">E95*F95</f>
        <v>0</v>
      </c>
    </row>
    <row r="96" spans="1:9" ht="12.75" customHeight="1" x14ac:dyDescent="0.2">
      <c r="B96" s="3183"/>
      <c r="C96" s="291" t="s">
        <v>170</v>
      </c>
      <c r="D96" s="221" t="s">
        <v>95</v>
      </c>
      <c r="E96" s="353">
        <v>25</v>
      </c>
      <c r="F96" s="467">
        <v>0</v>
      </c>
      <c r="G96" s="352">
        <f t="shared" si="4"/>
        <v>0</v>
      </c>
    </row>
    <row r="97" spans="2:8" ht="36" x14ac:dyDescent="0.2">
      <c r="B97" s="154">
        <v>2</v>
      </c>
      <c r="C97" s="227" t="s">
        <v>172</v>
      </c>
      <c r="D97" s="209" t="s">
        <v>95</v>
      </c>
      <c r="E97" s="348">
        <f>SUM(E88:E93)</f>
        <v>1982</v>
      </c>
      <c r="F97" s="467">
        <v>0</v>
      </c>
      <c r="G97" s="352">
        <f t="shared" si="4"/>
        <v>0</v>
      </c>
    </row>
    <row r="98" spans="2:8" ht="39" customHeight="1" x14ac:dyDescent="0.2">
      <c r="B98" s="309" t="s">
        <v>173</v>
      </c>
      <c r="C98" s="227" t="s">
        <v>174</v>
      </c>
      <c r="D98" s="209" t="s">
        <v>95</v>
      </c>
      <c r="E98" s="348">
        <f>SUM(E88:E93)</f>
        <v>1982</v>
      </c>
      <c r="F98" s="467">
        <v>0</v>
      </c>
      <c r="G98" s="352">
        <f>E98*F98</f>
        <v>0</v>
      </c>
    </row>
    <row r="99" spans="2:8" ht="27.75" customHeight="1" x14ac:dyDescent="0.2">
      <c r="B99" s="309" t="s">
        <v>175</v>
      </c>
      <c r="C99" s="227" t="s">
        <v>176</v>
      </c>
      <c r="D99" s="209" t="s">
        <v>95</v>
      </c>
      <c r="E99" s="348">
        <f>SUM(E88:E93)</f>
        <v>1982</v>
      </c>
      <c r="F99" s="467">
        <v>0</v>
      </c>
      <c r="G99" s="352">
        <f>E99*F99</f>
        <v>0</v>
      </c>
    </row>
    <row r="100" spans="2:8" ht="36" x14ac:dyDescent="0.2">
      <c r="B100" s="309" t="s">
        <v>177</v>
      </c>
      <c r="C100" s="227" t="s">
        <v>178</v>
      </c>
      <c r="D100" s="209" t="s">
        <v>95</v>
      </c>
      <c r="E100" s="348">
        <f>SUM(E88:E93)</f>
        <v>1982</v>
      </c>
      <c r="F100" s="467">
        <v>0</v>
      </c>
      <c r="G100" s="352">
        <f>E100*F100</f>
        <v>0</v>
      </c>
    </row>
    <row r="101" spans="2:8" ht="24" x14ac:dyDescent="0.2">
      <c r="B101" s="153">
        <v>3</v>
      </c>
      <c r="C101" s="264" t="s">
        <v>179</v>
      </c>
      <c r="D101" s="231"/>
      <c r="E101" s="232"/>
      <c r="F101" s="233">
        <v>0</v>
      </c>
      <c r="G101" s="234"/>
    </row>
    <row r="102" spans="2:8" s="147" customFormat="1" x14ac:dyDescent="0.25">
      <c r="B102" s="292" t="s">
        <v>180</v>
      </c>
      <c r="C102" s="1808" t="s">
        <v>181</v>
      </c>
      <c r="D102" s="231"/>
      <c r="E102" s="232"/>
      <c r="F102" s="233"/>
      <c r="G102" s="234"/>
      <c r="H102" s="150"/>
    </row>
    <row r="103" spans="2:8" s="147" customFormat="1" x14ac:dyDescent="0.25">
      <c r="B103" s="129"/>
      <c r="C103" s="1808" t="s">
        <v>185</v>
      </c>
      <c r="D103" s="231"/>
      <c r="E103" s="232"/>
      <c r="F103" s="233"/>
      <c r="G103" s="234"/>
      <c r="H103" s="150"/>
    </row>
    <row r="104" spans="2:8" x14ac:dyDescent="0.2">
      <c r="B104" s="152"/>
      <c r="C104" s="1810" t="s">
        <v>186</v>
      </c>
      <c r="D104" s="236" t="s">
        <v>149</v>
      </c>
      <c r="E104" s="232">
        <v>32</v>
      </c>
      <c r="F104" s="271">
        <v>0</v>
      </c>
      <c r="G104" s="272">
        <f t="shared" ref="G104:G105" si="5">E104*F104</f>
        <v>0</v>
      </c>
    </row>
    <row r="105" spans="2:8" s="147" customFormat="1" x14ac:dyDescent="0.25">
      <c r="B105" s="152"/>
      <c r="C105" s="1810" t="s">
        <v>187</v>
      </c>
      <c r="D105" s="236" t="s">
        <v>149</v>
      </c>
      <c r="E105" s="232">
        <v>6</v>
      </c>
      <c r="F105" s="271">
        <v>0</v>
      </c>
      <c r="G105" s="272">
        <f t="shared" si="5"/>
        <v>0</v>
      </c>
      <c r="H105" s="150"/>
    </row>
    <row r="106" spans="2:8" s="147" customFormat="1" x14ac:dyDescent="0.25">
      <c r="B106" s="292" t="s">
        <v>188</v>
      </c>
      <c r="C106" s="238" t="s">
        <v>189</v>
      </c>
      <c r="D106" s="239"/>
      <c r="E106" s="240"/>
      <c r="F106" s="241">
        <v>0</v>
      </c>
      <c r="G106" s="242"/>
      <c r="H106" s="150"/>
    </row>
    <row r="107" spans="2:8" s="136" customFormat="1" x14ac:dyDescent="0.2">
      <c r="B107" s="135"/>
      <c r="C107" s="238" t="s">
        <v>840</v>
      </c>
      <c r="D107" s="239"/>
      <c r="E107" s="240"/>
      <c r="F107" s="241">
        <v>0</v>
      </c>
      <c r="G107" s="242"/>
      <c r="H107" s="565"/>
    </row>
    <row r="108" spans="2:8" s="136" customFormat="1" x14ac:dyDescent="0.2">
      <c r="B108" s="135"/>
      <c r="C108" s="243" t="s">
        <v>841</v>
      </c>
      <c r="D108" s="239" t="s">
        <v>149</v>
      </c>
      <c r="E108" s="240">
        <v>1</v>
      </c>
      <c r="F108" s="273">
        <v>0</v>
      </c>
      <c r="G108" s="274">
        <f t="shared" ref="G108:G117" si="6">E108*F108</f>
        <v>0</v>
      </c>
      <c r="H108" s="565"/>
    </row>
    <row r="109" spans="2:8" s="136" customFormat="1" ht="36" x14ac:dyDescent="0.2">
      <c r="B109" s="135"/>
      <c r="C109" s="244" t="s">
        <v>285</v>
      </c>
      <c r="D109" s="239" t="s">
        <v>149</v>
      </c>
      <c r="E109" s="240">
        <v>1</v>
      </c>
      <c r="F109" s="273">
        <v>0</v>
      </c>
      <c r="G109" s="274">
        <f t="shared" si="6"/>
        <v>0</v>
      </c>
      <c r="H109" s="565"/>
    </row>
    <row r="110" spans="2:8" s="136" customFormat="1" x14ac:dyDescent="0.2">
      <c r="B110" s="135"/>
      <c r="C110" s="244" t="s">
        <v>193</v>
      </c>
      <c r="D110" s="239" t="s">
        <v>149</v>
      </c>
      <c r="E110" s="240">
        <v>1</v>
      </c>
      <c r="F110" s="273">
        <v>0</v>
      </c>
      <c r="G110" s="274">
        <f t="shared" si="6"/>
        <v>0</v>
      </c>
      <c r="H110" s="565"/>
    </row>
    <row r="111" spans="2:8" s="136" customFormat="1" x14ac:dyDescent="0.2">
      <c r="B111" s="135"/>
      <c r="C111" s="244" t="s">
        <v>194</v>
      </c>
      <c r="D111" s="239" t="s">
        <v>149</v>
      </c>
      <c r="E111" s="240">
        <v>1</v>
      </c>
      <c r="F111" s="273">
        <v>0</v>
      </c>
      <c r="G111" s="274">
        <f t="shared" si="6"/>
        <v>0</v>
      </c>
      <c r="H111" s="565"/>
    </row>
    <row r="112" spans="2:8" s="136" customFormat="1" x14ac:dyDescent="0.2">
      <c r="B112" s="135"/>
      <c r="C112" s="1811" t="s">
        <v>239</v>
      </c>
      <c r="D112" s="239" t="s">
        <v>149</v>
      </c>
      <c r="E112" s="240">
        <v>2</v>
      </c>
      <c r="F112" s="273">
        <v>0</v>
      </c>
      <c r="G112" s="274">
        <f t="shared" si="6"/>
        <v>0</v>
      </c>
      <c r="H112" s="565"/>
    </row>
    <row r="113" spans="2:8" s="136" customFormat="1" x14ac:dyDescent="0.2">
      <c r="B113" s="135"/>
      <c r="C113" s="1811" t="s">
        <v>240</v>
      </c>
      <c r="D113" s="239" t="s">
        <v>149</v>
      </c>
      <c r="E113" s="240">
        <v>2</v>
      </c>
      <c r="F113" s="273">
        <v>0</v>
      </c>
      <c r="G113" s="274">
        <f t="shared" si="6"/>
        <v>0</v>
      </c>
      <c r="H113" s="565"/>
    </row>
    <row r="114" spans="2:8" s="136" customFormat="1" x14ac:dyDescent="0.2">
      <c r="B114" s="135"/>
      <c r="C114" s="1811" t="s">
        <v>241</v>
      </c>
      <c r="D114" s="239" t="s">
        <v>149</v>
      </c>
      <c r="E114" s="240">
        <v>2</v>
      </c>
      <c r="F114" s="273">
        <v>0</v>
      </c>
      <c r="G114" s="274">
        <f t="shared" si="6"/>
        <v>0</v>
      </c>
      <c r="H114" s="565"/>
    </row>
    <row r="115" spans="2:8" s="136" customFormat="1" x14ac:dyDescent="0.2">
      <c r="B115" s="135"/>
      <c r="C115" s="1811" t="s">
        <v>242</v>
      </c>
      <c r="D115" s="239" t="s">
        <v>149</v>
      </c>
      <c r="E115" s="240">
        <v>2</v>
      </c>
      <c r="F115" s="273">
        <v>0</v>
      </c>
      <c r="G115" s="274">
        <f t="shared" si="6"/>
        <v>0</v>
      </c>
      <c r="H115" s="565"/>
    </row>
    <row r="116" spans="2:8" s="136" customFormat="1" x14ac:dyDescent="0.2">
      <c r="B116" s="135"/>
      <c r="C116" s="1811" t="s">
        <v>197</v>
      </c>
      <c r="D116" s="239" t="s">
        <v>149</v>
      </c>
      <c r="E116" s="240">
        <v>1</v>
      </c>
      <c r="F116" s="273">
        <v>0</v>
      </c>
      <c r="G116" s="274">
        <f t="shared" si="6"/>
        <v>0</v>
      </c>
      <c r="H116" s="565"/>
    </row>
    <row r="117" spans="2:8" s="136" customFormat="1" x14ac:dyDescent="0.2">
      <c r="B117" s="135"/>
      <c r="C117" s="1812" t="s">
        <v>198</v>
      </c>
      <c r="D117" s="239" t="s">
        <v>149</v>
      </c>
      <c r="E117" s="240">
        <v>1</v>
      </c>
      <c r="F117" s="273">
        <v>0</v>
      </c>
      <c r="G117" s="274">
        <f t="shared" si="6"/>
        <v>0</v>
      </c>
      <c r="H117" s="565"/>
    </row>
    <row r="118" spans="2:8" s="136" customFormat="1" x14ac:dyDescent="0.2">
      <c r="B118" s="292" t="s">
        <v>199</v>
      </c>
      <c r="C118" s="247" t="s">
        <v>200</v>
      </c>
      <c r="D118" s="202"/>
      <c r="E118" s="248"/>
      <c r="F118" s="249"/>
      <c r="G118" s="205"/>
      <c r="H118" s="565"/>
    </row>
    <row r="119" spans="2:8" s="136" customFormat="1" x14ac:dyDescent="0.2">
      <c r="B119" s="135"/>
      <c r="C119" s="247" t="s">
        <v>201</v>
      </c>
      <c r="D119" s="202"/>
      <c r="E119" s="248"/>
      <c r="F119" s="249">
        <v>0</v>
      </c>
      <c r="G119" s="205"/>
      <c r="H119" s="565"/>
    </row>
    <row r="120" spans="2:8" s="136" customFormat="1" ht="24" x14ac:dyDescent="0.2">
      <c r="B120" s="135"/>
      <c r="C120" s="250" t="s">
        <v>202</v>
      </c>
      <c r="D120" s="202" t="s">
        <v>149</v>
      </c>
      <c r="E120" s="248">
        <v>1</v>
      </c>
      <c r="F120" s="275">
        <v>0</v>
      </c>
      <c r="G120" s="276">
        <f t="shared" ref="G120:G122" si="7">E120*F120</f>
        <v>0</v>
      </c>
      <c r="H120" s="565"/>
    </row>
    <row r="121" spans="2:8" s="136" customFormat="1" x14ac:dyDescent="0.2">
      <c r="B121" s="135"/>
      <c r="C121" s="1814" t="s">
        <v>203</v>
      </c>
      <c r="D121" s="202" t="s">
        <v>149</v>
      </c>
      <c r="E121" s="248">
        <v>1</v>
      </c>
      <c r="F121" s="275">
        <v>0</v>
      </c>
      <c r="G121" s="276">
        <f t="shared" si="7"/>
        <v>0</v>
      </c>
      <c r="H121" s="565"/>
    </row>
    <row r="122" spans="2:8" s="136" customFormat="1" x14ac:dyDescent="0.2">
      <c r="B122" s="135"/>
      <c r="C122" s="1815" t="s">
        <v>198</v>
      </c>
      <c r="D122" s="202" t="s">
        <v>149</v>
      </c>
      <c r="E122" s="248">
        <v>1</v>
      </c>
      <c r="F122" s="275">
        <v>0</v>
      </c>
      <c r="G122" s="276">
        <f t="shared" si="7"/>
        <v>0</v>
      </c>
      <c r="H122" s="565"/>
    </row>
    <row r="123" spans="2:8" s="136" customFormat="1" x14ac:dyDescent="0.2">
      <c r="B123" s="292" t="s">
        <v>204</v>
      </c>
      <c r="C123" s="253" t="s">
        <v>205</v>
      </c>
      <c r="D123" s="254"/>
      <c r="E123" s="255"/>
      <c r="F123" s="256"/>
      <c r="G123" s="257"/>
      <c r="H123" s="565"/>
    </row>
    <row r="124" spans="2:8" s="136" customFormat="1" x14ac:dyDescent="0.2">
      <c r="B124" s="135"/>
      <c r="C124" s="253" t="s">
        <v>1794</v>
      </c>
      <c r="D124" s="254"/>
      <c r="E124" s="255"/>
      <c r="F124" s="256">
        <v>0</v>
      </c>
      <c r="G124" s="257"/>
      <c r="H124" s="565"/>
    </row>
    <row r="125" spans="2:8" s="136" customFormat="1" x14ac:dyDescent="0.2">
      <c r="B125" s="135"/>
      <c r="C125" s="258" t="s">
        <v>841</v>
      </c>
      <c r="D125" s="254" t="s">
        <v>149</v>
      </c>
      <c r="E125" s="255">
        <v>2</v>
      </c>
      <c r="F125" s="277">
        <v>0</v>
      </c>
      <c r="G125" s="278">
        <f t="shared" ref="G125:G141" si="8">E125*F125</f>
        <v>0</v>
      </c>
      <c r="H125" s="565"/>
    </row>
    <row r="126" spans="2:8" s="136" customFormat="1" x14ac:dyDescent="0.2">
      <c r="B126" s="135"/>
      <c r="C126" s="258" t="s">
        <v>213</v>
      </c>
      <c r="D126" s="254" t="s">
        <v>149</v>
      </c>
      <c r="E126" s="255">
        <v>4</v>
      </c>
      <c r="F126" s="277">
        <v>0</v>
      </c>
      <c r="G126" s="278">
        <f t="shared" si="8"/>
        <v>0</v>
      </c>
      <c r="H126" s="565"/>
    </row>
    <row r="127" spans="2:8" s="136" customFormat="1" x14ac:dyDescent="0.2">
      <c r="B127" s="135"/>
      <c r="C127" s="259" t="s">
        <v>843</v>
      </c>
      <c r="D127" s="254" t="s">
        <v>149</v>
      </c>
      <c r="E127" s="255">
        <v>2</v>
      </c>
      <c r="F127" s="277">
        <v>0</v>
      </c>
      <c r="G127" s="278">
        <f t="shared" si="8"/>
        <v>0</v>
      </c>
      <c r="H127" s="565"/>
    </row>
    <row r="128" spans="2:8" s="136" customFormat="1" x14ac:dyDescent="0.2">
      <c r="B128" s="135"/>
      <c r="C128" s="259" t="s">
        <v>210</v>
      </c>
      <c r="D128" s="254" t="s">
        <v>149</v>
      </c>
      <c r="E128" s="255">
        <v>2</v>
      </c>
      <c r="F128" s="277">
        <v>0</v>
      </c>
      <c r="G128" s="278">
        <f t="shared" si="8"/>
        <v>0</v>
      </c>
      <c r="H128" s="565"/>
    </row>
    <row r="129" spans="2:8" s="136" customFormat="1" x14ac:dyDescent="0.2">
      <c r="B129" s="135"/>
      <c r="C129" s="259" t="s">
        <v>211</v>
      </c>
      <c r="D129" s="254" t="s">
        <v>149</v>
      </c>
      <c r="E129" s="255">
        <v>2</v>
      </c>
      <c r="F129" s="277">
        <v>0</v>
      </c>
      <c r="G129" s="278">
        <f t="shared" si="8"/>
        <v>0</v>
      </c>
      <c r="H129" s="565"/>
    </row>
    <row r="130" spans="2:8" s="136" customFormat="1" x14ac:dyDescent="0.2">
      <c r="B130" s="135"/>
      <c r="C130" s="259" t="s">
        <v>212</v>
      </c>
      <c r="D130" s="254" t="s">
        <v>149</v>
      </c>
      <c r="E130" s="255">
        <v>2</v>
      </c>
      <c r="F130" s="277">
        <v>0</v>
      </c>
      <c r="G130" s="278">
        <f t="shared" si="8"/>
        <v>0</v>
      </c>
      <c r="H130" s="565"/>
    </row>
    <row r="131" spans="2:8" s="136" customFormat="1" x14ac:dyDescent="0.2">
      <c r="B131" s="135"/>
      <c r="C131" s="259" t="s">
        <v>213</v>
      </c>
      <c r="D131" s="254" t="s">
        <v>149</v>
      </c>
      <c r="E131" s="255">
        <v>2</v>
      </c>
      <c r="F131" s="277">
        <v>0</v>
      </c>
      <c r="G131" s="278">
        <f t="shared" si="8"/>
        <v>0</v>
      </c>
      <c r="H131" s="565"/>
    </row>
    <row r="132" spans="2:8" s="136" customFormat="1" x14ac:dyDescent="0.2">
      <c r="B132" s="135"/>
      <c r="C132" s="259" t="s">
        <v>214</v>
      </c>
      <c r="D132" s="254" t="s">
        <v>149</v>
      </c>
      <c r="E132" s="255">
        <v>2</v>
      </c>
      <c r="F132" s="277">
        <v>0</v>
      </c>
      <c r="G132" s="278">
        <f t="shared" si="8"/>
        <v>0</v>
      </c>
      <c r="H132" s="565"/>
    </row>
    <row r="133" spans="2:8" s="136" customFormat="1" x14ac:dyDescent="0.2">
      <c r="B133" s="135"/>
      <c r="C133" s="259" t="s">
        <v>215</v>
      </c>
      <c r="D133" s="254" t="s">
        <v>149</v>
      </c>
      <c r="E133" s="255">
        <v>2</v>
      </c>
      <c r="F133" s="277">
        <v>0</v>
      </c>
      <c r="G133" s="278">
        <f t="shared" si="8"/>
        <v>0</v>
      </c>
      <c r="H133" s="565"/>
    </row>
    <row r="134" spans="2:8" s="136" customFormat="1" x14ac:dyDescent="0.2">
      <c r="B134" s="135"/>
      <c r="C134" s="1816" t="s">
        <v>216</v>
      </c>
      <c r="D134" s="254" t="s">
        <v>149</v>
      </c>
      <c r="E134" s="255">
        <v>2</v>
      </c>
      <c r="F134" s="277">
        <v>0</v>
      </c>
      <c r="G134" s="278">
        <f t="shared" si="8"/>
        <v>0</v>
      </c>
      <c r="H134" s="565"/>
    </row>
    <row r="135" spans="2:8" s="136" customFormat="1" x14ac:dyDescent="0.2">
      <c r="B135" s="135"/>
      <c r="C135" s="1816" t="s">
        <v>329</v>
      </c>
      <c r="D135" s="254" t="s">
        <v>149</v>
      </c>
      <c r="E135" s="255">
        <v>2</v>
      </c>
      <c r="F135" s="277">
        <v>0</v>
      </c>
      <c r="G135" s="278">
        <f t="shared" si="8"/>
        <v>0</v>
      </c>
      <c r="H135" s="565"/>
    </row>
    <row r="136" spans="2:8" s="136" customFormat="1" x14ac:dyDescent="0.2">
      <c r="B136" s="135"/>
      <c r="C136" s="1816" t="s">
        <v>239</v>
      </c>
      <c r="D136" s="254" t="s">
        <v>149</v>
      </c>
      <c r="E136" s="255">
        <v>4</v>
      </c>
      <c r="F136" s="277">
        <v>0</v>
      </c>
      <c r="G136" s="278">
        <f t="shared" si="8"/>
        <v>0</v>
      </c>
      <c r="H136" s="565"/>
    </row>
    <row r="137" spans="2:8" s="136" customFormat="1" ht="12.75" customHeight="1" x14ac:dyDescent="0.2">
      <c r="B137" s="135"/>
      <c r="C137" s="1816" t="s">
        <v>241</v>
      </c>
      <c r="D137" s="254" t="s">
        <v>149</v>
      </c>
      <c r="E137" s="255">
        <v>4</v>
      </c>
      <c r="F137" s="277">
        <v>0</v>
      </c>
      <c r="G137" s="278">
        <f t="shared" si="8"/>
        <v>0</v>
      </c>
      <c r="H137" s="565"/>
    </row>
    <row r="138" spans="2:8" s="136" customFormat="1" x14ac:dyDescent="0.2">
      <c r="B138" s="135"/>
      <c r="C138" s="1816" t="s">
        <v>242</v>
      </c>
      <c r="D138" s="254" t="s">
        <v>149</v>
      </c>
      <c r="E138" s="255">
        <v>4</v>
      </c>
      <c r="F138" s="277">
        <v>0</v>
      </c>
      <c r="G138" s="278">
        <f t="shared" si="8"/>
        <v>0</v>
      </c>
      <c r="H138" s="565"/>
    </row>
    <row r="139" spans="2:8" s="136" customFormat="1" x14ac:dyDescent="0.2">
      <c r="B139" s="135"/>
      <c r="C139" s="1816" t="s">
        <v>219</v>
      </c>
      <c r="D139" s="254" t="s">
        <v>149</v>
      </c>
      <c r="E139" s="255">
        <v>2</v>
      </c>
      <c r="F139" s="277">
        <v>0</v>
      </c>
      <c r="G139" s="278">
        <f t="shared" si="8"/>
        <v>0</v>
      </c>
      <c r="H139" s="565"/>
    </row>
    <row r="140" spans="2:8" s="136" customFormat="1" x14ac:dyDescent="0.2">
      <c r="B140" s="135"/>
      <c r="C140" s="1816" t="s">
        <v>227</v>
      </c>
      <c r="D140" s="254" t="s">
        <v>149</v>
      </c>
      <c r="E140" s="255">
        <v>6</v>
      </c>
      <c r="F140" s="277">
        <v>0</v>
      </c>
      <c r="G140" s="278">
        <f t="shared" si="8"/>
        <v>0</v>
      </c>
      <c r="H140" s="565"/>
    </row>
    <row r="141" spans="2:8" s="136" customFormat="1" x14ac:dyDescent="0.2">
      <c r="B141" s="135"/>
      <c r="C141" s="1817" t="s">
        <v>198</v>
      </c>
      <c r="D141" s="254" t="s">
        <v>149</v>
      </c>
      <c r="E141" s="255">
        <v>2</v>
      </c>
      <c r="F141" s="277">
        <v>0</v>
      </c>
      <c r="G141" s="278">
        <f t="shared" si="8"/>
        <v>0</v>
      </c>
      <c r="H141" s="565"/>
    </row>
    <row r="142" spans="2:8" s="136" customFormat="1" x14ac:dyDescent="0.2">
      <c r="B142" s="292" t="s">
        <v>220</v>
      </c>
      <c r="C142" s="253" t="s">
        <v>231</v>
      </c>
      <c r="D142" s="254"/>
      <c r="E142" s="255"/>
      <c r="F142" s="256"/>
      <c r="G142" s="257"/>
      <c r="H142" s="565"/>
    </row>
    <row r="143" spans="2:8" s="136" customFormat="1" x14ac:dyDescent="0.2">
      <c r="B143" s="135"/>
      <c r="C143" s="253" t="s">
        <v>845</v>
      </c>
      <c r="D143" s="254"/>
      <c r="E143" s="255"/>
      <c r="F143" s="256">
        <v>0</v>
      </c>
      <c r="G143" s="257"/>
      <c r="H143" s="565"/>
    </row>
    <row r="144" spans="2:8" s="136" customFormat="1" ht="24" x14ac:dyDescent="0.2">
      <c r="B144" s="135"/>
      <c r="C144" s="258" t="s">
        <v>1679</v>
      </c>
      <c r="D144" s="254" t="s">
        <v>149</v>
      </c>
      <c r="E144" s="255">
        <v>3</v>
      </c>
      <c r="F144" s="277">
        <v>0</v>
      </c>
      <c r="G144" s="278">
        <f t="shared" ref="G144:G150" si="9">E144*F144</f>
        <v>0</v>
      </c>
      <c r="H144" s="565"/>
    </row>
    <row r="145" spans="2:8" s="136" customFormat="1" x14ac:dyDescent="0.2">
      <c r="B145" s="135"/>
      <c r="C145" s="1816" t="s">
        <v>239</v>
      </c>
      <c r="D145" s="254" t="s">
        <v>149</v>
      </c>
      <c r="E145" s="255">
        <v>9</v>
      </c>
      <c r="F145" s="277">
        <v>0</v>
      </c>
      <c r="G145" s="278">
        <f t="shared" si="9"/>
        <v>0</v>
      </c>
      <c r="H145" s="565"/>
    </row>
    <row r="146" spans="2:8" s="136" customFormat="1" x14ac:dyDescent="0.2">
      <c r="B146" s="135"/>
      <c r="C146" s="1816" t="s">
        <v>240</v>
      </c>
      <c r="D146" s="254" t="s">
        <v>149</v>
      </c>
      <c r="E146" s="255">
        <v>9</v>
      </c>
      <c r="F146" s="277">
        <v>0</v>
      </c>
      <c r="G146" s="278">
        <f t="shared" si="9"/>
        <v>0</v>
      </c>
      <c r="H146" s="565"/>
    </row>
    <row r="147" spans="2:8" s="136" customFormat="1" x14ac:dyDescent="0.2">
      <c r="B147" s="135"/>
      <c r="C147" s="1816" t="s">
        <v>241</v>
      </c>
      <c r="D147" s="254" t="s">
        <v>149</v>
      </c>
      <c r="E147" s="255">
        <v>9</v>
      </c>
      <c r="F147" s="277">
        <v>0</v>
      </c>
      <c r="G147" s="278">
        <f t="shared" si="9"/>
        <v>0</v>
      </c>
      <c r="H147" s="565"/>
    </row>
    <row r="148" spans="2:8" s="136" customFormat="1" x14ac:dyDescent="0.2">
      <c r="B148" s="135"/>
      <c r="C148" s="1816" t="s">
        <v>242</v>
      </c>
      <c r="D148" s="254" t="s">
        <v>149</v>
      </c>
      <c r="E148" s="255">
        <v>9</v>
      </c>
      <c r="F148" s="277">
        <v>0</v>
      </c>
      <c r="G148" s="278">
        <f t="shared" si="9"/>
        <v>0</v>
      </c>
      <c r="H148" s="565"/>
    </row>
    <row r="149" spans="2:8" s="136" customFormat="1" x14ac:dyDescent="0.2">
      <c r="B149" s="135"/>
      <c r="C149" s="1816" t="s">
        <v>227</v>
      </c>
      <c r="D149" s="254" t="s">
        <v>149</v>
      </c>
      <c r="E149" s="255">
        <v>3</v>
      </c>
      <c r="F149" s="277">
        <v>0</v>
      </c>
      <c r="G149" s="278">
        <f t="shared" si="9"/>
        <v>0</v>
      </c>
      <c r="H149" s="565"/>
    </row>
    <row r="150" spans="2:8" s="136" customFormat="1" x14ac:dyDescent="0.2">
      <c r="B150" s="135"/>
      <c r="C150" s="1817" t="s">
        <v>198</v>
      </c>
      <c r="D150" s="254" t="s">
        <v>149</v>
      </c>
      <c r="E150" s="255">
        <v>3</v>
      </c>
      <c r="F150" s="277">
        <v>0</v>
      </c>
      <c r="G150" s="278">
        <f t="shared" si="9"/>
        <v>0</v>
      </c>
      <c r="H150" s="565"/>
    </row>
    <row r="151" spans="2:8" s="136" customFormat="1" x14ac:dyDescent="0.2">
      <c r="B151" s="292" t="s">
        <v>330</v>
      </c>
      <c r="C151" s="247" t="s">
        <v>244</v>
      </c>
      <c r="D151" s="202"/>
      <c r="E151" s="248"/>
      <c r="F151" s="249"/>
      <c r="G151" s="205"/>
      <c r="H151" s="565"/>
    </row>
    <row r="152" spans="2:8" s="136" customFormat="1" x14ac:dyDescent="0.2">
      <c r="B152" s="135"/>
      <c r="C152" s="247" t="s">
        <v>826</v>
      </c>
      <c r="D152" s="202"/>
      <c r="E152" s="248"/>
      <c r="F152" s="249">
        <v>0</v>
      </c>
      <c r="G152" s="205"/>
      <c r="H152" s="565"/>
    </row>
    <row r="153" spans="2:8" s="136" customFormat="1" ht="36" x14ac:dyDescent="0.2">
      <c r="B153" s="135"/>
      <c r="C153" s="262" t="s">
        <v>827</v>
      </c>
      <c r="D153" s="202" t="s">
        <v>149</v>
      </c>
      <c r="E153" s="248">
        <v>1</v>
      </c>
      <c r="F153" s="275">
        <v>0</v>
      </c>
      <c r="G153" s="276">
        <f t="shared" ref="G153:G155" si="10">E153*F153</f>
        <v>0</v>
      </c>
      <c r="H153" s="565"/>
    </row>
    <row r="154" spans="2:8" s="136" customFormat="1" x14ac:dyDescent="0.2">
      <c r="B154" s="135"/>
      <c r="C154" s="1814" t="s">
        <v>247</v>
      </c>
      <c r="D154" s="202" t="s">
        <v>149</v>
      </c>
      <c r="E154" s="248">
        <v>1</v>
      </c>
      <c r="F154" s="275">
        <v>0</v>
      </c>
      <c r="G154" s="276">
        <f t="shared" si="10"/>
        <v>0</v>
      </c>
      <c r="H154" s="565"/>
    </row>
    <row r="155" spans="2:8" s="136" customFormat="1" x14ac:dyDescent="0.2">
      <c r="B155" s="135"/>
      <c r="C155" s="1821" t="s">
        <v>248</v>
      </c>
      <c r="D155" s="202" t="s">
        <v>149</v>
      </c>
      <c r="E155" s="248">
        <v>1</v>
      </c>
      <c r="F155" s="275">
        <v>0</v>
      </c>
      <c r="G155" s="276">
        <f t="shared" si="10"/>
        <v>0</v>
      </c>
      <c r="H155" s="565"/>
    </row>
    <row r="156" spans="2:8" s="136" customFormat="1" x14ac:dyDescent="0.2">
      <c r="B156" s="135"/>
      <c r="C156" s="247" t="s">
        <v>828</v>
      </c>
      <c r="D156" s="202"/>
      <c r="E156" s="248"/>
      <c r="F156" s="275">
        <v>0</v>
      </c>
      <c r="G156" s="205"/>
      <c r="H156" s="565"/>
    </row>
    <row r="157" spans="2:8" s="136" customFormat="1" ht="36" x14ac:dyDescent="0.2">
      <c r="B157" s="135"/>
      <c r="C157" s="262" t="s">
        <v>829</v>
      </c>
      <c r="D157" s="202" t="s">
        <v>149</v>
      </c>
      <c r="E157" s="248">
        <v>14</v>
      </c>
      <c r="F157" s="275">
        <v>0</v>
      </c>
      <c r="G157" s="276">
        <f t="shared" ref="G157:G160" si="11">E157*F157</f>
        <v>0</v>
      </c>
      <c r="H157" s="565"/>
    </row>
    <row r="158" spans="2:8" s="136" customFormat="1" x14ac:dyDescent="0.2">
      <c r="B158" s="135"/>
      <c r="C158" s="1814" t="s">
        <v>247</v>
      </c>
      <c r="D158" s="202" t="s">
        <v>149</v>
      </c>
      <c r="E158" s="248">
        <v>14</v>
      </c>
      <c r="F158" s="275">
        <v>0</v>
      </c>
      <c r="G158" s="276">
        <f t="shared" si="11"/>
        <v>0</v>
      </c>
      <c r="H158" s="565"/>
    </row>
    <row r="159" spans="2:8" s="136" customFormat="1" x14ac:dyDescent="0.2">
      <c r="B159" s="135"/>
      <c r="C159" s="1815" t="s">
        <v>198</v>
      </c>
      <c r="D159" s="202" t="s">
        <v>149</v>
      </c>
      <c r="E159" s="248">
        <v>14</v>
      </c>
      <c r="F159" s="275">
        <v>0</v>
      </c>
      <c r="G159" s="276">
        <f t="shared" si="11"/>
        <v>0</v>
      </c>
      <c r="H159" s="565"/>
    </row>
    <row r="160" spans="2:8" s="136" customFormat="1" x14ac:dyDescent="0.2">
      <c r="B160" s="135"/>
      <c r="C160" s="1815" t="s">
        <v>1727</v>
      </c>
      <c r="D160" s="202" t="s">
        <v>149</v>
      </c>
      <c r="E160" s="248">
        <v>2</v>
      </c>
      <c r="F160" s="275">
        <v>0</v>
      </c>
      <c r="G160" s="276">
        <f t="shared" si="11"/>
        <v>0</v>
      </c>
      <c r="H160" s="565"/>
    </row>
    <row r="161" spans="2:8" s="136" customFormat="1" x14ac:dyDescent="0.2">
      <c r="B161" s="292" t="s">
        <v>230</v>
      </c>
      <c r="C161" s="280" t="s">
        <v>300</v>
      </c>
      <c r="D161" s="281"/>
      <c r="E161" s="282"/>
      <c r="F161" s="283"/>
      <c r="G161" s="284"/>
      <c r="H161" s="565"/>
    </row>
    <row r="162" spans="2:8" s="136" customFormat="1" ht="60" x14ac:dyDescent="0.2">
      <c r="B162" s="135"/>
      <c r="C162" s="285" t="s">
        <v>301</v>
      </c>
      <c r="D162" s="286" t="s">
        <v>149</v>
      </c>
      <c r="E162" s="287">
        <v>15</v>
      </c>
      <c r="F162" s="288">
        <v>0</v>
      </c>
      <c r="G162" s="289">
        <f t="shared" ref="G162" si="12">E162*F162</f>
        <v>0</v>
      </c>
      <c r="H162" s="565"/>
    </row>
    <row r="163" spans="2:8" s="136" customFormat="1" ht="25.5" customHeight="1" x14ac:dyDescent="0.2">
      <c r="B163" s="293" t="s">
        <v>17</v>
      </c>
      <c r="C163" s="294" t="s">
        <v>302</v>
      </c>
      <c r="D163" s="218"/>
      <c r="E163" s="203"/>
      <c r="F163" s="204"/>
      <c r="G163" s="290">
        <f>SUM(G87:G162)</f>
        <v>0</v>
      </c>
      <c r="H163" s="565"/>
    </row>
  </sheetData>
  <mergeCells count="6">
    <mergeCell ref="B94:B96"/>
    <mergeCell ref="B40:G40"/>
    <mergeCell ref="B51:B53"/>
    <mergeCell ref="B84:G84"/>
    <mergeCell ref="B85:G85"/>
    <mergeCell ref="B86:G86"/>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6" max="16383" man="1"/>
    <brk id="122" max="6"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7DDF-3A29-4AD8-AE2A-E740E1FCA0AA}">
  <sheetPr>
    <tabColor theme="0" tint="-0.14999847407452621"/>
  </sheetPr>
  <dimension ref="A2:L230"/>
  <sheetViews>
    <sheetView showZeros="0" topLeftCell="A54" zoomScale="110" zoomScaleNormal="110" zoomScaleSheetLayoutView="100" workbookViewId="0">
      <selection activeCell="C66" sqref="C6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1795</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G76</f>
        <v>0</v>
      </c>
      <c r="H16" s="569"/>
    </row>
    <row r="17" spans="2:8" s="1792" customFormat="1" ht="18.75" customHeight="1" x14ac:dyDescent="0.25">
      <c r="B17" s="1793" t="s">
        <v>17</v>
      </c>
      <c r="C17" s="1794" t="s">
        <v>87</v>
      </c>
      <c r="D17" s="1795"/>
      <c r="E17" s="1796"/>
      <c r="F17" s="1797"/>
      <c r="G17" s="474">
        <f>G230</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2267</v>
      </c>
      <c r="F24" s="467">
        <v>0</v>
      </c>
      <c r="G24" s="352">
        <f t="shared" ref="G24" si="0">E24*F24</f>
        <v>0</v>
      </c>
    </row>
    <row r="25" spans="2:8" x14ac:dyDescent="0.2">
      <c r="B25" s="129">
        <v>2</v>
      </c>
      <c r="C25" s="206" t="s">
        <v>96</v>
      </c>
      <c r="D25" s="207" t="s">
        <v>95</v>
      </c>
      <c r="E25" s="353">
        <f>E24</f>
        <v>2267</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4</v>
      </c>
      <c r="F29" s="467">
        <v>0</v>
      </c>
      <c r="G29" s="352">
        <f t="shared" si="1"/>
        <v>0</v>
      </c>
    </row>
    <row r="30" spans="2:8" ht="36" x14ac:dyDescent="0.2">
      <c r="B30" s="129">
        <v>7</v>
      </c>
      <c r="C30" s="3165" t="s">
        <v>2590</v>
      </c>
      <c r="D30" s="210" t="s">
        <v>95</v>
      </c>
      <c r="E30" s="353">
        <v>2596</v>
      </c>
      <c r="F30" s="467">
        <v>0</v>
      </c>
      <c r="G30" s="352">
        <f t="shared" si="1"/>
        <v>0</v>
      </c>
      <c r="H30" s="571"/>
    </row>
    <row r="31" spans="2:8" ht="27.75" customHeight="1" x14ac:dyDescent="0.2">
      <c r="B31" s="129">
        <v>8</v>
      </c>
      <c r="C31" s="3165" t="s">
        <v>2591</v>
      </c>
      <c r="D31" s="210" t="s">
        <v>95</v>
      </c>
      <c r="E31" s="353">
        <v>2596</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1</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(2596*1*1.4*0.07)</f>
        <v>254.40799999999999</v>
      </c>
      <c r="F41" s="467">
        <v>0</v>
      </c>
      <c r="G41" s="352">
        <f t="shared" ref="G41:G71" si="2">E41*F41</f>
        <v>0</v>
      </c>
      <c r="I41" s="132"/>
    </row>
    <row r="42" spans="2:12" ht="39" customHeight="1" x14ac:dyDescent="0.2">
      <c r="B42" s="131">
        <v>2</v>
      </c>
      <c r="C42" s="206" t="s">
        <v>113</v>
      </c>
      <c r="D42" s="207" t="s">
        <v>95</v>
      </c>
      <c r="E42" s="353">
        <f>0.6*2596</f>
        <v>1557.6</v>
      </c>
      <c r="F42" s="467">
        <v>0</v>
      </c>
      <c r="G42" s="352">
        <f t="shared" si="2"/>
        <v>0</v>
      </c>
      <c r="I42" s="132"/>
    </row>
    <row r="43" spans="2:12" ht="36" x14ac:dyDescent="0.2">
      <c r="B43" s="131">
        <v>3</v>
      </c>
      <c r="C43" s="206" t="s">
        <v>114</v>
      </c>
      <c r="D43" s="209" t="s">
        <v>112</v>
      </c>
      <c r="E43" s="353">
        <f>((2596*1*1.4)-E41)*0.1</f>
        <v>337.99919999999997</v>
      </c>
      <c r="F43" s="467">
        <v>0</v>
      </c>
      <c r="G43" s="352">
        <f t="shared" si="2"/>
        <v>0</v>
      </c>
      <c r="I43" s="133"/>
      <c r="K43" s="134"/>
      <c r="L43" s="134"/>
    </row>
    <row r="44" spans="2:12" ht="39.75" customHeight="1" x14ac:dyDescent="0.2">
      <c r="B44" s="131">
        <v>4</v>
      </c>
      <c r="C44" s="206" t="s">
        <v>115</v>
      </c>
      <c r="D44" s="209" t="s">
        <v>112</v>
      </c>
      <c r="E44" s="353">
        <f>((2596*1*1.4)-E41)*0.9</f>
        <v>3041.9928</v>
      </c>
      <c r="F44" s="467">
        <v>0</v>
      </c>
      <c r="G44" s="352">
        <f t="shared" si="2"/>
        <v>0</v>
      </c>
      <c r="I44" s="133"/>
      <c r="J44" s="134"/>
    </row>
    <row r="45" spans="2:12" ht="29.25" customHeight="1" x14ac:dyDescent="0.2">
      <c r="B45" s="131">
        <v>5</v>
      </c>
      <c r="C45" s="311" t="s">
        <v>116</v>
      </c>
      <c r="D45" s="219" t="s">
        <v>117</v>
      </c>
      <c r="E45" s="471">
        <f>2596*1.4</f>
        <v>3634.3999999999996</v>
      </c>
      <c r="F45" s="467">
        <v>0</v>
      </c>
      <c r="G45" s="352">
        <f t="shared" si="2"/>
        <v>0</v>
      </c>
      <c r="I45" s="1364"/>
    </row>
    <row r="46" spans="2:12" ht="29.25" customHeight="1" x14ac:dyDescent="0.2">
      <c r="B46" s="131">
        <v>6</v>
      </c>
      <c r="C46" s="206" t="s">
        <v>118</v>
      </c>
      <c r="D46" s="209" t="s">
        <v>117</v>
      </c>
      <c r="E46" s="353">
        <f>2596*1</f>
        <v>2596</v>
      </c>
      <c r="F46" s="467">
        <v>0</v>
      </c>
      <c r="G46" s="352">
        <f t="shared" si="2"/>
        <v>0</v>
      </c>
      <c r="I46" s="1364"/>
    </row>
    <row r="47" spans="2:12" ht="27" customHeight="1" x14ac:dyDescent="0.2">
      <c r="B47" s="131">
        <v>7</v>
      </c>
      <c r="C47" s="206" t="s">
        <v>304</v>
      </c>
      <c r="D47" s="209" t="s">
        <v>112</v>
      </c>
      <c r="E47" s="353">
        <v>738.8</v>
      </c>
      <c r="F47" s="467">
        <v>0</v>
      </c>
      <c r="G47" s="352">
        <f t="shared" si="2"/>
        <v>0</v>
      </c>
      <c r="I47" s="133"/>
    </row>
    <row r="48" spans="2:12" ht="24" x14ac:dyDescent="0.2">
      <c r="B48" s="131">
        <v>8</v>
      </c>
      <c r="C48" s="206" t="s">
        <v>119</v>
      </c>
      <c r="D48" s="209" t="s">
        <v>112</v>
      </c>
      <c r="E48" s="353">
        <v>1864.85</v>
      </c>
      <c r="F48" s="467">
        <v>0</v>
      </c>
      <c r="G48" s="352">
        <f t="shared" si="2"/>
        <v>0</v>
      </c>
      <c r="I48" s="134"/>
    </row>
    <row r="49" spans="2:12" ht="40.5" customHeight="1" x14ac:dyDescent="0.2">
      <c r="B49" s="131">
        <v>9</v>
      </c>
      <c r="C49" s="208" t="s">
        <v>120</v>
      </c>
      <c r="D49" s="209" t="s">
        <v>112</v>
      </c>
      <c r="E49" s="353">
        <v>610.65</v>
      </c>
      <c r="F49" s="467">
        <v>0</v>
      </c>
      <c r="G49" s="352">
        <f t="shared" si="2"/>
        <v>0</v>
      </c>
      <c r="I49" s="1365"/>
      <c r="J49" s="1365"/>
      <c r="K49" s="1365"/>
    </row>
    <row r="50" spans="2:12" s="130" customFormat="1" ht="39" customHeight="1" x14ac:dyDescent="0.2">
      <c r="B50" s="131">
        <v>10</v>
      </c>
      <c r="C50" s="314" t="s">
        <v>121</v>
      </c>
      <c r="D50" s="210" t="s">
        <v>112</v>
      </c>
      <c r="E50" s="353">
        <v>420.1</v>
      </c>
      <c r="F50" s="467">
        <v>0</v>
      </c>
      <c r="G50" s="352">
        <f t="shared" si="2"/>
        <v>0</v>
      </c>
      <c r="H50" s="565"/>
      <c r="I50" s="1263"/>
      <c r="J50" s="1263"/>
      <c r="K50" s="1263"/>
      <c r="L50" s="1263"/>
    </row>
    <row r="51" spans="2:12" s="147" customFormat="1" ht="54" customHeight="1" x14ac:dyDescent="0.25">
      <c r="B51" s="3187">
        <v>11</v>
      </c>
      <c r="C51" s="308" t="s">
        <v>122</v>
      </c>
      <c r="D51" s="210"/>
      <c r="E51" s="353"/>
      <c r="F51" s="467"/>
      <c r="G51" s="352"/>
      <c r="H51" s="572"/>
      <c r="I51" s="490"/>
      <c r="J51" s="490"/>
    </row>
    <row r="52" spans="2:12" s="147" customFormat="1" ht="15" customHeight="1" x14ac:dyDescent="0.25">
      <c r="B52" s="3188"/>
      <c r="C52" s="308" t="s">
        <v>124</v>
      </c>
      <c r="D52" s="207" t="s">
        <v>95</v>
      </c>
      <c r="E52" s="353">
        <v>90</v>
      </c>
      <c r="F52" s="467">
        <v>0</v>
      </c>
      <c r="G52" s="352">
        <f t="shared" si="2"/>
        <v>0</v>
      </c>
      <c r="H52" s="572"/>
      <c r="I52" s="490"/>
    </row>
    <row r="53" spans="2:12" s="147" customFormat="1" ht="15" customHeight="1" x14ac:dyDescent="0.25">
      <c r="B53" s="3189"/>
      <c r="C53" s="308" t="s">
        <v>305</v>
      </c>
      <c r="D53" s="207" t="s">
        <v>95</v>
      </c>
      <c r="E53" s="353">
        <v>35</v>
      </c>
      <c r="F53" s="467">
        <v>0</v>
      </c>
      <c r="G53" s="352">
        <f t="shared" si="2"/>
        <v>0</v>
      </c>
      <c r="H53" s="572"/>
    </row>
    <row r="54" spans="2:12" ht="25.5" customHeight="1" x14ac:dyDescent="0.2">
      <c r="B54" s="131">
        <v>12</v>
      </c>
      <c r="C54" s="206" t="s">
        <v>125</v>
      </c>
      <c r="D54" s="209" t="s">
        <v>95</v>
      </c>
      <c r="E54" s="353">
        <v>789.8</v>
      </c>
      <c r="F54" s="467">
        <v>0</v>
      </c>
      <c r="G54" s="352">
        <f t="shared" si="2"/>
        <v>0</v>
      </c>
      <c r="H54" s="571"/>
    </row>
    <row r="55" spans="2:12" ht="16.5" customHeight="1" x14ac:dyDescent="0.2">
      <c r="B55" s="131">
        <v>13</v>
      </c>
      <c r="C55" s="206" t="s">
        <v>126</v>
      </c>
      <c r="D55" s="207" t="s">
        <v>117</v>
      </c>
      <c r="E55" s="353">
        <f>E54*1.2</f>
        <v>947.75999999999988</v>
      </c>
      <c r="F55" s="467">
        <v>0</v>
      </c>
      <c r="G55" s="352">
        <f t="shared" si="2"/>
        <v>0</v>
      </c>
      <c r="H55" s="571"/>
    </row>
    <row r="56" spans="2:12" ht="41.25" customHeight="1" x14ac:dyDescent="0.2">
      <c r="B56" s="131">
        <v>14</v>
      </c>
      <c r="C56" s="206" t="s">
        <v>127</v>
      </c>
      <c r="D56" s="207" t="s">
        <v>117</v>
      </c>
      <c r="E56" s="353">
        <f>E55</f>
        <v>947.75999999999988</v>
      </c>
      <c r="F56" s="467">
        <v>0</v>
      </c>
      <c r="G56" s="352">
        <f t="shared" si="2"/>
        <v>0</v>
      </c>
      <c r="H56" s="571"/>
    </row>
    <row r="57" spans="2:12" ht="65.25" customHeight="1" x14ac:dyDescent="0.2">
      <c r="B57" s="131">
        <v>15</v>
      </c>
      <c r="C57" s="314" t="s">
        <v>706</v>
      </c>
      <c r="D57" s="209" t="s">
        <v>117</v>
      </c>
      <c r="E57" s="353">
        <v>638.46</v>
      </c>
      <c r="F57" s="467">
        <v>0</v>
      </c>
      <c r="G57" s="352">
        <f t="shared" si="2"/>
        <v>0</v>
      </c>
      <c r="H57" s="571"/>
      <c r="I57" s="1370"/>
    </row>
    <row r="58" spans="2:12" ht="51.75" customHeight="1" x14ac:dyDescent="0.2">
      <c r="B58" s="312" t="s">
        <v>576</v>
      </c>
      <c r="C58" s="208" t="s">
        <v>129</v>
      </c>
      <c r="D58" s="209" t="s">
        <v>117</v>
      </c>
      <c r="E58" s="353">
        <v>133.69999999999999</v>
      </c>
      <c r="F58" s="467">
        <v>0</v>
      </c>
      <c r="G58" s="352">
        <f t="shared" si="2"/>
        <v>0</v>
      </c>
      <c r="H58" s="571"/>
      <c r="I58" s="1365"/>
    </row>
    <row r="59" spans="2:12" ht="64.5" customHeight="1" x14ac:dyDescent="0.2">
      <c r="B59" s="312" t="s">
        <v>578</v>
      </c>
      <c r="C59" s="208" t="s">
        <v>708</v>
      </c>
      <c r="D59" s="209" t="s">
        <v>117</v>
      </c>
      <c r="E59" s="353">
        <v>133.69999999999999</v>
      </c>
      <c r="F59" s="467">
        <v>0</v>
      </c>
      <c r="G59" s="352">
        <f t="shared" si="2"/>
        <v>0</v>
      </c>
      <c r="H59" s="571"/>
      <c r="I59" s="1365"/>
    </row>
    <row r="60" spans="2:12" ht="76.5" customHeight="1" x14ac:dyDescent="0.2">
      <c r="B60" s="312" t="s">
        <v>580</v>
      </c>
      <c r="C60" s="208" t="s">
        <v>711</v>
      </c>
      <c r="D60" s="209" t="s">
        <v>117</v>
      </c>
      <c r="E60" s="353">
        <v>175.6</v>
      </c>
      <c r="F60" s="467">
        <v>0</v>
      </c>
      <c r="G60" s="352">
        <f>E60*F60</f>
        <v>0</v>
      </c>
      <c r="H60" s="571"/>
    </row>
    <row r="61" spans="2:12" ht="38.25" customHeight="1" x14ac:dyDescent="0.2">
      <c r="B61" s="312" t="s">
        <v>582</v>
      </c>
      <c r="C61" s="206" t="s">
        <v>132</v>
      </c>
      <c r="D61" s="207" t="s">
        <v>117</v>
      </c>
      <c r="E61" s="353">
        <v>154.5</v>
      </c>
      <c r="F61" s="467">
        <v>0</v>
      </c>
      <c r="G61" s="352">
        <f t="shared" si="2"/>
        <v>0</v>
      </c>
    </row>
    <row r="62" spans="2:12" ht="14.25" customHeight="1" x14ac:dyDescent="0.2">
      <c r="B62" s="312" t="s">
        <v>584</v>
      </c>
      <c r="C62" s="206" t="s">
        <v>134</v>
      </c>
      <c r="D62" s="209" t="s">
        <v>112</v>
      </c>
      <c r="E62" s="353">
        <v>1769.55</v>
      </c>
      <c r="F62" s="467">
        <v>0</v>
      </c>
      <c r="G62" s="352">
        <f t="shared" si="2"/>
        <v>0</v>
      </c>
      <c r="I62" s="1365"/>
    </row>
    <row r="63" spans="2:12" ht="15.75" customHeight="1" x14ac:dyDescent="0.2">
      <c r="B63" s="312" t="s">
        <v>586</v>
      </c>
      <c r="C63" s="206" t="s">
        <v>135</v>
      </c>
      <c r="D63" s="209" t="s">
        <v>112</v>
      </c>
      <c r="E63" s="353">
        <f>E62</f>
        <v>1769.55</v>
      </c>
      <c r="F63" s="467">
        <v>0</v>
      </c>
      <c r="G63" s="352">
        <f t="shared" si="2"/>
        <v>0</v>
      </c>
    </row>
    <row r="64" spans="2:12" ht="27.75" customHeight="1" x14ac:dyDescent="0.2">
      <c r="B64" s="312" t="s">
        <v>588</v>
      </c>
      <c r="C64" s="206" t="s">
        <v>136</v>
      </c>
      <c r="D64" s="209" t="s">
        <v>117</v>
      </c>
      <c r="E64" s="353">
        <v>947.6</v>
      </c>
      <c r="F64" s="467">
        <v>0</v>
      </c>
      <c r="G64" s="352">
        <f t="shared" si="2"/>
        <v>0</v>
      </c>
    </row>
    <row r="65" spans="2:9" ht="30" customHeight="1" x14ac:dyDescent="0.2">
      <c r="B65" s="312" t="s">
        <v>590</v>
      </c>
      <c r="C65" s="206" t="s">
        <v>138</v>
      </c>
      <c r="D65" s="207" t="s">
        <v>117</v>
      </c>
      <c r="E65" s="353">
        <v>1228</v>
      </c>
      <c r="F65" s="467">
        <v>0</v>
      </c>
      <c r="G65" s="352">
        <f t="shared" si="2"/>
        <v>0</v>
      </c>
    </row>
    <row r="66" spans="2:9" ht="39.75" customHeight="1" x14ac:dyDescent="0.2">
      <c r="B66" s="313" t="s">
        <v>592</v>
      </c>
      <c r="C66" s="409" t="s">
        <v>309</v>
      </c>
      <c r="D66" s="207"/>
      <c r="E66" s="353"/>
      <c r="F66" s="467"/>
      <c r="G66" s="352"/>
    </row>
    <row r="67" spans="2:9" s="130" customFormat="1" x14ac:dyDescent="0.2">
      <c r="B67" s="2723"/>
      <c r="C67" s="291" t="s">
        <v>715</v>
      </c>
      <c r="D67" s="221" t="s">
        <v>95</v>
      </c>
      <c r="E67" s="353">
        <v>95</v>
      </c>
      <c r="F67" s="467">
        <v>0</v>
      </c>
      <c r="G67" s="352">
        <f t="shared" ref="G67" si="3">E67*F67</f>
        <v>0</v>
      </c>
      <c r="H67" s="565"/>
    </row>
    <row r="68" spans="2:9" ht="39.75" customHeight="1" x14ac:dyDescent="0.2">
      <c r="B68" s="131">
        <v>25</v>
      </c>
      <c r="C68" s="409" t="s">
        <v>142</v>
      </c>
      <c r="D68" s="207" t="s">
        <v>117</v>
      </c>
      <c r="E68" s="353">
        <v>34</v>
      </c>
      <c r="F68" s="467">
        <v>0</v>
      </c>
      <c r="G68" s="352">
        <f t="shared" si="2"/>
        <v>0</v>
      </c>
      <c r="I68" s="1372"/>
    </row>
    <row r="69" spans="2:9" ht="25.5" customHeight="1" x14ac:dyDescent="0.2">
      <c r="B69" s="131">
        <v>26</v>
      </c>
      <c r="C69" s="409" t="s">
        <v>143</v>
      </c>
      <c r="D69" s="207" t="s">
        <v>95</v>
      </c>
      <c r="E69" s="353">
        <v>81</v>
      </c>
      <c r="F69" s="467">
        <v>0</v>
      </c>
      <c r="G69" s="352">
        <f t="shared" si="2"/>
        <v>0</v>
      </c>
      <c r="H69" s="571"/>
    </row>
    <row r="70" spans="2:9" ht="25.5" customHeight="1" x14ac:dyDescent="0.2">
      <c r="B70" s="312" t="s">
        <v>598</v>
      </c>
      <c r="C70" s="409" t="s">
        <v>718</v>
      </c>
      <c r="D70" s="207" t="s">
        <v>95</v>
      </c>
      <c r="E70" s="353">
        <v>42</v>
      </c>
      <c r="F70" s="467">
        <v>0</v>
      </c>
      <c r="G70" s="352">
        <f t="shared" si="2"/>
        <v>0</v>
      </c>
      <c r="H70" s="571"/>
    </row>
    <row r="71" spans="2:9" ht="192" x14ac:dyDescent="0.2">
      <c r="B71" s="312" t="s">
        <v>600</v>
      </c>
      <c r="C71" s="1384" t="s">
        <v>1759</v>
      </c>
      <c r="D71" s="1363" t="s">
        <v>149</v>
      </c>
      <c r="E71" s="1359">
        <v>1</v>
      </c>
      <c r="F71" s="467">
        <v>0</v>
      </c>
      <c r="G71" s="1361">
        <f t="shared" si="2"/>
        <v>0</v>
      </c>
      <c r="H71" s="571"/>
    </row>
    <row r="72" spans="2:9" ht="29.25" customHeight="1" x14ac:dyDescent="0.2">
      <c r="B72" s="411">
        <v>29</v>
      </c>
      <c r="C72" s="410" t="s">
        <v>151</v>
      </c>
      <c r="D72" s="222" t="s">
        <v>112</v>
      </c>
      <c r="E72" s="472">
        <v>7.8</v>
      </c>
      <c r="F72" s="467">
        <v>0</v>
      </c>
      <c r="G72" s="352">
        <f>E72*F72</f>
        <v>0</v>
      </c>
    </row>
    <row r="73" spans="2:9" ht="36.75" customHeight="1" x14ac:dyDescent="0.2">
      <c r="B73" s="131">
        <v>30</v>
      </c>
      <c r="C73" s="1366" t="s">
        <v>152</v>
      </c>
      <c r="D73" s="1367" t="s">
        <v>149</v>
      </c>
      <c r="E73" s="1359">
        <v>28</v>
      </c>
      <c r="F73" s="467">
        <v>0</v>
      </c>
      <c r="G73" s="1361">
        <f>E73*F73</f>
        <v>0</v>
      </c>
    </row>
    <row r="74" spans="2:9" ht="30" customHeight="1" x14ac:dyDescent="0.2">
      <c r="B74" s="411">
        <v>31</v>
      </c>
      <c r="C74" s="223" t="s">
        <v>153</v>
      </c>
      <c r="D74" s="222" t="s">
        <v>112</v>
      </c>
      <c r="E74" s="472">
        <v>12</v>
      </c>
      <c r="F74" s="467">
        <v>0</v>
      </c>
      <c r="G74" s="352">
        <f>E74*F74</f>
        <v>0</v>
      </c>
    </row>
    <row r="75" spans="2:9" ht="28.5" customHeight="1" x14ac:dyDescent="0.2">
      <c r="B75" s="131">
        <v>32</v>
      </c>
      <c r="C75" s="223" t="s">
        <v>155</v>
      </c>
      <c r="D75" s="222" t="s">
        <v>156</v>
      </c>
      <c r="E75" s="472">
        <v>20</v>
      </c>
      <c r="F75" s="467">
        <v>0</v>
      </c>
      <c r="G75" s="352">
        <f>E75*F75</f>
        <v>0</v>
      </c>
    </row>
    <row r="76" spans="2:9" s="147" customFormat="1" ht="21.75" customHeight="1" x14ac:dyDescent="0.25">
      <c r="B76" s="327" t="s">
        <v>12</v>
      </c>
      <c r="C76" s="214" t="s">
        <v>157</v>
      </c>
      <c r="D76" s="224"/>
      <c r="E76" s="215"/>
      <c r="F76" s="216"/>
      <c r="G76" s="290">
        <f>SUM(G41:G75)</f>
        <v>0</v>
      </c>
      <c r="H76" s="150"/>
    </row>
    <row r="77" spans="2:9" x14ac:dyDescent="0.2">
      <c r="B77" s="129"/>
      <c r="C77" s="197"/>
      <c r="D77" s="198"/>
      <c r="E77" s="353"/>
      <c r="F77" s="358"/>
      <c r="G77" s="350"/>
    </row>
    <row r="78" spans="2:9" ht="24" x14ac:dyDescent="0.2">
      <c r="B78" s="128" t="s">
        <v>83</v>
      </c>
      <c r="C78" s="192" t="s">
        <v>89</v>
      </c>
      <c r="D78" s="192" t="s">
        <v>90</v>
      </c>
      <c r="E78" s="194" t="s">
        <v>91</v>
      </c>
      <c r="F78" s="195" t="s">
        <v>92</v>
      </c>
      <c r="G78" s="196" t="s">
        <v>93</v>
      </c>
    </row>
    <row r="79" spans="2:9" x14ac:dyDescent="0.2">
      <c r="B79" s="129"/>
      <c r="C79" s="197"/>
      <c r="D79" s="207"/>
      <c r="E79" s="353"/>
      <c r="F79" s="358"/>
      <c r="G79" s="350"/>
    </row>
    <row r="80" spans="2:9" s="295" customFormat="1" ht="20.25" x14ac:dyDescent="0.3">
      <c r="B80" s="296" t="s">
        <v>17</v>
      </c>
      <c r="C80" s="297" t="s">
        <v>158</v>
      </c>
      <c r="D80" s="298"/>
      <c r="E80" s="299"/>
      <c r="F80" s="300"/>
      <c r="G80" s="301"/>
      <c r="H80" s="570"/>
    </row>
    <row r="81" spans="1:9" s="139" customFormat="1" ht="18" customHeight="1" x14ac:dyDescent="0.2">
      <c r="A81" s="140"/>
      <c r="B81" s="143" t="s">
        <v>1</v>
      </c>
      <c r="C81" s="168"/>
      <c r="D81" s="170"/>
      <c r="E81" s="170"/>
      <c r="F81" s="170"/>
      <c r="G81" s="169"/>
    </row>
    <row r="82" spans="1:9" s="139" customFormat="1" ht="18" customHeight="1" x14ac:dyDescent="0.25">
      <c r="A82" s="141"/>
      <c r="B82" s="144" t="s">
        <v>2</v>
      </c>
      <c r="C82" s="171"/>
      <c r="D82" s="172"/>
      <c r="E82" s="173"/>
      <c r="F82" s="173"/>
      <c r="G82" s="172"/>
    </row>
    <row r="83" spans="1:9" s="139" customFormat="1" ht="18" customHeight="1" x14ac:dyDescent="0.2">
      <c r="A83" s="140"/>
      <c r="B83" s="143" t="s">
        <v>3</v>
      </c>
      <c r="C83" s="168"/>
      <c r="D83" s="170"/>
      <c r="E83" s="170"/>
      <c r="F83" s="170"/>
      <c r="G83" s="169"/>
    </row>
    <row r="84" spans="1:9" s="139" customFormat="1" ht="18" customHeight="1" x14ac:dyDescent="0.25">
      <c r="A84" s="141"/>
      <c r="B84" s="144" t="s">
        <v>4</v>
      </c>
      <c r="C84" s="171"/>
      <c r="D84" s="173"/>
      <c r="E84" s="173"/>
      <c r="F84" s="173"/>
      <c r="G84" s="172"/>
    </row>
    <row r="85" spans="1:9" s="130" customFormat="1" ht="18.75" customHeight="1" x14ac:dyDescent="0.2">
      <c r="B85" s="3184" t="s">
        <v>159</v>
      </c>
      <c r="C85" s="3185"/>
      <c r="D85" s="3185"/>
      <c r="E85" s="3185"/>
      <c r="F85" s="3185"/>
      <c r="G85" s="3186"/>
      <c r="H85" s="565"/>
    </row>
    <row r="86" spans="1:9" s="130" customFormat="1" ht="18.75" customHeight="1" x14ac:dyDescent="0.2">
      <c r="B86" s="3184" t="s">
        <v>160</v>
      </c>
      <c r="C86" s="3185"/>
      <c r="D86" s="3185"/>
      <c r="E86" s="3185"/>
      <c r="F86" s="3185"/>
      <c r="G86" s="3186"/>
      <c r="H86" s="565"/>
    </row>
    <row r="87" spans="1:9" s="130" customFormat="1" ht="18.75" customHeight="1" x14ac:dyDescent="0.2">
      <c r="B87" s="3184" t="s">
        <v>161</v>
      </c>
      <c r="C87" s="3185"/>
      <c r="D87" s="3185"/>
      <c r="E87" s="3185"/>
      <c r="F87" s="3185"/>
      <c r="G87" s="3186"/>
      <c r="H87" s="565"/>
    </row>
    <row r="88" spans="1:9" ht="30" customHeight="1" x14ac:dyDescent="0.2">
      <c r="B88" s="153">
        <v>1</v>
      </c>
      <c r="C88" s="1806" t="s">
        <v>162</v>
      </c>
      <c r="D88" s="226"/>
      <c r="E88" s="353"/>
      <c r="F88" s="358"/>
      <c r="G88" s="350"/>
    </row>
    <row r="89" spans="1:9" s="147" customFormat="1" ht="18.75" customHeight="1" x14ac:dyDescent="0.25">
      <c r="B89" s="148"/>
      <c r="C89" s="1807" t="s">
        <v>1766</v>
      </c>
      <c r="D89" s="226" t="s">
        <v>95</v>
      </c>
      <c r="E89" s="353">
        <v>647</v>
      </c>
      <c r="F89" s="467">
        <v>0</v>
      </c>
      <c r="G89" s="352">
        <f t="shared" ref="G89:G96" si="4">E89*F89</f>
        <v>0</v>
      </c>
      <c r="H89" s="150"/>
      <c r="I89" s="490"/>
    </row>
    <row r="90" spans="1:9" ht="27" customHeight="1" x14ac:dyDescent="0.2">
      <c r="B90" s="148"/>
      <c r="C90" s="1807" t="s">
        <v>1767</v>
      </c>
      <c r="D90" s="226" t="s">
        <v>95</v>
      </c>
      <c r="E90" s="353">
        <v>72</v>
      </c>
      <c r="F90" s="467">
        <v>0</v>
      </c>
      <c r="G90" s="352">
        <f t="shared" si="4"/>
        <v>0</v>
      </c>
    </row>
    <row r="91" spans="1:9" s="147" customFormat="1" ht="18.75" customHeight="1" x14ac:dyDescent="0.25">
      <c r="B91" s="148"/>
      <c r="C91" s="1807" t="s">
        <v>821</v>
      </c>
      <c r="D91" s="226" t="s">
        <v>95</v>
      </c>
      <c r="E91" s="353">
        <v>1254</v>
      </c>
      <c r="F91" s="467">
        <v>0</v>
      </c>
      <c r="G91" s="352">
        <f t="shared" si="4"/>
        <v>0</v>
      </c>
      <c r="H91" s="150"/>
      <c r="I91" s="490"/>
    </row>
    <row r="92" spans="1:9" ht="27" customHeight="1" x14ac:dyDescent="0.2">
      <c r="B92" s="148"/>
      <c r="C92" s="1807" t="s">
        <v>822</v>
      </c>
      <c r="D92" s="226" t="s">
        <v>95</v>
      </c>
      <c r="E92" s="353">
        <v>139</v>
      </c>
      <c r="F92" s="467">
        <v>0</v>
      </c>
      <c r="G92" s="352">
        <f t="shared" si="4"/>
        <v>0</v>
      </c>
      <c r="I92" s="1365"/>
    </row>
    <row r="93" spans="1:9" s="147" customFormat="1" ht="18.75" customHeight="1" x14ac:dyDescent="0.25">
      <c r="B93" s="148"/>
      <c r="C93" s="1807" t="s">
        <v>1733</v>
      </c>
      <c r="D93" s="226" t="s">
        <v>95</v>
      </c>
      <c r="E93" s="353">
        <v>139</v>
      </c>
      <c r="F93" s="467">
        <v>0</v>
      </c>
      <c r="G93" s="352">
        <f t="shared" si="4"/>
        <v>0</v>
      </c>
      <c r="H93" s="150"/>
      <c r="I93" s="490"/>
    </row>
    <row r="94" spans="1:9" ht="27" customHeight="1" x14ac:dyDescent="0.2">
      <c r="B94" s="148"/>
      <c r="C94" s="1807" t="s">
        <v>1734</v>
      </c>
      <c r="D94" s="226" t="s">
        <v>95</v>
      </c>
      <c r="E94" s="353">
        <v>16</v>
      </c>
      <c r="F94" s="467">
        <v>0</v>
      </c>
      <c r="G94" s="352">
        <f t="shared" si="4"/>
        <v>0</v>
      </c>
    </row>
    <row r="95" spans="1:9" s="147" customFormat="1" ht="18.75" customHeight="1" x14ac:dyDescent="0.25">
      <c r="B95" s="148"/>
      <c r="C95" s="1807" t="s">
        <v>165</v>
      </c>
      <c r="D95" s="226" t="s">
        <v>95</v>
      </c>
      <c r="E95" s="353">
        <v>296</v>
      </c>
      <c r="F95" s="467">
        <v>0</v>
      </c>
      <c r="G95" s="352">
        <f t="shared" si="4"/>
        <v>0</v>
      </c>
      <c r="H95" s="150"/>
      <c r="I95" s="490"/>
    </row>
    <row r="96" spans="1:9" ht="27" customHeight="1" x14ac:dyDescent="0.2">
      <c r="B96" s="148"/>
      <c r="C96" s="1807" t="s">
        <v>166</v>
      </c>
      <c r="D96" s="226" t="s">
        <v>95</v>
      </c>
      <c r="E96" s="353">
        <v>33</v>
      </c>
      <c r="F96" s="467">
        <v>0</v>
      </c>
      <c r="G96" s="352">
        <f t="shared" si="4"/>
        <v>0</v>
      </c>
      <c r="I96" s="1365"/>
    </row>
    <row r="97" spans="2:8" ht="39" customHeight="1" x14ac:dyDescent="0.2">
      <c r="B97" s="3181" t="s">
        <v>167</v>
      </c>
      <c r="C97" s="310" t="s">
        <v>168</v>
      </c>
      <c r="D97" s="221"/>
      <c r="E97" s="353"/>
      <c r="F97" s="467"/>
      <c r="G97" s="352"/>
    </row>
    <row r="98" spans="2:8" ht="12.75" customHeight="1" x14ac:dyDescent="0.2">
      <c r="B98" s="3182"/>
      <c r="C98" s="291" t="s">
        <v>169</v>
      </c>
      <c r="D98" s="221" t="s">
        <v>95</v>
      </c>
      <c r="E98" s="353">
        <v>10</v>
      </c>
      <c r="F98" s="467">
        <v>0</v>
      </c>
      <c r="G98" s="352">
        <f t="shared" ref="G98:G100" si="5">E98*F98</f>
        <v>0</v>
      </c>
    </row>
    <row r="99" spans="2:8" ht="12.75" customHeight="1" x14ac:dyDescent="0.2">
      <c r="B99" s="3182"/>
      <c r="C99" s="291" t="s">
        <v>170</v>
      </c>
      <c r="D99" s="221" t="s">
        <v>95</v>
      </c>
      <c r="E99" s="353">
        <v>80</v>
      </c>
      <c r="F99" s="467">
        <v>0</v>
      </c>
      <c r="G99" s="352">
        <f t="shared" si="5"/>
        <v>0</v>
      </c>
    </row>
    <row r="100" spans="2:8" ht="36" x14ac:dyDescent="0.2">
      <c r="B100" s="154">
        <v>2</v>
      </c>
      <c r="C100" s="227" t="s">
        <v>172</v>
      </c>
      <c r="D100" s="209" t="s">
        <v>95</v>
      </c>
      <c r="E100" s="348">
        <f>SUM(E89:E96)</f>
        <v>2596</v>
      </c>
      <c r="F100" s="467">
        <v>0</v>
      </c>
      <c r="G100" s="352">
        <f t="shared" si="5"/>
        <v>0</v>
      </c>
    </row>
    <row r="101" spans="2:8" s="147" customFormat="1" ht="36" x14ac:dyDescent="0.25">
      <c r="B101" s="309" t="s">
        <v>173</v>
      </c>
      <c r="C101" s="227" t="s">
        <v>174</v>
      </c>
      <c r="D101" s="209" t="s">
        <v>95</v>
      </c>
      <c r="E101" s="348">
        <f>SUM(E89:E96)</f>
        <v>2596</v>
      </c>
      <c r="F101" s="467">
        <v>0</v>
      </c>
      <c r="G101" s="352">
        <f>E101*F101</f>
        <v>0</v>
      </c>
      <c r="H101" s="150"/>
    </row>
    <row r="102" spans="2:8" s="147" customFormat="1" ht="24" x14ac:dyDescent="0.25">
      <c r="B102" s="309" t="s">
        <v>175</v>
      </c>
      <c r="C102" s="227" t="s">
        <v>176</v>
      </c>
      <c r="D102" s="209" t="s">
        <v>95</v>
      </c>
      <c r="E102" s="348">
        <f>SUM(E89:E96)</f>
        <v>2596</v>
      </c>
      <c r="F102" s="467">
        <v>0</v>
      </c>
      <c r="G102" s="352">
        <f>E102*F102</f>
        <v>0</v>
      </c>
      <c r="H102" s="150"/>
    </row>
    <row r="103" spans="2:8" ht="36" x14ac:dyDescent="0.2">
      <c r="B103" s="309" t="s">
        <v>177</v>
      </c>
      <c r="C103" s="227" t="s">
        <v>178</v>
      </c>
      <c r="D103" s="209" t="s">
        <v>95</v>
      </c>
      <c r="E103" s="348">
        <f>SUM(E89:E96)</f>
        <v>2596</v>
      </c>
      <c r="F103" s="467">
        <v>0</v>
      </c>
      <c r="G103" s="352">
        <f>E103*F103</f>
        <v>0</v>
      </c>
    </row>
    <row r="104" spans="2:8" s="147" customFormat="1" ht="24" x14ac:dyDescent="0.25">
      <c r="B104" s="153">
        <v>3</v>
      </c>
      <c r="C104" s="264" t="s">
        <v>179</v>
      </c>
      <c r="D104" s="231"/>
      <c r="E104" s="232"/>
      <c r="F104" s="233">
        <v>0</v>
      </c>
      <c r="G104" s="234"/>
      <c r="H104" s="150"/>
    </row>
    <row r="105" spans="2:8" s="147" customFormat="1" x14ac:dyDescent="0.25">
      <c r="B105" s="292" t="s">
        <v>180</v>
      </c>
      <c r="C105" s="1808" t="s">
        <v>181</v>
      </c>
      <c r="D105" s="231"/>
      <c r="E105" s="232"/>
      <c r="F105" s="233"/>
      <c r="G105" s="234"/>
      <c r="H105" s="150"/>
    </row>
    <row r="106" spans="2:8" s="136" customFormat="1" x14ac:dyDescent="0.2">
      <c r="B106" s="129"/>
      <c r="C106" s="1808" t="s">
        <v>1424</v>
      </c>
      <c r="D106" s="231"/>
      <c r="E106" s="232"/>
      <c r="F106" s="233">
        <v>0</v>
      </c>
      <c r="G106" s="234"/>
      <c r="H106" s="565"/>
    </row>
    <row r="107" spans="2:8" s="136" customFormat="1" x14ac:dyDescent="0.2">
      <c r="B107" s="152"/>
      <c r="C107" s="1810" t="s">
        <v>1089</v>
      </c>
      <c r="D107" s="236" t="s">
        <v>149</v>
      </c>
      <c r="E107" s="232">
        <v>23</v>
      </c>
      <c r="F107" s="271">
        <v>0</v>
      </c>
      <c r="G107" s="272">
        <f t="shared" ref="G107:G108" si="6">E107*F107</f>
        <v>0</v>
      </c>
      <c r="H107" s="565"/>
    </row>
    <row r="108" spans="2:8" s="136" customFormat="1" x14ac:dyDescent="0.2">
      <c r="B108" s="152"/>
      <c r="C108" s="1810" t="s">
        <v>1425</v>
      </c>
      <c r="D108" s="236" t="s">
        <v>149</v>
      </c>
      <c r="E108" s="232">
        <v>7</v>
      </c>
      <c r="F108" s="271">
        <v>0</v>
      </c>
      <c r="G108" s="272">
        <f t="shared" si="6"/>
        <v>0</v>
      </c>
      <c r="H108" s="565"/>
    </row>
    <row r="109" spans="2:8" s="136" customFormat="1" x14ac:dyDescent="0.2">
      <c r="B109" s="129"/>
      <c r="C109" s="1808" t="s">
        <v>185</v>
      </c>
      <c r="D109" s="231"/>
      <c r="E109" s="232"/>
      <c r="F109" s="233"/>
      <c r="G109" s="234"/>
      <c r="H109" s="565"/>
    </row>
    <row r="110" spans="2:8" s="136" customFormat="1" x14ac:dyDescent="0.2">
      <c r="B110" s="152"/>
      <c r="C110" s="1810" t="s">
        <v>186</v>
      </c>
      <c r="D110" s="236" t="s">
        <v>149</v>
      </c>
      <c r="E110" s="232">
        <v>36</v>
      </c>
      <c r="F110" s="271">
        <v>0</v>
      </c>
      <c r="G110" s="272">
        <f t="shared" ref="G110:G111" si="7">E110*F110</f>
        <v>0</v>
      </c>
      <c r="H110" s="565"/>
    </row>
    <row r="111" spans="2:8" s="136" customFormat="1" x14ac:dyDescent="0.2">
      <c r="B111" s="152"/>
      <c r="C111" s="1810" t="s">
        <v>187</v>
      </c>
      <c r="D111" s="236" t="s">
        <v>149</v>
      </c>
      <c r="E111" s="232">
        <v>7</v>
      </c>
      <c r="F111" s="271">
        <v>0</v>
      </c>
      <c r="G111" s="272">
        <f t="shared" si="7"/>
        <v>0</v>
      </c>
      <c r="H111" s="565"/>
    </row>
    <row r="112" spans="2:8" s="136" customFormat="1" x14ac:dyDescent="0.2">
      <c r="B112" s="292" t="s">
        <v>188</v>
      </c>
      <c r="C112" s="238" t="s">
        <v>189</v>
      </c>
      <c r="D112" s="239"/>
      <c r="E112" s="240"/>
      <c r="F112" s="241">
        <v>0</v>
      </c>
      <c r="G112" s="242"/>
      <c r="H112" s="565"/>
    </row>
    <row r="113" spans="2:8" s="136" customFormat="1" x14ac:dyDescent="0.2">
      <c r="B113" s="135"/>
      <c r="C113" s="238" t="s">
        <v>1796</v>
      </c>
      <c r="D113" s="239"/>
      <c r="E113" s="240"/>
      <c r="F113" s="241">
        <v>0</v>
      </c>
      <c r="G113" s="242"/>
      <c r="H113" s="565"/>
    </row>
    <row r="114" spans="2:8" s="136" customFormat="1" x14ac:dyDescent="0.2">
      <c r="B114" s="135"/>
      <c r="C114" s="243" t="s">
        <v>298</v>
      </c>
      <c r="D114" s="239" t="s">
        <v>149</v>
      </c>
      <c r="E114" s="240">
        <v>2</v>
      </c>
      <c r="F114" s="273">
        <v>0</v>
      </c>
      <c r="G114" s="274">
        <f t="shared" ref="G114:G121" si="8">E114*F114</f>
        <v>0</v>
      </c>
      <c r="H114" s="565"/>
    </row>
    <row r="115" spans="2:8" s="136" customFormat="1" ht="36" x14ac:dyDescent="0.2">
      <c r="B115" s="135"/>
      <c r="C115" s="244" t="s">
        <v>285</v>
      </c>
      <c r="D115" s="239" t="s">
        <v>149</v>
      </c>
      <c r="E115" s="240">
        <v>2</v>
      </c>
      <c r="F115" s="273">
        <v>0</v>
      </c>
      <c r="G115" s="274">
        <f t="shared" si="8"/>
        <v>0</v>
      </c>
      <c r="H115" s="565"/>
    </row>
    <row r="116" spans="2:8" s="136" customFormat="1" x14ac:dyDescent="0.2">
      <c r="B116" s="135"/>
      <c r="C116" s="244" t="s">
        <v>193</v>
      </c>
      <c r="D116" s="239" t="s">
        <v>149</v>
      </c>
      <c r="E116" s="240">
        <v>2</v>
      </c>
      <c r="F116" s="273">
        <v>0</v>
      </c>
      <c r="G116" s="274">
        <f t="shared" si="8"/>
        <v>0</v>
      </c>
      <c r="H116" s="565"/>
    </row>
    <row r="117" spans="2:8" s="136" customFormat="1" x14ac:dyDescent="0.2">
      <c r="B117" s="135"/>
      <c r="C117" s="244" t="s">
        <v>194</v>
      </c>
      <c r="D117" s="239" t="s">
        <v>149</v>
      </c>
      <c r="E117" s="240">
        <v>2</v>
      </c>
      <c r="F117" s="273">
        <v>0</v>
      </c>
      <c r="G117" s="274">
        <f t="shared" si="8"/>
        <v>0</v>
      </c>
      <c r="H117" s="565"/>
    </row>
    <row r="118" spans="2:8" s="136" customFormat="1" x14ac:dyDescent="0.2">
      <c r="B118" s="135"/>
      <c r="C118" s="1811" t="s">
        <v>239</v>
      </c>
      <c r="D118" s="239" t="s">
        <v>149</v>
      </c>
      <c r="E118" s="240">
        <v>4</v>
      </c>
      <c r="F118" s="273">
        <v>0</v>
      </c>
      <c r="G118" s="274">
        <f t="shared" si="8"/>
        <v>0</v>
      </c>
      <c r="H118" s="565"/>
    </row>
    <row r="119" spans="2:8" s="136" customFormat="1" x14ac:dyDescent="0.2">
      <c r="B119" s="135"/>
      <c r="C119" s="1811" t="s">
        <v>240</v>
      </c>
      <c r="D119" s="239" t="s">
        <v>149</v>
      </c>
      <c r="E119" s="240">
        <v>4</v>
      </c>
      <c r="F119" s="273">
        <v>0</v>
      </c>
      <c r="G119" s="274">
        <f t="shared" si="8"/>
        <v>0</v>
      </c>
      <c r="H119" s="565"/>
    </row>
    <row r="120" spans="2:8" s="136" customFormat="1" x14ac:dyDescent="0.2">
      <c r="B120" s="135"/>
      <c r="C120" s="1811" t="s">
        <v>197</v>
      </c>
      <c r="D120" s="239" t="s">
        <v>149</v>
      </c>
      <c r="E120" s="240">
        <v>2</v>
      </c>
      <c r="F120" s="273">
        <v>0</v>
      </c>
      <c r="G120" s="274">
        <f t="shared" si="8"/>
        <v>0</v>
      </c>
      <c r="H120" s="565"/>
    </row>
    <row r="121" spans="2:8" s="136" customFormat="1" x14ac:dyDescent="0.2">
      <c r="B121" s="135"/>
      <c r="C121" s="1812" t="s">
        <v>198</v>
      </c>
      <c r="D121" s="239" t="s">
        <v>149</v>
      </c>
      <c r="E121" s="240">
        <v>2</v>
      </c>
      <c r="F121" s="273">
        <v>0</v>
      </c>
      <c r="G121" s="274">
        <f t="shared" si="8"/>
        <v>0</v>
      </c>
      <c r="H121" s="565"/>
    </row>
    <row r="122" spans="2:8" s="136" customFormat="1" x14ac:dyDescent="0.2">
      <c r="B122" s="135"/>
      <c r="C122" s="238" t="s">
        <v>840</v>
      </c>
      <c r="D122" s="239"/>
      <c r="E122" s="240"/>
      <c r="F122" s="241">
        <v>0</v>
      </c>
      <c r="G122" s="242"/>
      <c r="H122" s="565"/>
    </row>
    <row r="123" spans="2:8" s="136" customFormat="1" x14ac:dyDescent="0.2">
      <c r="B123" s="135"/>
      <c r="C123" s="243" t="s">
        <v>841</v>
      </c>
      <c r="D123" s="239" t="s">
        <v>149</v>
      </c>
      <c r="E123" s="240">
        <v>3</v>
      </c>
      <c r="F123" s="273">
        <v>0</v>
      </c>
      <c r="G123" s="274">
        <f t="shared" ref="G123:G132" si="9">E123*F123</f>
        <v>0</v>
      </c>
      <c r="H123" s="565"/>
    </row>
    <row r="124" spans="2:8" s="136" customFormat="1" ht="36" x14ac:dyDescent="0.2">
      <c r="B124" s="135"/>
      <c r="C124" s="244" t="s">
        <v>285</v>
      </c>
      <c r="D124" s="239" t="s">
        <v>149</v>
      </c>
      <c r="E124" s="240">
        <v>3</v>
      </c>
      <c r="F124" s="273">
        <v>0</v>
      </c>
      <c r="G124" s="274">
        <f t="shared" si="9"/>
        <v>0</v>
      </c>
      <c r="H124" s="565"/>
    </row>
    <row r="125" spans="2:8" s="136" customFormat="1" x14ac:dyDescent="0.2">
      <c r="B125" s="135"/>
      <c r="C125" s="244" t="s">
        <v>193</v>
      </c>
      <c r="D125" s="239" t="s">
        <v>149</v>
      </c>
      <c r="E125" s="240">
        <v>3</v>
      </c>
      <c r="F125" s="273">
        <v>0</v>
      </c>
      <c r="G125" s="274">
        <f t="shared" si="9"/>
        <v>0</v>
      </c>
      <c r="H125" s="565"/>
    </row>
    <row r="126" spans="2:8" s="136" customFormat="1" x14ac:dyDescent="0.2">
      <c r="B126" s="135"/>
      <c r="C126" s="244" t="s">
        <v>194</v>
      </c>
      <c r="D126" s="239" t="s">
        <v>149</v>
      </c>
      <c r="E126" s="240">
        <v>3</v>
      </c>
      <c r="F126" s="273">
        <v>0</v>
      </c>
      <c r="G126" s="274">
        <f t="shared" si="9"/>
        <v>0</v>
      </c>
      <c r="H126" s="565"/>
    </row>
    <row r="127" spans="2:8" s="136" customFormat="1" x14ac:dyDescent="0.2">
      <c r="B127" s="135"/>
      <c r="C127" s="1811" t="s">
        <v>239</v>
      </c>
      <c r="D127" s="239" t="s">
        <v>149</v>
      </c>
      <c r="E127" s="240">
        <v>6</v>
      </c>
      <c r="F127" s="273">
        <v>0</v>
      </c>
      <c r="G127" s="274">
        <f t="shared" si="9"/>
        <v>0</v>
      </c>
      <c r="H127" s="565"/>
    </row>
    <row r="128" spans="2:8" s="136" customFormat="1" x14ac:dyDescent="0.2">
      <c r="B128" s="135"/>
      <c r="C128" s="1811" t="s">
        <v>240</v>
      </c>
      <c r="D128" s="239" t="s">
        <v>149</v>
      </c>
      <c r="E128" s="240">
        <v>6</v>
      </c>
      <c r="F128" s="273">
        <v>0</v>
      </c>
      <c r="G128" s="274">
        <f t="shared" si="9"/>
        <v>0</v>
      </c>
      <c r="H128" s="565"/>
    </row>
    <row r="129" spans="2:8" s="136" customFormat="1" x14ac:dyDescent="0.2">
      <c r="B129" s="135"/>
      <c r="C129" s="1811" t="s">
        <v>241</v>
      </c>
      <c r="D129" s="239" t="s">
        <v>149</v>
      </c>
      <c r="E129" s="240">
        <v>6</v>
      </c>
      <c r="F129" s="273">
        <v>0</v>
      </c>
      <c r="G129" s="274">
        <f t="shared" si="9"/>
        <v>0</v>
      </c>
      <c r="H129" s="565"/>
    </row>
    <row r="130" spans="2:8" s="136" customFormat="1" x14ac:dyDescent="0.2">
      <c r="B130" s="135"/>
      <c r="C130" s="1811" t="s">
        <v>242</v>
      </c>
      <c r="D130" s="239" t="s">
        <v>149</v>
      </c>
      <c r="E130" s="240">
        <v>6</v>
      </c>
      <c r="F130" s="273">
        <v>0</v>
      </c>
      <c r="G130" s="274">
        <f t="shared" si="9"/>
        <v>0</v>
      </c>
      <c r="H130" s="565"/>
    </row>
    <row r="131" spans="2:8" s="136" customFormat="1" x14ac:dyDescent="0.2">
      <c r="B131" s="135"/>
      <c r="C131" s="1811" t="s">
        <v>197</v>
      </c>
      <c r="D131" s="239" t="s">
        <v>149</v>
      </c>
      <c r="E131" s="240">
        <v>3</v>
      </c>
      <c r="F131" s="273">
        <v>0</v>
      </c>
      <c r="G131" s="274">
        <f t="shared" si="9"/>
        <v>0</v>
      </c>
      <c r="H131" s="565"/>
    </row>
    <row r="132" spans="2:8" s="136" customFormat="1" x14ac:dyDescent="0.2">
      <c r="B132" s="135"/>
      <c r="C132" s="1812" t="s">
        <v>198</v>
      </c>
      <c r="D132" s="239" t="s">
        <v>149</v>
      </c>
      <c r="E132" s="240">
        <v>3</v>
      </c>
      <c r="F132" s="273">
        <v>0</v>
      </c>
      <c r="G132" s="274">
        <f t="shared" si="9"/>
        <v>0</v>
      </c>
      <c r="H132" s="565"/>
    </row>
    <row r="133" spans="2:8" s="136" customFormat="1" x14ac:dyDescent="0.2">
      <c r="B133" s="292" t="s">
        <v>199</v>
      </c>
      <c r="C133" s="253" t="s">
        <v>205</v>
      </c>
      <c r="D133" s="254"/>
      <c r="E133" s="255"/>
      <c r="F133" s="256"/>
      <c r="G133" s="257"/>
      <c r="H133" s="565"/>
    </row>
    <row r="134" spans="2:8" s="136" customFormat="1" x14ac:dyDescent="0.2">
      <c r="B134" s="135"/>
      <c r="C134" s="253" t="s">
        <v>1797</v>
      </c>
      <c r="D134" s="254"/>
      <c r="E134" s="255"/>
      <c r="F134" s="256">
        <v>0</v>
      </c>
      <c r="G134" s="257"/>
      <c r="H134" s="565"/>
    </row>
    <row r="135" spans="2:8" s="136" customFormat="1" x14ac:dyDescent="0.2">
      <c r="B135" s="135"/>
      <c r="C135" s="258" t="s">
        <v>841</v>
      </c>
      <c r="D135" s="254" t="s">
        <v>149</v>
      </c>
      <c r="E135" s="255">
        <v>1</v>
      </c>
      <c r="F135" s="277">
        <v>0</v>
      </c>
      <c r="G135" s="278">
        <f t="shared" ref="G135:G150" si="10">E135*F135</f>
        <v>0</v>
      </c>
      <c r="H135" s="565"/>
    </row>
    <row r="136" spans="2:8" s="136" customFormat="1" x14ac:dyDescent="0.2">
      <c r="B136" s="135"/>
      <c r="C136" s="258" t="s">
        <v>213</v>
      </c>
      <c r="D136" s="254" t="s">
        <v>149</v>
      </c>
      <c r="E136" s="255">
        <v>2</v>
      </c>
      <c r="F136" s="277">
        <v>0</v>
      </c>
      <c r="G136" s="278">
        <f t="shared" si="10"/>
        <v>0</v>
      </c>
      <c r="H136" s="565"/>
    </row>
    <row r="137" spans="2:8" s="136" customFormat="1" x14ac:dyDescent="0.2">
      <c r="B137" s="135"/>
      <c r="C137" s="259" t="s">
        <v>843</v>
      </c>
      <c r="D137" s="254" t="s">
        <v>149</v>
      </c>
      <c r="E137" s="255">
        <v>1</v>
      </c>
      <c r="F137" s="277">
        <v>0</v>
      </c>
      <c r="G137" s="278">
        <f t="shared" si="10"/>
        <v>0</v>
      </c>
      <c r="H137" s="565"/>
    </row>
    <row r="138" spans="2:8" s="136" customFormat="1" x14ac:dyDescent="0.2">
      <c r="B138" s="135"/>
      <c r="C138" s="259" t="s">
        <v>210</v>
      </c>
      <c r="D138" s="254" t="s">
        <v>149</v>
      </c>
      <c r="E138" s="255">
        <v>1</v>
      </c>
      <c r="F138" s="277">
        <v>0</v>
      </c>
      <c r="G138" s="278">
        <f t="shared" si="10"/>
        <v>0</v>
      </c>
      <c r="H138" s="565"/>
    </row>
    <row r="139" spans="2:8" s="136" customFormat="1" x14ac:dyDescent="0.2">
      <c r="B139" s="135"/>
      <c r="C139" s="259" t="s">
        <v>211</v>
      </c>
      <c r="D139" s="254" t="s">
        <v>149</v>
      </c>
      <c r="E139" s="255">
        <v>1</v>
      </c>
      <c r="F139" s="277">
        <v>0</v>
      </c>
      <c r="G139" s="278">
        <f t="shared" si="10"/>
        <v>0</v>
      </c>
      <c r="H139" s="565"/>
    </row>
    <row r="140" spans="2:8" s="136" customFormat="1" x14ac:dyDescent="0.2">
      <c r="B140" s="135"/>
      <c r="C140" s="259" t="s">
        <v>212</v>
      </c>
      <c r="D140" s="254" t="s">
        <v>149</v>
      </c>
      <c r="E140" s="255">
        <v>1</v>
      </c>
      <c r="F140" s="277">
        <v>0</v>
      </c>
      <c r="G140" s="278">
        <f t="shared" si="10"/>
        <v>0</v>
      </c>
      <c r="H140" s="565"/>
    </row>
    <row r="141" spans="2:8" s="136" customFormat="1" x14ac:dyDescent="0.2">
      <c r="B141" s="135"/>
      <c r="C141" s="259" t="s">
        <v>213</v>
      </c>
      <c r="D141" s="254" t="s">
        <v>149</v>
      </c>
      <c r="E141" s="255">
        <v>1</v>
      </c>
      <c r="F141" s="277">
        <v>0</v>
      </c>
      <c r="G141" s="278">
        <f t="shared" si="10"/>
        <v>0</v>
      </c>
      <c r="H141" s="565"/>
    </row>
    <row r="142" spans="2:8" s="136" customFormat="1" x14ac:dyDescent="0.2">
      <c r="B142" s="135"/>
      <c r="C142" s="259" t="s">
        <v>214</v>
      </c>
      <c r="D142" s="254" t="s">
        <v>149</v>
      </c>
      <c r="E142" s="255">
        <v>1</v>
      </c>
      <c r="F142" s="277">
        <v>0</v>
      </c>
      <c r="G142" s="278">
        <f t="shared" si="10"/>
        <v>0</v>
      </c>
      <c r="H142" s="565"/>
    </row>
    <row r="143" spans="2:8" s="136" customFormat="1" x14ac:dyDescent="0.2">
      <c r="B143" s="135"/>
      <c r="C143" s="259" t="s">
        <v>215</v>
      </c>
      <c r="D143" s="254" t="s">
        <v>149</v>
      </c>
      <c r="E143" s="255">
        <v>1</v>
      </c>
      <c r="F143" s="277">
        <v>0</v>
      </c>
      <c r="G143" s="278">
        <f t="shared" si="10"/>
        <v>0</v>
      </c>
      <c r="H143" s="565"/>
    </row>
    <row r="144" spans="2:8" s="136" customFormat="1" x14ac:dyDescent="0.2">
      <c r="B144" s="135"/>
      <c r="C144" s="1816" t="s">
        <v>216</v>
      </c>
      <c r="D144" s="254" t="s">
        <v>149</v>
      </c>
      <c r="E144" s="255">
        <v>1</v>
      </c>
      <c r="F144" s="277">
        <v>0</v>
      </c>
      <c r="G144" s="278">
        <f t="shared" si="10"/>
        <v>0</v>
      </c>
      <c r="H144" s="565"/>
    </row>
    <row r="145" spans="2:8" s="136" customFormat="1" x14ac:dyDescent="0.2">
      <c r="B145" s="135"/>
      <c r="C145" s="1816" t="s">
        <v>329</v>
      </c>
      <c r="D145" s="254" t="s">
        <v>149</v>
      </c>
      <c r="E145" s="255">
        <v>1</v>
      </c>
      <c r="F145" s="277">
        <v>0</v>
      </c>
      <c r="G145" s="278">
        <f t="shared" si="10"/>
        <v>0</v>
      </c>
      <c r="H145" s="565"/>
    </row>
    <row r="146" spans="2:8" s="136" customFormat="1" x14ac:dyDescent="0.2">
      <c r="B146" s="135"/>
      <c r="C146" s="1816" t="s">
        <v>239</v>
      </c>
      <c r="D146" s="254" t="s">
        <v>149</v>
      </c>
      <c r="E146" s="255">
        <v>2</v>
      </c>
      <c r="F146" s="277">
        <v>0</v>
      </c>
      <c r="G146" s="278">
        <f t="shared" si="10"/>
        <v>0</v>
      </c>
      <c r="H146" s="565"/>
    </row>
    <row r="147" spans="2:8" s="136" customFormat="1" x14ac:dyDescent="0.2">
      <c r="B147" s="135"/>
      <c r="C147" s="1816" t="s">
        <v>240</v>
      </c>
      <c r="D147" s="254" t="s">
        <v>149</v>
      </c>
      <c r="E147" s="255">
        <v>2</v>
      </c>
      <c r="F147" s="277">
        <v>0</v>
      </c>
      <c r="G147" s="278">
        <f t="shared" si="10"/>
        <v>0</v>
      </c>
      <c r="H147" s="565"/>
    </row>
    <row r="148" spans="2:8" s="136" customFormat="1" x14ac:dyDescent="0.2">
      <c r="B148" s="135"/>
      <c r="C148" s="1816" t="s">
        <v>219</v>
      </c>
      <c r="D148" s="254" t="s">
        <v>149</v>
      </c>
      <c r="E148" s="255">
        <v>1</v>
      </c>
      <c r="F148" s="277">
        <v>0</v>
      </c>
      <c r="G148" s="278">
        <f t="shared" si="10"/>
        <v>0</v>
      </c>
      <c r="H148" s="565"/>
    </row>
    <row r="149" spans="2:8" s="136" customFormat="1" x14ac:dyDescent="0.2">
      <c r="B149" s="135"/>
      <c r="C149" s="1816" t="s">
        <v>227</v>
      </c>
      <c r="D149" s="254" t="s">
        <v>149</v>
      </c>
      <c r="E149" s="255">
        <v>3</v>
      </c>
      <c r="F149" s="277">
        <v>0</v>
      </c>
      <c r="G149" s="278">
        <f t="shared" si="10"/>
        <v>0</v>
      </c>
      <c r="H149" s="565"/>
    </row>
    <row r="150" spans="2:8" s="136" customFormat="1" x14ac:dyDescent="0.2">
      <c r="B150" s="135"/>
      <c r="C150" s="1817" t="s">
        <v>198</v>
      </c>
      <c r="D150" s="254" t="s">
        <v>149</v>
      </c>
      <c r="E150" s="255">
        <v>1</v>
      </c>
      <c r="F150" s="277">
        <v>0</v>
      </c>
      <c r="G150" s="278">
        <f t="shared" si="10"/>
        <v>0</v>
      </c>
      <c r="H150" s="565"/>
    </row>
    <row r="151" spans="2:8" s="136" customFormat="1" x14ac:dyDescent="0.2">
      <c r="B151" s="135"/>
      <c r="C151" s="253" t="s">
        <v>1794</v>
      </c>
      <c r="D151" s="254"/>
      <c r="E151" s="255"/>
      <c r="F151" s="256">
        <v>0</v>
      </c>
      <c r="G151" s="257"/>
      <c r="H151" s="565"/>
    </row>
    <row r="152" spans="2:8" s="136" customFormat="1" x14ac:dyDescent="0.2">
      <c r="B152" s="135"/>
      <c r="C152" s="258" t="s">
        <v>841</v>
      </c>
      <c r="D152" s="254" t="s">
        <v>149</v>
      </c>
      <c r="E152" s="255">
        <v>2</v>
      </c>
      <c r="F152" s="277">
        <v>0</v>
      </c>
      <c r="G152" s="278">
        <f t="shared" ref="G152:G168" si="11">E152*F152</f>
        <v>0</v>
      </c>
      <c r="H152" s="565"/>
    </row>
    <row r="153" spans="2:8" s="136" customFormat="1" x14ac:dyDescent="0.2">
      <c r="B153" s="135"/>
      <c r="C153" s="258" t="s">
        <v>213</v>
      </c>
      <c r="D153" s="254" t="s">
        <v>149</v>
      </c>
      <c r="E153" s="255">
        <v>4</v>
      </c>
      <c r="F153" s="277">
        <v>0</v>
      </c>
      <c r="G153" s="278">
        <f t="shared" si="11"/>
        <v>0</v>
      </c>
      <c r="H153" s="565"/>
    </row>
    <row r="154" spans="2:8" s="136" customFormat="1" x14ac:dyDescent="0.2">
      <c r="B154" s="135"/>
      <c r="C154" s="259" t="s">
        <v>843</v>
      </c>
      <c r="D154" s="254" t="s">
        <v>149</v>
      </c>
      <c r="E154" s="255">
        <v>2</v>
      </c>
      <c r="F154" s="277">
        <v>0</v>
      </c>
      <c r="G154" s="278">
        <f t="shared" si="11"/>
        <v>0</v>
      </c>
      <c r="H154" s="565"/>
    </row>
    <row r="155" spans="2:8" s="136" customFormat="1" x14ac:dyDescent="0.2">
      <c r="B155" s="135"/>
      <c r="C155" s="259" t="s">
        <v>210</v>
      </c>
      <c r="D155" s="254" t="s">
        <v>149</v>
      </c>
      <c r="E155" s="255">
        <v>2</v>
      </c>
      <c r="F155" s="277">
        <v>0</v>
      </c>
      <c r="G155" s="278">
        <f t="shared" si="11"/>
        <v>0</v>
      </c>
      <c r="H155" s="565"/>
    </row>
    <row r="156" spans="2:8" s="136" customFormat="1" x14ac:dyDescent="0.2">
      <c r="B156" s="135"/>
      <c r="C156" s="259" t="s">
        <v>211</v>
      </c>
      <c r="D156" s="254" t="s">
        <v>149</v>
      </c>
      <c r="E156" s="255">
        <v>2</v>
      </c>
      <c r="F156" s="277">
        <v>0</v>
      </c>
      <c r="G156" s="278">
        <f t="shared" si="11"/>
        <v>0</v>
      </c>
      <c r="H156" s="565"/>
    </row>
    <row r="157" spans="2:8" s="136" customFormat="1" x14ac:dyDescent="0.2">
      <c r="B157" s="135"/>
      <c r="C157" s="259" t="s">
        <v>212</v>
      </c>
      <c r="D157" s="254" t="s">
        <v>149</v>
      </c>
      <c r="E157" s="255">
        <v>2</v>
      </c>
      <c r="F157" s="277">
        <v>0</v>
      </c>
      <c r="G157" s="278">
        <f t="shared" si="11"/>
        <v>0</v>
      </c>
      <c r="H157" s="565"/>
    </row>
    <row r="158" spans="2:8" s="136" customFormat="1" x14ac:dyDescent="0.2">
      <c r="B158" s="135"/>
      <c r="C158" s="259" t="s">
        <v>213</v>
      </c>
      <c r="D158" s="254" t="s">
        <v>149</v>
      </c>
      <c r="E158" s="255">
        <v>2</v>
      </c>
      <c r="F158" s="277">
        <v>0</v>
      </c>
      <c r="G158" s="278">
        <f t="shared" si="11"/>
        <v>0</v>
      </c>
      <c r="H158" s="565"/>
    </row>
    <row r="159" spans="2:8" s="136" customFormat="1" x14ac:dyDescent="0.2">
      <c r="B159" s="135"/>
      <c r="C159" s="259" t="s">
        <v>214</v>
      </c>
      <c r="D159" s="254" t="s">
        <v>149</v>
      </c>
      <c r="E159" s="255">
        <v>2</v>
      </c>
      <c r="F159" s="277">
        <v>0</v>
      </c>
      <c r="G159" s="278">
        <f t="shared" si="11"/>
        <v>0</v>
      </c>
      <c r="H159" s="565"/>
    </row>
    <row r="160" spans="2:8" s="136" customFormat="1" x14ac:dyDescent="0.2">
      <c r="B160" s="135"/>
      <c r="C160" s="259" t="s">
        <v>215</v>
      </c>
      <c r="D160" s="254" t="s">
        <v>149</v>
      </c>
      <c r="E160" s="255">
        <v>2</v>
      </c>
      <c r="F160" s="277">
        <v>0</v>
      </c>
      <c r="G160" s="278">
        <f t="shared" si="11"/>
        <v>0</v>
      </c>
      <c r="H160" s="565"/>
    </row>
    <row r="161" spans="2:8" s="136" customFormat="1" x14ac:dyDescent="0.2">
      <c r="B161" s="135"/>
      <c r="C161" s="1816" t="s">
        <v>216</v>
      </c>
      <c r="D161" s="254" t="s">
        <v>149</v>
      </c>
      <c r="E161" s="255">
        <v>2</v>
      </c>
      <c r="F161" s="277">
        <v>0</v>
      </c>
      <c r="G161" s="278">
        <f t="shared" si="11"/>
        <v>0</v>
      </c>
      <c r="H161" s="565"/>
    </row>
    <row r="162" spans="2:8" s="136" customFormat="1" x14ac:dyDescent="0.2">
      <c r="B162" s="135"/>
      <c r="C162" s="1816" t="s">
        <v>329</v>
      </c>
      <c r="D162" s="254" t="s">
        <v>149</v>
      </c>
      <c r="E162" s="255">
        <v>2</v>
      </c>
      <c r="F162" s="277">
        <v>0</v>
      </c>
      <c r="G162" s="278">
        <f t="shared" si="11"/>
        <v>0</v>
      </c>
      <c r="H162" s="565"/>
    </row>
    <row r="163" spans="2:8" s="136" customFormat="1" x14ac:dyDescent="0.2">
      <c r="B163" s="135"/>
      <c r="C163" s="1816" t="s">
        <v>239</v>
      </c>
      <c r="D163" s="254" t="s">
        <v>149</v>
      </c>
      <c r="E163" s="255">
        <v>4</v>
      </c>
      <c r="F163" s="277">
        <v>0</v>
      </c>
      <c r="G163" s="278">
        <f t="shared" si="11"/>
        <v>0</v>
      </c>
      <c r="H163" s="565"/>
    </row>
    <row r="164" spans="2:8" s="136" customFormat="1" x14ac:dyDescent="0.2">
      <c r="B164" s="135"/>
      <c r="C164" s="1816" t="s">
        <v>241</v>
      </c>
      <c r="D164" s="254" t="s">
        <v>149</v>
      </c>
      <c r="E164" s="255">
        <v>4</v>
      </c>
      <c r="F164" s="277">
        <v>0</v>
      </c>
      <c r="G164" s="278">
        <f t="shared" si="11"/>
        <v>0</v>
      </c>
      <c r="H164" s="565"/>
    </row>
    <row r="165" spans="2:8" s="136" customFormat="1" x14ac:dyDescent="0.2">
      <c r="B165" s="135"/>
      <c r="C165" s="1816" t="s">
        <v>242</v>
      </c>
      <c r="D165" s="254" t="s">
        <v>149</v>
      </c>
      <c r="E165" s="255">
        <v>4</v>
      </c>
      <c r="F165" s="277">
        <v>0</v>
      </c>
      <c r="G165" s="278">
        <f t="shared" si="11"/>
        <v>0</v>
      </c>
      <c r="H165" s="565"/>
    </row>
    <row r="166" spans="2:8" s="136" customFormat="1" x14ac:dyDescent="0.2">
      <c r="B166" s="135"/>
      <c r="C166" s="1816" t="s">
        <v>219</v>
      </c>
      <c r="D166" s="254" t="s">
        <v>149</v>
      </c>
      <c r="E166" s="255">
        <v>2</v>
      </c>
      <c r="F166" s="277">
        <v>0</v>
      </c>
      <c r="G166" s="278">
        <f t="shared" si="11"/>
        <v>0</v>
      </c>
      <c r="H166" s="565"/>
    </row>
    <row r="167" spans="2:8" s="136" customFormat="1" x14ac:dyDescent="0.2">
      <c r="B167" s="135"/>
      <c r="C167" s="1816" t="s">
        <v>227</v>
      </c>
      <c r="D167" s="254" t="s">
        <v>149</v>
      </c>
      <c r="E167" s="255">
        <v>6</v>
      </c>
      <c r="F167" s="277">
        <v>0</v>
      </c>
      <c r="G167" s="278">
        <f t="shared" si="11"/>
        <v>0</v>
      </c>
      <c r="H167" s="565"/>
    </row>
    <row r="168" spans="2:8" s="136" customFormat="1" x14ac:dyDescent="0.2">
      <c r="B168" s="135"/>
      <c r="C168" s="1817" t="s">
        <v>198</v>
      </c>
      <c r="D168" s="254" t="s">
        <v>149</v>
      </c>
      <c r="E168" s="255">
        <v>2</v>
      </c>
      <c r="F168" s="277">
        <v>0</v>
      </c>
      <c r="G168" s="278">
        <f t="shared" si="11"/>
        <v>0</v>
      </c>
      <c r="H168" s="565"/>
    </row>
    <row r="169" spans="2:8" s="136" customFormat="1" x14ac:dyDescent="0.2">
      <c r="B169" s="292" t="s">
        <v>204</v>
      </c>
      <c r="C169" s="253" t="s">
        <v>231</v>
      </c>
      <c r="D169" s="254"/>
      <c r="E169" s="255"/>
      <c r="F169" s="256"/>
      <c r="G169" s="257"/>
      <c r="H169" s="565"/>
    </row>
    <row r="170" spans="2:8" s="136" customFormat="1" x14ac:dyDescent="0.2">
      <c r="B170" s="135"/>
      <c r="C170" s="253" t="s">
        <v>1776</v>
      </c>
      <c r="D170" s="254"/>
      <c r="E170" s="255"/>
      <c r="F170" s="256">
        <v>0</v>
      </c>
      <c r="G170" s="257"/>
      <c r="H170" s="565"/>
    </row>
    <row r="171" spans="2:8" s="136" customFormat="1" ht="24" x14ac:dyDescent="0.2">
      <c r="B171" s="135"/>
      <c r="C171" s="258" t="s">
        <v>1679</v>
      </c>
      <c r="D171" s="254" t="s">
        <v>149</v>
      </c>
      <c r="E171" s="255">
        <v>4</v>
      </c>
      <c r="F171" s="277">
        <v>0</v>
      </c>
      <c r="G171" s="278">
        <f t="shared" ref="G171:G175" si="12">E171*F171</f>
        <v>0</v>
      </c>
      <c r="H171" s="565"/>
    </row>
    <row r="172" spans="2:8" s="136" customFormat="1" x14ac:dyDescent="0.2">
      <c r="B172" s="135"/>
      <c r="C172" s="1819" t="s">
        <v>239</v>
      </c>
      <c r="D172" s="254" t="s">
        <v>149</v>
      </c>
      <c r="E172" s="255">
        <v>12</v>
      </c>
      <c r="F172" s="277">
        <v>0</v>
      </c>
      <c r="G172" s="278">
        <f t="shared" si="12"/>
        <v>0</v>
      </c>
      <c r="H172" s="565"/>
    </row>
    <row r="173" spans="2:8" s="136" customFormat="1" x14ac:dyDescent="0.2">
      <c r="B173" s="135"/>
      <c r="C173" s="1819" t="s">
        <v>1761</v>
      </c>
      <c r="D173" s="254" t="s">
        <v>149</v>
      </c>
      <c r="E173" s="255">
        <v>12</v>
      </c>
      <c r="F173" s="277">
        <v>0</v>
      </c>
      <c r="G173" s="278">
        <f t="shared" si="12"/>
        <v>0</v>
      </c>
      <c r="H173" s="565"/>
    </row>
    <row r="174" spans="2:8" s="136" customFormat="1" x14ac:dyDescent="0.2">
      <c r="B174" s="135"/>
      <c r="C174" s="1819" t="s">
        <v>227</v>
      </c>
      <c r="D174" s="254" t="s">
        <v>149</v>
      </c>
      <c r="E174" s="255">
        <v>4</v>
      </c>
      <c r="F174" s="277">
        <v>0</v>
      </c>
      <c r="G174" s="278">
        <f t="shared" si="12"/>
        <v>0</v>
      </c>
      <c r="H174" s="565"/>
    </row>
    <row r="175" spans="2:8" x14ac:dyDescent="0.2">
      <c r="B175" s="135"/>
      <c r="C175" s="1820" t="s">
        <v>1725</v>
      </c>
      <c r="D175" s="254" t="s">
        <v>149</v>
      </c>
      <c r="E175" s="255">
        <v>4</v>
      </c>
      <c r="F175" s="277">
        <v>0</v>
      </c>
      <c r="G175" s="278">
        <f t="shared" si="12"/>
        <v>0</v>
      </c>
    </row>
    <row r="176" spans="2:8" s="136" customFormat="1" x14ac:dyDescent="0.2">
      <c r="B176" s="135"/>
      <c r="C176" s="253" t="s">
        <v>845</v>
      </c>
      <c r="D176" s="254"/>
      <c r="E176" s="255"/>
      <c r="F176" s="256">
        <v>0</v>
      </c>
      <c r="G176" s="257"/>
      <c r="H176" s="565"/>
    </row>
    <row r="177" spans="2:8" s="136" customFormat="1" ht="24" x14ac:dyDescent="0.2">
      <c r="B177" s="135"/>
      <c r="C177" s="258" t="s">
        <v>1679</v>
      </c>
      <c r="D177" s="254" t="s">
        <v>149</v>
      </c>
      <c r="E177" s="255">
        <v>2</v>
      </c>
      <c r="F177" s="277">
        <v>0</v>
      </c>
      <c r="G177" s="278">
        <f t="shared" ref="G177:G183" si="13">E177*F177</f>
        <v>0</v>
      </c>
      <c r="H177" s="565"/>
    </row>
    <row r="178" spans="2:8" s="136" customFormat="1" x14ac:dyDescent="0.2">
      <c r="B178" s="135"/>
      <c r="C178" s="1816" t="s">
        <v>239</v>
      </c>
      <c r="D178" s="254" t="s">
        <v>149</v>
      </c>
      <c r="E178" s="255">
        <v>6</v>
      </c>
      <c r="F178" s="277">
        <v>0</v>
      </c>
      <c r="G178" s="278">
        <f t="shared" si="13"/>
        <v>0</v>
      </c>
      <c r="H178" s="565"/>
    </row>
    <row r="179" spans="2:8" s="136" customFormat="1" x14ac:dyDescent="0.2">
      <c r="B179" s="135"/>
      <c r="C179" s="1816" t="s">
        <v>240</v>
      </c>
      <c r="D179" s="254" t="s">
        <v>149</v>
      </c>
      <c r="E179" s="255">
        <v>6</v>
      </c>
      <c r="F179" s="277">
        <v>0</v>
      </c>
      <c r="G179" s="278">
        <f t="shared" si="13"/>
        <v>0</v>
      </c>
      <c r="H179" s="565"/>
    </row>
    <row r="180" spans="2:8" s="136" customFormat="1" x14ac:dyDescent="0.2">
      <c r="B180" s="135"/>
      <c r="C180" s="1816" t="s">
        <v>241</v>
      </c>
      <c r="D180" s="254" t="s">
        <v>149</v>
      </c>
      <c r="E180" s="255">
        <v>6</v>
      </c>
      <c r="F180" s="277">
        <v>0</v>
      </c>
      <c r="G180" s="278">
        <f t="shared" si="13"/>
        <v>0</v>
      </c>
      <c r="H180" s="565"/>
    </row>
    <row r="181" spans="2:8" s="136" customFormat="1" x14ac:dyDescent="0.2">
      <c r="B181" s="135"/>
      <c r="C181" s="1816" t="s">
        <v>242</v>
      </c>
      <c r="D181" s="254" t="s">
        <v>149</v>
      </c>
      <c r="E181" s="255">
        <v>6</v>
      </c>
      <c r="F181" s="277">
        <v>0</v>
      </c>
      <c r="G181" s="278">
        <f t="shared" si="13"/>
        <v>0</v>
      </c>
      <c r="H181" s="565"/>
    </row>
    <row r="182" spans="2:8" s="136" customFormat="1" x14ac:dyDescent="0.2">
      <c r="B182" s="135"/>
      <c r="C182" s="1816" t="s">
        <v>227</v>
      </c>
      <c r="D182" s="254" t="s">
        <v>149</v>
      </c>
      <c r="E182" s="255">
        <v>2</v>
      </c>
      <c r="F182" s="277">
        <v>0</v>
      </c>
      <c r="G182" s="278">
        <f t="shared" si="13"/>
        <v>0</v>
      </c>
      <c r="H182" s="565"/>
    </row>
    <row r="183" spans="2:8" s="136" customFormat="1" x14ac:dyDescent="0.2">
      <c r="B183" s="135"/>
      <c r="C183" s="1817" t="s">
        <v>198</v>
      </c>
      <c r="D183" s="254" t="s">
        <v>149</v>
      </c>
      <c r="E183" s="255">
        <v>2</v>
      </c>
      <c r="F183" s="277">
        <v>0</v>
      </c>
      <c r="G183" s="278">
        <f t="shared" si="13"/>
        <v>0</v>
      </c>
      <c r="H183" s="565"/>
    </row>
    <row r="184" spans="2:8" s="136" customFormat="1" x14ac:dyDescent="0.2">
      <c r="B184" s="292" t="s">
        <v>220</v>
      </c>
      <c r="C184" s="247" t="s">
        <v>244</v>
      </c>
      <c r="D184" s="202"/>
      <c r="E184" s="248"/>
      <c r="F184" s="249"/>
      <c r="G184" s="205"/>
      <c r="H184" s="565"/>
    </row>
    <row r="185" spans="2:8" s="136" customFormat="1" x14ac:dyDescent="0.2">
      <c r="B185" s="135"/>
      <c r="C185" s="247" t="s">
        <v>1429</v>
      </c>
      <c r="D185" s="202"/>
      <c r="E185" s="248"/>
      <c r="F185" s="249">
        <v>0</v>
      </c>
      <c r="G185" s="205"/>
      <c r="H185" s="565"/>
    </row>
    <row r="186" spans="2:8" s="136" customFormat="1" ht="36" x14ac:dyDescent="0.2">
      <c r="B186" s="135"/>
      <c r="C186" s="262" t="s">
        <v>1798</v>
      </c>
      <c r="D186" s="202" t="s">
        <v>149</v>
      </c>
      <c r="E186" s="248">
        <v>3</v>
      </c>
      <c r="F186" s="275">
        <v>0</v>
      </c>
      <c r="G186" s="276">
        <f t="shared" ref="G186:G188" si="14">E186*F186</f>
        <v>0</v>
      </c>
      <c r="H186" s="565"/>
    </row>
    <row r="187" spans="2:8" s="136" customFormat="1" x14ac:dyDescent="0.2">
      <c r="B187" s="135"/>
      <c r="C187" s="1814" t="s">
        <v>247</v>
      </c>
      <c r="D187" s="202" t="s">
        <v>149</v>
      </c>
      <c r="E187" s="248">
        <v>3</v>
      </c>
      <c r="F187" s="275">
        <v>0</v>
      </c>
      <c r="G187" s="276">
        <f t="shared" si="14"/>
        <v>0</v>
      </c>
      <c r="H187" s="565"/>
    </row>
    <row r="188" spans="2:8" s="136" customFormat="1" x14ac:dyDescent="0.2">
      <c r="B188" s="135"/>
      <c r="C188" s="1815" t="s">
        <v>198</v>
      </c>
      <c r="D188" s="202" t="s">
        <v>149</v>
      </c>
      <c r="E188" s="248">
        <v>3</v>
      </c>
      <c r="F188" s="275">
        <v>0</v>
      </c>
      <c r="G188" s="276">
        <f t="shared" si="14"/>
        <v>0</v>
      </c>
      <c r="H188" s="565"/>
    </row>
    <row r="189" spans="2:8" s="136" customFormat="1" x14ac:dyDescent="0.2">
      <c r="B189" s="135"/>
      <c r="C189" s="247" t="s">
        <v>826</v>
      </c>
      <c r="D189" s="202"/>
      <c r="E189" s="248"/>
      <c r="F189" s="249">
        <v>0</v>
      </c>
      <c r="G189" s="205"/>
      <c r="H189" s="565"/>
    </row>
    <row r="190" spans="2:8" s="136" customFormat="1" ht="36" x14ac:dyDescent="0.2">
      <c r="B190" s="135"/>
      <c r="C190" s="262" t="s">
        <v>827</v>
      </c>
      <c r="D190" s="202" t="s">
        <v>149</v>
      </c>
      <c r="E190" s="248">
        <v>2</v>
      </c>
      <c r="F190" s="275">
        <v>0</v>
      </c>
      <c r="G190" s="276">
        <f t="shared" ref="G190:G192" si="15">E190*F190</f>
        <v>0</v>
      </c>
      <c r="H190" s="565"/>
    </row>
    <row r="191" spans="2:8" s="136" customFormat="1" x14ac:dyDescent="0.2">
      <c r="B191" s="135"/>
      <c r="C191" s="1814" t="s">
        <v>247</v>
      </c>
      <c r="D191" s="202" t="s">
        <v>149</v>
      </c>
      <c r="E191" s="248">
        <v>2</v>
      </c>
      <c r="F191" s="275">
        <v>0</v>
      </c>
      <c r="G191" s="276">
        <f t="shared" si="15"/>
        <v>0</v>
      </c>
      <c r="H191" s="565"/>
    </row>
    <row r="192" spans="2:8" s="136" customFormat="1" x14ac:dyDescent="0.2">
      <c r="B192" s="135"/>
      <c r="C192" s="1821" t="s">
        <v>248</v>
      </c>
      <c r="D192" s="202" t="s">
        <v>149</v>
      </c>
      <c r="E192" s="248">
        <v>2</v>
      </c>
      <c r="F192" s="275">
        <v>0</v>
      </c>
      <c r="G192" s="276">
        <f t="shared" si="15"/>
        <v>0</v>
      </c>
      <c r="H192" s="565"/>
    </row>
    <row r="193" spans="2:8" s="136" customFormat="1" x14ac:dyDescent="0.2">
      <c r="B193" s="135"/>
      <c r="C193" s="247" t="s">
        <v>828</v>
      </c>
      <c r="D193" s="202"/>
      <c r="E193" s="248"/>
      <c r="F193" s="249">
        <v>0</v>
      </c>
      <c r="G193" s="205"/>
      <c r="H193" s="565"/>
    </row>
    <row r="194" spans="2:8" s="136" customFormat="1" ht="36" x14ac:dyDescent="0.2">
      <c r="B194" s="135"/>
      <c r="C194" s="262" t="s">
        <v>829</v>
      </c>
      <c r="D194" s="202" t="s">
        <v>149</v>
      </c>
      <c r="E194" s="248">
        <v>23</v>
      </c>
      <c r="F194" s="275">
        <v>0</v>
      </c>
      <c r="G194" s="276">
        <f t="shared" ref="G194:G198" si="16">E194*F194</f>
        <v>0</v>
      </c>
      <c r="H194" s="565"/>
    </row>
    <row r="195" spans="2:8" s="136" customFormat="1" x14ac:dyDescent="0.2">
      <c r="B195" s="135"/>
      <c r="C195" s="1814" t="s">
        <v>247</v>
      </c>
      <c r="D195" s="202" t="s">
        <v>149</v>
      </c>
      <c r="E195" s="248">
        <v>23</v>
      </c>
      <c r="F195" s="275">
        <v>0</v>
      </c>
      <c r="G195" s="276">
        <f t="shared" si="16"/>
        <v>0</v>
      </c>
      <c r="H195" s="565"/>
    </row>
    <row r="196" spans="2:8" s="136" customFormat="1" x14ac:dyDescent="0.2">
      <c r="B196" s="135"/>
      <c r="C196" s="1815" t="s">
        <v>198</v>
      </c>
      <c r="D196" s="202" t="s">
        <v>149</v>
      </c>
      <c r="E196" s="248">
        <v>23</v>
      </c>
      <c r="F196" s="275">
        <v>0</v>
      </c>
      <c r="G196" s="276">
        <f t="shared" si="16"/>
        <v>0</v>
      </c>
      <c r="H196" s="565"/>
    </row>
    <row r="197" spans="2:8" s="136" customFormat="1" x14ac:dyDescent="0.2">
      <c r="B197" s="135"/>
      <c r="C197" s="1815" t="s">
        <v>1726</v>
      </c>
      <c r="D197" s="202" t="s">
        <v>149</v>
      </c>
      <c r="E197" s="248">
        <v>5</v>
      </c>
      <c r="F197" s="275">
        <v>0</v>
      </c>
      <c r="G197" s="276">
        <f t="shared" si="16"/>
        <v>0</v>
      </c>
      <c r="H197" s="565"/>
    </row>
    <row r="198" spans="2:8" s="136" customFormat="1" x14ac:dyDescent="0.2">
      <c r="B198" s="135"/>
      <c r="C198" s="1815" t="s">
        <v>1727</v>
      </c>
      <c r="D198" s="202" t="s">
        <v>149</v>
      </c>
      <c r="E198" s="248">
        <v>7</v>
      </c>
      <c r="F198" s="275">
        <v>0</v>
      </c>
      <c r="G198" s="276">
        <f t="shared" si="16"/>
        <v>0</v>
      </c>
      <c r="H198" s="565"/>
    </row>
    <row r="199" spans="2:8" s="136" customFormat="1" x14ac:dyDescent="0.2">
      <c r="B199" s="292" t="s">
        <v>330</v>
      </c>
      <c r="C199" s="264" t="s">
        <v>271</v>
      </c>
      <c r="D199" s="231"/>
      <c r="E199" s="265"/>
      <c r="F199" s="266"/>
      <c r="G199" s="234"/>
      <c r="H199" s="565"/>
    </row>
    <row r="200" spans="2:8" s="136" customFormat="1" x14ac:dyDescent="0.2">
      <c r="B200" s="135"/>
      <c r="C200" s="264" t="s">
        <v>1762</v>
      </c>
      <c r="D200" s="231"/>
      <c r="E200" s="265"/>
      <c r="F200" s="266">
        <v>0</v>
      </c>
      <c r="G200" s="234"/>
      <c r="H200" s="565"/>
    </row>
    <row r="201" spans="2:8" s="136" customFormat="1" x14ac:dyDescent="0.2">
      <c r="B201" s="135"/>
      <c r="C201" s="267" t="s">
        <v>289</v>
      </c>
      <c r="D201" s="231" t="s">
        <v>149</v>
      </c>
      <c r="E201" s="265">
        <v>4</v>
      </c>
      <c r="F201" s="279">
        <v>0</v>
      </c>
      <c r="G201" s="272">
        <f>E201*F201</f>
        <v>0</v>
      </c>
      <c r="H201" s="565"/>
    </row>
    <row r="202" spans="2:8" x14ac:dyDescent="0.2">
      <c r="B202" s="135"/>
      <c r="C202" s="267" t="s">
        <v>213</v>
      </c>
      <c r="D202" s="231" t="s">
        <v>149</v>
      </c>
      <c r="E202" s="265">
        <v>2</v>
      </c>
      <c r="F202" s="279">
        <v>0</v>
      </c>
      <c r="G202" s="272">
        <f t="shared" ref="G202:G226" si="17">E202*F202</f>
        <v>0</v>
      </c>
    </row>
    <row r="203" spans="2:8" s="136" customFormat="1" x14ac:dyDescent="0.2">
      <c r="B203" s="135"/>
      <c r="C203" s="267" t="s">
        <v>290</v>
      </c>
      <c r="D203" s="231" t="s">
        <v>149</v>
      </c>
      <c r="E203" s="265">
        <v>2</v>
      </c>
      <c r="F203" s="279">
        <v>0</v>
      </c>
      <c r="G203" s="272">
        <f t="shared" si="17"/>
        <v>0</v>
      </c>
      <c r="H203" s="565"/>
    </row>
    <row r="204" spans="2:8" s="136" customFormat="1" ht="24" x14ac:dyDescent="0.2">
      <c r="B204" s="135"/>
      <c r="C204" s="267" t="s">
        <v>291</v>
      </c>
      <c r="D204" s="231" t="s">
        <v>149</v>
      </c>
      <c r="E204" s="265">
        <v>2</v>
      </c>
      <c r="F204" s="279">
        <v>0</v>
      </c>
      <c r="G204" s="272">
        <f t="shared" si="17"/>
        <v>0</v>
      </c>
      <c r="H204" s="565"/>
    </row>
    <row r="205" spans="2:8" s="136" customFormat="1" ht="24" x14ac:dyDescent="0.2">
      <c r="B205" s="135"/>
      <c r="C205" s="267" t="s">
        <v>274</v>
      </c>
      <c r="D205" s="231" t="s">
        <v>149</v>
      </c>
      <c r="E205" s="265">
        <v>2</v>
      </c>
      <c r="F205" s="279">
        <v>0</v>
      </c>
      <c r="G205" s="272">
        <f t="shared" si="17"/>
        <v>0</v>
      </c>
      <c r="H205" s="565"/>
    </row>
    <row r="206" spans="2:8" x14ac:dyDescent="0.2">
      <c r="B206" s="135"/>
      <c r="C206" s="267" t="s">
        <v>292</v>
      </c>
      <c r="D206" s="231" t="s">
        <v>149</v>
      </c>
      <c r="E206" s="265">
        <v>1</v>
      </c>
      <c r="F206" s="279">
        <v>0</v>
      </c>
      <c r="G206" s="272">
        <f t="shared" si="17"/>
        <v>0</v>
      </c>
    </row>
    <row r="207" spans="2:8" x14ac:dyDescent="0.2">
      <c r="B207" s="135"/>
      <c r="C207" s="268" t="s">
        <v>293</v>
      </c>
      <c r="D207" s="231" t="s">
        <v>149</v>
      </c>
      <c r="E207" s="265">
        <v>2</v>
      </c>
      <c r="F207" s="279">
        <v>0</v>
      </c>
      <c r="G207" s="272">
        <f t="shared" si="17"/>
        <v>0</v>
      </c>
    </row>
    <row r="208" spans="2:8" x14ac:dyDescent="0.2">
      <c r="B208" s="135"/>
      <c r="C208" s="268" t="s">
        <v>294</v>
      </c>
      <c r="D208" s="231" t="s">
        <v>149</v>
      </c>
      <c r="E208" s="265">
        <v>1</v>
      </c>
      <c r="F208" s="279">
        <v>0</v>
      </c>
      <c r="G208" s="272">
        <f t="shared" si="17"/>
        <v>0</v>
      </c>
    </row>
    <row r="209" spans="2:7" x14ac:dyDescent="0.2">
      <c r="B209" s="135"/>
      <c r="C209" s="268" t="s">
        <v>278</v>
      </c>
      <c r="D209" s="231" t="s">
        <v>149</v>
      </c>
      <c r="E209" s="265">
        <v>1</v>
      </c>
      <c r="F209" s="279">
        <v>0</v>
      </c>
      <c r="G209" s="272">
        <f t="shared" si="17"/>
        <v>0</v>
      </c>
    </row>
    <row r="210" spans="2:7" x14ac:dyDescent="0.2">
      <c r="B210" s="135"/>
      <c r="C210" s="268" t="s">
        <v>295</v>
      </c>
      <c r="D210" s="231" t="s">
        <v>149</v>
      </c>
      <c r="E210" s="265">
        <v>1</v>
      </c>
      <c r="F210" s="279">
        <v>0</v>
      </c>
      <c r="G210" s="272">
        <f t="shared" si="17"/>
        <v>0</v>
      </c>
    </row>
    <row r="211" spans="2:7" x14ac:dyDescent="0.2">
      <c r="B211" s="135"/>
      <c r="C211" s="268" t="s">
        <v>296</v>
      </c>
      <c r="D211" s="231" t="s">
        <v>149</v>
      </c>
      <c r="E211" s="265">
        <v>1</v>
      </c>
      <c r="F211" s="279">
        <v>0</v>
      </c>
      <c r="G211" s="272">
        <f t="shared" si="17"/>
        <v>0</v>
      </c>
    </row>
    <row r="212" spans="2:7" x14ac:dyDescent="0.2">
      <c r="B212" s="135"/>
      <c r="C212" s="268" t="s">
        <v>297</v>
      </c>
      <c r="D212" s="231" t="s">
        <v>149</v>
      </c>
      <c r="E212" s="265">
        <v>1</v>
      </c>
      <c r="F212" s="279">
        <v>0</v>
      </c>
      <c r="G212" s="272">
        <f t="shared" si="17"/>
        <v>0</v>
      </c>
    </row>
    <row r="213" spans="2:7" x14ac:dyDescent="0.2">
      <c r="B213" s="135"/>
      <c r="C213" s="268" t="s">
        <v>281</v>
      </c>
      <c r="D213" s="231" t="s">
        <v>149</v>
      </c>
      <c r="E213" s="265">
        <v>1</v>
      </c>
      <c r="F213" s="279">
        <v>0</v>
      </c>
      <c r="G213" s="272">
        <f t="shared" si="17"/>
        <v>0</v>
      </c>
    </row>
    <row r="214" spans="2:7" x14ac:dyDescent="0.2">
      <c r="B214" s="135"/>
      <c r="C214" s="268" t="s">
        <v>282</v>
      </c>
      <c r="D214" s="231" t="s">
        <v>149</v>
      </c>
      <c r="E214" s="265">
        <v>1</v>
      </c>
      <c r="F214" s="279">
        <v>0</v>
      </c>
      <c r="G214" s="272">
        <f t="shared" si="17"/>
        <v>0</v>
      </c>
    </row>
    <row r="215" spans="2:7" x14ac:dyDescent="0.2">
      <c r="B215" s="135"/>
      <c r="C215" s="1826" t="s">
        <v>283</v>
      </c>
      <c r="D215" s="231" t="s">
        <v>149</v>
      </c>
      <c r="E215" s="265">
        <v>2</v>
      </c>
      <c r="F215" s="279">
        <v>0</v>
      </c>
      <c r="G215" s="272">
        <f t="shared" si="17"/>
        <v>0</v>
      </c>
    </row>
    <row r="216" spans="2:7" ht="36" customHeight="1" x14ac:dyDescent="0.2">
      <c r="B216" s="135"/>
      <c r="C216" s="268" t="s">
        <v>284</v>
      </c>
      <c r="D216" s="231" t="s">
        <v>149</v>
      </c>
      <c r="E216" s="265">
        <v>1</v>
      </c>
      <c r="F216" s="279">
        <v>0</v>
      </c>
      <c r="G216" s="272">
        <f t="shared" si="17"/>
        <v>0</v>
      </c>
    </row>
    <row r="217" spans="2:7" ht="36" x14ac:dyDescent="0.2">
      <c r="B217" s="135"/>
      <c r="C217" s="268" t="s">
        <v>285</v>
      </c>
      <c r="D217" s="231" t="s">
        <v>149</v>
      </c>
      <c r="E217" s="265">
        <v>1</v>
      </c>
      <c r="F217" s="279">
        <v>0</v>
      </c>
      <c r="G217" s="272">
        <f t="shared" si="17"/>
        <v>0</v>
      </c>
    </row>
    <row r="218" spans="2:7" x14ac:dyDescent="0.2">
      <c r="B218" s="655"/>
      <c r="C218" s="1385" t="s">
        <v>298</v>
      </c>
      <c r="D218" s="1386" t="s">
        <v>149</v>
      </c>
      <c r="E218" s="1387">
        <v>2</v>
      </c>
      <c r="F218" s="279">
        <v>0</v>
      </c>
      <c r="G218" s="272">
        <f t="shared" si="17"/>
        <v>0</v>
      </c>
    </row>
    <row r="219" spans="2:7" x14ac:dyDescent="0.2">
      <c r="B219" s="135"/>
      <c r="C219" s="268" t="s">
        <v>193</v>
      </c>
      <c r="D219" s="231" t="s">
        <v>149</v>
      </c>
      <c r="E219" s="265">
        <v>1</v>
      </c>
      <c r="F219" s="279">
        <v>0</v>
      </c>
      <c r="G219" s="272">
        <f t="shared" si="17"/>
        <v>0</v>
      </c>
    </row>
    <row r="220" spans="2:7" x14ac:dyDescent="0.2">
      <c r="B220" s="135"/>
      <c r="C220" s="268" t="s">
        <v>194</v>
      </c>
      <c r="D220" s="231" t="s">
        <v>149</v>
      </c>
      <c r="E220" s="265">
        <v>1</v>
      </c>
      <c r="F220" s="279">
        <v>0</v>
      </c>
      <c r="G220" s="272">
        <f t="shared" si="17"/>
        <v>0</v>
      </c>
    </row>
    <row r="221" spans="2:7" x14ac:dyDescent="0.2">
      <c r="B221" s="655"/>
      <c r="C221" s="1385" t="s">
        <v>286</v>
      </c>
      <c r="D221" s="1386" t="s">
        <v>149</v>
      </c>
      <c r="E221" s="1387">
        <v>1</v>
      </c>
      <c r="F221" s="279">
        <v>0</v>
      </c>
      <c r="G221" s="272">
        <f t="shared" si="17"/>
        <v>0</v>
      </c>
    </row>
    <row r="222" spans="2:7" x14ac:dyDescent="0.2">
      <c r="B222" s="135"/>
      <c r="C222" s="1826" t="s">
        <v>239</v>
      </c>
      <c r="D222" s="231" t="s">
        <v>149</v>
      </c>
      <c r="E222" s="265">
        <v>6</v>
      </c>
      <c r="F222" s="279">
        <v>0</v>
      </c>
      <c r="G222" s="272">
        <f t="shared" si="17"/>
        <v>0</v>
      </c>
    </row>
    <row r="223" spans="2:7" x14ac:dyDescent="0.2">
      <c r="B223" s="135"/>
      <c r="C223" s="1826" t="s">
        <v>1761</v>
      </c>
      <c r="D223" s="231" t="s">
        <v>149</v>
      </c>
      <c r="E223" s="265">
        <v>6</v>
      </c>
      <c r="F223" s="279">
        <v>0</v>
      </c>
      <c r="G223" s="272">
        <f t="shared" si="17"/>
        <v>0</v>
      </c>
    </row>
    <row r="224" spans="2:7" x14ac:dyDescent="0.2">
      <c r="B224" s="135"/>
      <c r="C224" s="1826" t="s">
        <v>227</v>
      </c>
      <c r="D224" s="231" t="s">
        <v>149</v>
      </c>
      <c r="E224" s="265">
        <v>2</v>
      </c>
      <c r="F224" s="279">
        <v>0</v>
      </c>
      <c r="G224" s="272">
        <f t="shared" si="17"/>
        <v>0</v>
      </c>
    </row>
    <row r="225" spans="2:8" x14ac:dyDescent="0.2">
      <c r="B225" s="135"/>
      <c r="C225" s="1826" t="s">
        <v>197</v>
      </c>
      <c r="D225" s="231" t="s">
        <v>149</v>
      </c>
      <c r="E225" s="265">
        <v>1</v>
      </c>
      <c r="F225" s="279">
        <v>0</v>
      </c>
      <c r="G225" s="272">
        <f t="shared" si="17"/>
        <v>0</v>
      </c>
    </row>
    <row r="226" spans="2:8" x14ac:dyDescent="0.2">
      <c r="B226" s="135"/>
      <c r="C226" s="1832" t="s">
        <v>1725</v>
      </c>
      <c r="D226" s="231" t="s">
        <v>149</v>
      </c>
      <c r="E226" s="265">
        <v>1</v>
      </c>
      <c r="F226" s="279">
        <v>0</v>
      </c>
      <c r="G226" s="272">
        <f t="shared" si="17"/>
        <v>0</v>
      </c>
    </row>
    <row r="227" spans="2:8" x14ac:dyDescent="0.2">
      <c r="B227" s="135"/>
      <c r="C227" s="1832"/>
      <c r="D227" s="231"/>
      <c r="E227" s="265"/>
      <c r="F227" s="279"/>
      <c r="G227" s="272"/>
    </row>
    <row r="228" spans="2:8" x14ac:dyDescent="0.2">
      <c r="B228" s="292" t="s">
        <v>230</v>
      </c>
      <c r="C228" s="280" t="s">
        <v>300</v>
      </c>
      <c r="D228" s="281"/>
      <c r="E228" s="282"/>
      <c r="F228" s="283"/>
      <c r="G228" s="284"/>
    </row>
    <row r="229" spans="2:8" ht="60" x14ac:dyDescent="0.2">
      <c r="B229" s="655"/>
      <c r="C229" s="1398" t="s">
        <v>301</v>
      </c>
      <c r="D229" s="1399" t="s">
        <v>149</v>
      </c>
      <c r="E229" s="1400">
        <v>28</v>
      </c>
      <c r="F229" s="1401">
        <v>0</v>
      </c>
      <c r="G229" s="1402">
        <f t="shared" ref="G229" si="18">E229*F229</f>
        <v>0</v>
      </c>
    </row>
    <row r="230" spans="2:8" s="136" customFormat="1" ht="25.5" customHeight="1" x14ac:dyDescent="0.2">
      <c r="B230" s="293" t="s">
        <v>17</v>
      </c>
      <c r="C230" s="294" t="s">
        <v>302</v>
      </c>
      <c r="D230" s="218"/>
      <c r="E230" s="203"/>
      <c r="F230" s="204"/>
      <c r="G230" s="290">
        <f>SUM(G88:G229)</f>
        <v>0</v>
      </c>
      <c r="H230" s="565"/>
    </row>
  </sheetData>
  <mergeCells count="7">
    <mergeCell ref="B97:B99"/>
    <mergeCell ref="C6:G6"/>
    <mergeCell ref="B40:G40"/>
    <mergeCell ref="B51:B53"/>
    <mergeCell ref="B85:G85"/>
    <mergeCell ref="B86:G86"/>
    <mergeCell ref="B87:G87"/>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7" max="16383" man="1"/>
    <brk id="183"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4185-2357-46F3-8A93-42D7F6C6E0FF}">
  <sheetPr>
    <tabColor theme="0" tint="-0.14999847407452621"/>
  </sheetPr>
  <dimension ref="A2:L239"/>
  <sheetViews>
    <sheetView showZeros="0" topLeftCell="A57" zoomScaleNormal="10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3.4257812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38.25" customHeight="1" x14ac:dyDescent="0.2">
      <c r="B6" s="1776" t="s">
        <v>80</v>
      </c>
      <c r="C6" s="3286" t="s">
        <v>1799</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G239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3614</v>
      </c>
      <c r="F24" s="467">
        <v>0</v>
      </c>
      <c r="G24" s="352">
        <f t="shared" ref="G24" si="0">E24*F24</f>
        <v>0</v>
      </c>
    </row>
    <row r="25" spans="2:8" x14ac:dyDescent="0.2">
      <c r="B25" s="129">
        <v>2</v>
      </c>
      <c r="C25" s="206" t="s">
        <v>96</v>
      </c>
      <c r="D25" s="207" t="s">
        <v>95</v>
      </c>
      <c r="E25" s="353">
        <v>3614</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36" x14ac:dyDescent="0.2">
      <c r="B31" s="129">
        <v>8</v>
      </c>
      <c r="C31" s="3165" t="s">
        <v>2590</v>
      </c>
      <c r="D31" s="210" t="s">
        <v>95</v>
      </c>
      <c r="E31" s="353">
        <v>4224</v>
      </c>
      <c r="F31" s="467">
        <v>0</v>
      </c>
      <c r="G31" s="352">
        <f t="shared" si="1"/>
        <v>0</v>
      </c>
      <c r="H31" s="571"/>
    </row>
    <row r="32" spans="2:8" ht="27.75" customHeight="1" x14ac:dyDescent="0.2">
      <c r="B32" s="129">
        <v>9</v>
      </c>
      <c r="C32" s="3165" t="s">
        <v>2591</v>
      </c>
      <c r="D32" s="210" t="s">
        <v>95</v>
      </c>
      <c r="E32" s="353">
        <v>4224</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f>(4224*1*1.4*0.07)</f>
        <v>413.952</v>
      </c>
      <c r="F42" s="467">
        <v>0</v>
      </c>
      <c r="G42" s="352">
        <f t="shared" ref="G42:G75" si="2">E42*F42</f>
        <v>0</v>
      </c>
      <c r="I42" s="132"/>
    </row>
    <row r="43" spans="2:12" ht="39" customHeight="1" x14ac:dyDescent="0.2">
      <c r="B43" s="131">
        <v>2</v>
      </c>
      <c r="C43" s="206" t="s">
        <v>113</v>
      </c>
      <c r="D43" s="207" t="s">
        <v>95</v>
      </c>
      <c r="E43" s="353">
        <f>0.6*4224</f>
        <v>2534.4</v>
      </c>
      <c r="F43" s="467">
        <v>0</v>
      </c>
      <c r="G43" s="352">
        <f t="shared" si="2"/>
        <v>0</v>
      </c>
      <c r="I43" s="132"/>
    </row>
    <row r="44" spans="2:12" ht="36" x14ac:dyDescent="0.2">
      <c r="B44" s="131">
        <v>3</v>
      </c>
      <c r="C44" s="206" t="s">
        <v>114</v>
      </c>
      <c r="D44" s="209" t="s">
        <v>112</v>
      </c>
      <c r="E44" s="353">
        <f>((4224*1*1.4)-E42)*0.1</f>
        <v>549.96479999999997</v>
      </c>
      <c r="F44" s="467">
        <v>0</v>
      </c>
      <c r="G44" s="352">
        <f t="shared" si="2"/>
        <v>0</v>
      </c>
      <c r="I44" s="133"/>
      <c r="K44" s="134"/>
      <c r="L44" s="134"/>
    </row>
    <row r="45" spans="2:12" ht="39.75" customHeight="1" x14ac:dyDescent="0.2">
      <c r="B45" s="131">
        <v>4</v>
      </c>
      <c r="C45" s="206" t="s">
        <v>115</v>
      </c>
      <c r="D45" s="209" t="s">
        <v>112</v>
      </c>
      <c r="E45" s="353">
        <f>((4224*1*1.4)-E42)*0.9</f>
        <v>4949.6831999999995</v>
      </c>
      <c r="F45" s="467">
        <v>0</v>
      </c>
      <c r="G45" s="352">
        <f t="shared" si="2"/>
        <v>0</v>
      </c>
      <c r="I45" s="133"/>
      <c r="J45" s="134"/>
    </row>
    <row r="46" spans="2:12" ht="29.25" customHeight="1" x14ac:dyDescent="0.2">
      <c r="B46" s="131">
        <v>5</v>
      </c>
      <c r="C46" s="311" t="s">
        <v>116</v>
      </c>
      <c r="D46" s="219" t="s">
        <v>117</v>
      </c>
      <c r="E46" s="471">
        <f>4224*1.4</f>
        <v>5913.5999999999995</v>
      </c>
      <c r="F46" s="467">
        <v>0</v>
      </c>
      <c r="G46" s="352">
        <f t="shared" si="2"/>
        <v>0</v>
      </c>
      <c r="I46" s="1364"/>
    </row>
    <row r="47" spans="2:12" ht="29.25" customHeight="1" x14ac:dyDescent="0.2">
      <c r="B47" s="131">
        <v>6</v>
      </c>
      <c r="C47" s="206" t="s">
        <v>118</v>
      </c>
      <c r="D47" s="209" t="s">
        <v>117</v>
      </c>
      <c r="E47" s="353">
        <f>4224*1</f>
        <v>4224</v>
      </c>
      <c r="F47" s="467">
        <v>0</v>
      </c>
      <c r="G47" s="352">
        <f t="shared" si="2"/>
        <v>0</v>
      </c>
      <c r="I47" s="1364"/>
    </row>
    <row r="48" spans="2:12" ht="27" customHeight="1" x14ac:dyDescent="0.2">
      <c r="B48" s="131">
        <v>7</v>
      </c>
      <c r="C48" s="206" t="s">
        <v>304</v>
      </c>
      <c r="D48" s="209" t="s">
        <v>112</v>
      </c>
      <c r="E48" s="353">
        <v>1170.5</v>
      </c>
      <c r="F48" s="467">
        <v>0</v>
      </c>
      <c r="G48" s="352">
        <f t="shared" si="2"/>
        <v>0</v>
      </c>
      <c r="I48" s="133"/>
      <c r="J48" s="1365"/>
    </row>
    <row r="49" spans="2:12" ht="24" x14ac:dyDescent="0.2">
      <c r="B49" s="131">
        <v>8</v>
      </c>
      <c r="C49" s="206" t="s">
        <v>119</v>
      </c>
      <c r="D49" s="209" t="s">
        <v>112</v>
      </c>
      <c r="E49" s="353">
        <v>3371.2</v>
      </c>
      <c r="F49" s="467">
        <v>0</v>
      </c>
      <c r="G49" s="352">
        <f t="shared" si="2"/>
        <v>0</v>
      </c>
      <c r="I49" s="134"/>
    </row>
    <row r="50" spans="2:12" ht="40.5" customHeight="1" x14ac:dyDescent="0.2">
      <c r="B50" s="131">
        <v>9</v>
      </c>
      <c r="C50" s="208" t="s">
        <v>120</v>
      </c>
      <c r="D50" s="209" t="s">
        <v>112</v>
      </c>
      <c r="E50" s="353">
        <v>865.4</v>
      </c>
      <c r="F50" s="467">
        <v>0</v>
      </c>
      <c r="G50" s="352">
        <f t="shared" si="2"/>
        <v>0</v>
      </c>
      <c r="I50" s="1365"/>
      <c r="J50" s="1365"/>
      <c r="K50" s="1365"/>
    </row>
    <row r="51" spans="2:12" s="130" customFormat="1" ht="39" customHeight="1" x14ac:dyDescent="0.2">
      <c r="B51" s="131">
        <v>10</v>
      </c>
      <c r="C51" s="314" t="s">
        <v>121</v>
      </c>
      <c r="D51" s="210" t="s">
        <v>112</v>
      </c>
      <c r="E51" s="353">
        <v>594.70000000000005</v>
      </c>
      <c r="F51" s="467">
        <v>0</v>
      </c>
      <c r="G51" s="352">
        <f t="shared" si="2"/>
        <v>0</v>
      </c>
      <c r="H51" s="565"/>
      <c r="I51" s="1263"/>
      <c r="J51" s="1263"/>
      <c r="K51" s="1263"/>
      <c r="L51" s="1263"/>
    </row>
    <row r="52" spans="2:12" s="147" customFormat="1" ht="54" customHeight="1" x14ac:dyDescent="0.25">
      <c r="B52" s="3187">
        <v>11</v>
      </c>
      <c r="C52" s="308" t="s">
        <v>122</v>
      </c>
      <c r="D52" s="210"/>
      <c r="E52" s="353"/>
      <c r="F52" s="467"/>
      <c r="G52" s="352"/>
      <c r="H52" s="572"/>
      <c r="I52" s="490"/>
      <c r="J52" s="490"/>
    </row>
    <row r="53" spans="2:12" s="147" customFormat="1" ht="15" customHeight="1" x14ac:dyDescent="0.25">
      <c r="B53" s="3188"/>
      <c r="C53" s="308" t="s">
        <v>124</v>
      </c>
      <c r="D53" s="207" t="s">
        <v>95</v>
      </c>
      <c r="E53" s="353">
        <v>70</v>
      </c>
      <c r="F53" s="467">
        <v>0</v>
      </c>
      <c r="G53" s="352">
        <f t="shared" si="2"/>
        <v>0</v>
      </c>
      <c r="H53" s="572"/>
      <c r="I53" s="490"/>
    </row>
    <row r="54" spans="2:12" s="147" customFormat="1" ht="15" customHeight="1" x14ac:dyDescent="0.25">
      <c r="B54" s="3189"/>
      <c r="C54" s="308" t="s">
        <v>305</v>
      </c>
      <c r="D54" s="207" t="s">
        <v>95</v>
      </c>
      <c r="E54" s="353">
        <v>35</v>
      </c>
      <c r="F54" s="467">
        <v>0</v>
      </c>
      <c r="G54" s="352">
        <f t="shared" si="2"/>
        <v>0</v>
      </c>
      <c r="H54" s="572"/>
    </row>
    <row r="55" spans="2:12" ht="25.5" customHeight="1" x14ac:dyDescent="0.2">
      <c r="B55" s="131">
        <v>12</v>
      </c>
      <c r="C55" s="206" t="s">
        <v>125</v>
      </c>
      <c r="D55" s="209" t="s">
        <v>95</v>
      </c>
      <c r="E55" s="353">
        <v>1212.4000000000001</v>
      </c>
      <c r="F55" s="467">
        <v>0</v>
      </c>
      <c r="G55" s="352">
        <f t="shared" si="2"/>
        <v>0</v>
      </c>
      <c r="H55" s="571"/>
    </row>
    <row r="56" spans="2:12" ht="16.5" customHeight="1" x14ac:dyDescent="0.2">
      <c r="B56" s="131">
        <v>13</v>
      </c>
      <c r="C56" s="206" t="s">
        <v>126</v>
      </c>
      <c r="D56" s="207" t="s">
        <v>117</v>
      </c>
      <c r="E56" s="353">
        <v>1324.26</v>
      </c>
      <c r="F56" s="467">
        <v>0</v>
      </c>
      <c r="G56" s="352">
        <f t="shared" si="2"/>
        <v>0</v>
      </c>
      <c r="H56" s="571"/>
    </row>
    <row r="57" spans="2:12" ht="41.25" customHeight="1" x14ac:dyDescent="0.2">
      <c r="B57" s="131">
        <v>14</v>
      </c>
      <c r="C57" s="206" t="s">
        <v>127</v>
      </c>
      <c r="D57" s="207" t="s">
        <v>117</v>
      </c>
      <c r="E57" s="353">
        <f>E56</f>
        <v>1324.26</v>
      </c>
      <c r="F57" s="467">
        <v>0</v>
      </c>
      <c r="G57" s="352">
        <f t="shared" si="2"/>
        <v>0</v>
      </c>
      <c r="H57" s="571"/>
      <c r="I57" s="1365"/>
    </row>
    <row r="58" spans="2:12" ht="65.25" customHeight="1" x14ac:dyDescent="0.2">
      <c r="B58" s="131">
        <v>15</v>
      </c>
      <c r="C58" s="314" t="s">
        <v>706</v>
      </c>
      <c r="D58" s="209" t="s">
        <v>117</v>
      </c>
      <c r="E58" s="353">
        <v>699.73</v>
      </c>
      <c r="F58" s="467">
        <v>0</v>
      </c>
      <c r="G58" s="352">
        <f t="shared" si="2"/>
        <v>0</v>
      </c>
      <c r="H58" s="571"/>
      <c r="I58" s="1370">
        <f>E57-E58-E59-E61</f>
        <v>0</v>
      </c>
    </row>
    <row r="59" spans="2:12" ht="51.75" customHeight="1" x14ac:dyDescent="0.2">
      <c r="B59" s="312" t="s">
        <v>576</v>
      </c>
      <c r="C59" s="208" t="s">
        <v>129</v>
      </c>
      <c r="D59" s="209" t="s">
        <v>117</v>
      </c>
      <c r="E59" s="353">
        <v>378.83</v>
      </c>
      <c r="F59" s="467">
        <v>0</v>
      </c>
      <c r="G59" s="352">
        <f t="shared" si="2"/>
        <v>0</v>
      </c>
      <c r="H59" s="571"/>
      <c r="I59" s="1365"/>
    </row>
    <row r="60" spans="2:12" ht="64.5" customHeight="1" x14ac:dyDescent="0.2">
      <c r="B60" s="312" t="s">
        <v>578</v>
      </c>
      <c r="C60" s="208" t="s">
        <v>708</v>
      </c>
      <c r="D60" s="209" t="s">
        <v>117</v>
      </c>
      <c r="E60" s="353">
        <v>378.83</v>
      </c>
      <c r="F60" s="467">
        <v>0</v>
      </c>
      <c r="G60" s="352">
        <f t="shared" si="2"/>
        <v>0</v>
      </c>
      <c r="H60" s="571"/>
      <c r="I60" s="1365"/>
      <c r="K60" s="1368"/>
    </row>
    <row r="61" spans="2:12" ht="76.5" customHeight="1" x14ac:dyDescent="0.2">
      <c r="B61" s="312" t="s">
        <v>580</v>
      </c>
      <c r="C61" s="208" t="s">
        <v>711</v>
      </c>
      <c r="D61" s="209" t="s">
        <v>117</v>
      </c>
      <c r="E61" s="353">
        <v>245.7</v>
      </c>
      <c r="F61" s="467">
        <v>0</v>
      </c>
      <c r="G61" s="352">
        <f>E61*F61</f>
        <v>0</v>
      </c>
      <c r="H61" s="571"/>
      <c r="I61" s="1368">
        <f>I58/2</f>
        <v>0</v>
      </c>
    </row>
    <row r="62" spans="2:12" ht="38.25" customHeight="1" x14ac:dyDescent="0.2">
      <c r="B62" s="312" t="s">
        <v>582</v>
      </c>
      <c r="C62" s="206" t="s">
        <v>132</v>
      </c>
      <c r="D62" s="207" t="s">
        <v>117</v>
      </c>
      <c r="E62" s="353">
        <v>212</v>
      </c>
      <c r="F62" s="467">
        <v>0</v>
      </c>
      <c r="G62" s="352">
        <f t="shared" si="2"/>
        <v>0</v>
      </c>
    </row>
    <row r="63" spans="2:12" ht="24" x14ac:dyDescent="0.2">
      <c r="B63" s="312" t="s">
        <v>584</v>
      </c>
      <c r="C63" s="206" t="s">
        <v>133</v>
      </c>
      <c r="D63" s="209" t="s">
        <v>112</v>
      </c>
      <c r="E63" s="353">
        <v>265</v>
      </c>
      <c r="F63" s="467">
        <v>0</v>
      </c>
      <c r="G63" s="352">
        <f t="shared" si="2"/>
        <v>0</v>
      </c>
      <c r="I63" s="134"/>
    </row>
    <row r="64" spans="2:12" ht="14.25" customHeight="1" x14ac:dyDescent="0.2">
      <c r="B64" s="312" t="s">
        <v>586</v>
      </c>
      <c r="C64" s="206" t="s">
        <v>134</v>
      </c>
      <c r="D64" s="209" t="s">
        <v>112</v>
      </c>
      <c r="E64" s="353">
        <v>2542.58</v>
      </c>
      <c r="F64" s="467">
        <v>0</v>
      </c>
      <c r="G64" s="352">
        <f t="shared" si="2"/>
        <v>0</v>
      </c>
      <c r="I64" s="1365"/>
    </row>
    <row r="65" spans="2:9" ht="15.75" customHeight="1" x14ac:dyDescent="0.2">
      <c r="B65" s="312" t="s">
        <v>588</v>
      </c>
      <c r="C65" s="206" t="s">
        <v>135</v>
      </c>
      <c r="D65" s="209" t="s">
        <v>112</v>
      </c>
      <c r="E65" s="353">
        <f>E64</f>
        <v>2542.58</v>
      </c>
      <c r="F65" s="467">
        <v>0</v>
      </c>
      <c r="G65" s="352">
        <f t="shared" si="2"/>
        <v>0</v>
      </c>
    </row>
    <row r="66" spans="2:9" ht="27.75" customHeight="1" x14ac:dyDescent="0.2">
      <c r="B66" s="312" t="s">
        <v>590</v>
      </c>
      <c r="C66" s="206" t="s">
        <v>136</v>
      </c>
      <c r="D66" s="209" t="s">
        <v>117</v>
      </c>
      <c r="E66" s="353">
        <v>1291.2</v>
      </c>
      <c r="F66" s="467">
        <v>0</v>
      </c>
      <c r="G66" s="352">
        <f t="shared" si="2"/>
        <v>0</v>
      </c>
    </row>
    <row r="67" spans="2:9" ht="30" customHeight="1" x14ac:dyDescent="0.2">
      <c r="B67" s="312" t="s">
        <v>592</v>
      </c>
      <c r="C67" s="206" t="s">
        <v>138</v>
      </c>
      <c r="D67" s="207" t="s">
        <v>117</v>
      </c>
      <c r="E67" s="353">
        <v>1662.8</v>
      </c>
      <c r="F67" s="467">
        <v>0</v>
      </c>
      <c r="G67" s="352">
        <f t="shared" si="2"/>
        <v>0</v>
      </c>
    </row>
    <row r="68" spans="2:9" s="130" customFormat="1" ht="51.75" customHeight="1" x14ac:dyDescent="0.2">
      <c r="B68" s="3187">
        <v>25</v>
      </c>
      <c r="C68" s="408" t="s">
        <v>139</v>
      </c>
      <c r="D68" s="221"/>
      <c r="E68" s="353"/>
      <c r="F68" s="467"/>
      <c r="G68" s="352"/>
      <c r="H68" s="565"/>
    </row>
    <row r="69" spans="2:9" s="130" customFormat="1" x14ac:dyDescent="0.2">
      <c r="B69" s="3188"/>
      <c r="C69" s="291" t="s">
        <v>140</v>
      </c>
      <c r="D69" s="221" t="s">
        <v>95</v>
      </c>
      <c r="E69" s="353">
        <v>10</v>
      </c>
      <c r="F69" s="467">
        <v>0</v>
      </c>
      <c r="G69" s="352">
        <f t="shared" si="2"/>
        <v>0</v>
      </c>
      <c r="H69" s="565"/>
    </row>
    <row r="70" spans="2:9" s="130" customFormat="1" x14ac:dyDescent="0.2">
      <c r="B70" s="2722"/>
      <c r="C70" s="291" t="s">
        <v>713</v>
      </c>
      <c r="D70" s="221" t="s">
        <v>95</v>
      </c>
      <c r="E70" s="353">
        <v>56</v>
      </c>
      <c r="F70" s="467">
        <v>0</v>
      </c>
      <c r="G70" s="352">
        <f t="shared" si="2"/>
        <v>0</v>
      </c>
      <c r="H70" s="565"/>
    </row>
    <row r="71" spans="2:9" ht="39.75" customHeight="1" x14ac:dyDescent="0.2">
      <c r="B71" s="2721">
        <v>26</v>
      </c>
      <c r="C71" s="409" t="s">
        <v>309</v>
      </c>
      <c r="D71" s="207"/>
      <c r="E71" s="353"/>
      <c r="F71" s="467"/>
      <c r="G71" s="352"/>
    </row>
    <row r="72" spans="2:9" s="130" customFormat="1" x14ac:dyDescent="0.2">
      <c r="B72" s="2722"/>
      <c r="C72" s="291" t="s">
        <v>715</v>
      </c>
      <c r="D72" s="221" t="s">
        <v>95</v>
      </c>
      <c r="E72" s="353">
        <v>48</v>
      </c>
      <c r="F72" s="467">
        <v>0</v>
      </c>
      <c r="G72" s="352">
        <f t="shared" ref="G72" si="3">E72*F72</f>
        <v>0</v>
      </c>
      <c r="H72" s="565"/>
    </row>
    <row r="73" spans="2:9" ht="39.75" customHeight="1" x14ac:dyDescent="0.2">
      <c r="B73" s="131">
        <v>27</v>
      </c>
      <c r="C73" s="409" t="s">
        <v>142</v>
      </c>
      <c r="D73" s="207" t="s">
        <v>117</v>
      </c>
      <c r="E73" s="353">
        <v>43.5</v>
      </c>
      <c r="F73" s="467">
        <v>0</v>
      </c>
      <c r="G73" s="352">
        <f t="shared" si="2"/>
        <v>0</v>
      </c>
      <c r="I73" s="1372"/>
    </row>
    <row r="74" spans="2:9" ht="25.5" customHeight="1" x14ac:dyDescent="0.2">
      <c r="B74" s="131">
        <v>28</v>
      </c>
      <c r="C74" s="409" t="s">
        <v>143</v>
      </c>
      <c r="D74" s="207" t="s">
        <v>95</v>
      </c>
      <c r="E74" s="353">
        <v>114</v>
      </c>
      <c r="F74" s="467">
        <v>0</v>
      </c>
      <c r="G74" s="352">
        <f t="shared" si="2"/>
        <v>0</v>
      </c>
      <c r="H74" s="571"/>
    </row>
    <row r="75" spans="2:9" ht="25.5" customHeight="1" x14ac:dyDescent="0.2">
      <c r="B75" s="312" t="s">
        <v>602</v>
      </c>
      <c r="C75" s="409" t="s">
        <v>718</v>
      </c>
      <c r="D75" s="207" t="s">
        <v>95</v>
      </c>
      <c r="E75" s="353">
        <v>42</v>
      </c>
      <c r="F75" s="467">
        <v>0</v>
      </c>
      <c r="G75" s="352">
        <f t="shared" si="2"/>
        <v>0</v>
      </c>
      <c r="H75" s="571"/>
    </row>
    <row r="76" spans="2:9" ht="29.25" customHeight="1" x14ac:dyDescent="0.2">
      <c r="B76" s="411">
        <v>30</v>
      </c>
      <c r="C76" s="410" t="s">
        <v>151</v>
      </c>
      <c r="D76" s="222" t="s">
        <v>112</v>
      </c>
      <c r="E76" s="472">
        <v>12.5</v>
      </c>
      <c r="F76" s="467">
        <v>0</v>
      </c>
      <c r="G76" s="352">
        <f>E76*F76</f>
        <v>0</v>
      </c>
    </row>
    <row r="77" spans="2:9" ht="36.75" customHeight="1" x14ac:dyDescent="0.2">
      <c r="B77" s="131">
        <v>31</v>
      </c>
      <c r="C77" s="1366" t="s">
        <v>152</v>
      </c>
      <c r="D77" s="1367" t="s">
        <v>149</v>
      </c>
      <c r="E77" s="1359">
        <v>40</v>
      </c>
      <c r="F77" s="467">
        <v>0</v>
      </c>
      <c r="G77" s="1361">
        <f>E77*F77</f>
        <v>0</v>
      </c>
    </row>
    <row r="78" spans="2:9" ht="30" customHeight="1" x14ac:dyDescent="0.2">
      <c r="B78" s="411">
        <v>32</v>
      </c>
      <c r="C78" s="223" t="s">
        <v>153</v>
      </c>
      <c r="D78" s="222" t="s">
        <v>112</v>
      </c>
      <c r="E78" s="472">
        <v>18.399999999999999</v>
      </c>
      <c r="F78" s="467">
        <v>0</v>
      </c>
      <c r="G78" s="352">
        <f>E78*F78</f>
        <v>0</v>
      </c>
    </row>
    <row r="79" spans="2:9" ht="28.5" customHeight="1" x14ac:dyDescent="0.2">
      <c r="B79" s="131">
        <v>33</v>
      </c>
      <c r="C79" s="223" t="s">
        <v>155</v>
      </c>
      <c r="D79" s="222" t="s">
        <v>156</v>
      </c>
      <c r="E79" s="472">
        <v>24</v>
      </c>
      <c r="F79" s="467">
        <v>0</v>
      </c>
      <c r="G79" s="352">
        <f>E79*F79</f>
        <v>0</v>
      </c>
    </row>
    <row r="80" spans="2:9" s="147" customFormat="1" ht="21.75" customHeight="1" x14ac:dyDescent="0.25">
      <c r="B80" s="327" t="s">
        <v>12</v>
      </c>
      <c r="C80" s="214" t="s">
        <v>157</v>
      </c>
      <c r="D80" s="224"/>
      <c r="E80" s="215"/>
      <c r="F80" s="216"/>
      <c r="G80" s="290">
        <f>SUM(G42:G79)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30" customHeight="1" x14ac:dyDescent="0.2">
      <c r="B92" s="153">
        <v>1</v>
      </c>
      <c r="C92" s="1806" t="s">
        <v>162</v>
      </c>
      <c r="D92" s="226"/>
      <c r="E92" s="353"/>
      <c r="F92" s="358"/>
      <c r="G92" s="350"/>
    </row>
    <row r="93" spans="1:9" s="147" customFormat="1" ht="18.75" customHeight="1" x14ac:dyDescent="0.25">
      <c r="B93" s="148"/>
      <c r="C93" s="1823" t="s">
        <v>1720</v>
      </c>
      <c r="D93" s="1367" t="s">
        <v>95</v>
      </c>
      <c r="E93" s="1359">
        <v>1200</v>
      </c>
      <c r="F93" s="1360">
        <v>0</v>
      </c>
      <c r="G93" s="1361">
        <f t="shared" ref="G93:G102" si="4">E93*F93</f>
        <v>0</v>
      </c>
      <c r="H93" s="150"/>
      <c r="I93" s="490"/>
    </row>
    <row r="94" spans="1:9" ht="27" customHeight="1" x14ac:dyDescent="0.2">
      <c r="B94" s="148"/>
      <c r="C94" s="1823" t="s">
        <v>1800</v>
      </c>
      <c r="D94" s="1367" t="s">
        <v>95</v>
      </c>
      <c r="E94" s="1359">
        <v>133</v>
      </c>
      <c r="F94" s="1360">
        <v>0</v>
      </c>
      <c r="G94" s="1361">
        <f t="shared" si="4"/>
        <v>0</v>
      </c>
    </row>
    <row r="95" spans="1:9" s="1404" customFormat="1" ht="27" customHeight="1" x14ac:dyDescent="0.2">
      <c r="B95" s="1405"/>
      <c r="C95" s="1807" t="s">
        <v>723</v>
      </c>
      <c r="D95" s="226" t="s">
        <v>95</v>
      </c>
      <c r="E95" s="353">
        <v>179</v>
      </c>
      <c r="F95" s="1360">
        <v>0</v>
      </c>
      <c r="G95" s="352">
        <f t="shared" si="4"/>
        <v>0</v>
      </c>
      <c r="H95" s="1406"/>
      <c r="I95" s="1407"/>
    </row>
    <row r="96" spans="1:9" s="1404" customFormat="1" ht="27" customHeight="1" x14ac:dyDescent="0.2">
      <c r="B96" s="1405"/>
      <c r="C96" s="1807" t="s">
        <v>835</v>
      </c>
      <c r="D96" s="226" t="s">
        <v>95</v>
      </c>
      <c r="E96" s="353">
        <v>20</v>
      </c>
      <c r="F96" s="1360">
        <v>0</v>
      </c>
      <c r="G96" s="352">
        <f t="shared" si="4"/>
        <v>0</v>
      </c>
      <c r="H96" s="1406"/>
    </row>
    <row r="97" spans="2:9" s="147" customFormat="1" ht="18.75" customHeight="1" x14ac:dyDescent="0.25">
      <c r="B97" s="148"/>
      <c r="C97" s="1807" t="s">
        <v>821</v>
      </c>
      <c r="D97" s="226" t="s">
        <v>95</v>
      </c>
      <c r="E97" s="353">
        <v>1755</v>
      </c>
      <c r="F97" s="1360">
        <v>0</v>
      </c>
      <c r="G97" s="352">
        <f t="shared" si="4"/>
        <v>0</v>
      </c>
      <c r="H97" s="150"/>
      <c r="I97" s="490"/>
    </row>
    <row r="98" spans="2:9" ht="27" customHeight="1" x14ac:dyDescent="0.2">
      <c r="B98" s="148"/>
      <c r="C98" s="1807" t="s">
        <v>1801</v>
      </c>
      <c r="D98" s="226" t="s">
        <v>95</v>
      </c>
      <c r="E98" s="353">
        <v>194</v>
      </c>
      <c r="F98" s="1360">
        <v>0</v>
      </c>
      <c r="G98" s="352">
        <f t="shared" si="4"/>
        <v>0</v>
      </c>
    </row>
    <row r="99" spans="2:9" s="147" customFormat="1" ht="18.75" customHeight="1" x14ac:dyDescent="0.25">
      <c r="B99" s="148"/>
      <c r="C99" s="1807" t="s">
        <v>1733</v>
      </c>
      <c r="D99" s="226" t="s">
        <v>95</v>
      </c>
      <c r="E99" s="353">
        <v>119</v>
      </c>
      <c r="F99" s="1360">
        <v>0</v>
      </c>
      <c r="G99" s="352">
        <f t="shared" si="4"/>
        <v>0</v>
      </c>
      <c r="H99" s="150"/>
      <c r="I99" s="490"/>
    </row>
    <row r="100" spans="2:9" ht="27" customHeight="1" x14ac:dyDescent="0.2">
      <c r="B100" s="148"/>
      <c r="C100" s="1807" t="s">
        <v>1802</v>
      </c>
      <c r="D100" s="226" t="s">
        <v>95</v>
      </c>
      <c r="E100" s="353">
        <v>14</v>
      </c>
      <c r="F100" s="1360">
        <v>0</v>
      </c>
      <c r="G100" s="352">
        <f t="shared" si="4"/>
        <v>0</v>
      </c>
    </row>
    <row r="101" spans="2:9" s="147" customFormat="1" ht="18.75" customHeight="1" x14ac:dyDescent="0.25">
      <c r="B101" s="148"/>
      <c r="C101" s="1807" t="s">
        <v>165</v>
      </c>
      <c r="D101" s="226" t="s">
        <v>95</v>
      </c>
      <c r="E101" s="353">
        <v>549</v>
      </c>
      <c r="F101" s="1360">
        <v>0</v>
      </c>
      <c r="G101" s="352">
        <f t="shared" si="4"/>
        <v>0</v>
      </c>
      <c r="H101" s="150"/>
      <c r="I101" s="490"/>
    </row>
    <row r="102" spans="2:9" ht="27" customHeight="1" x14ac:dyDescent="0.2">
      <c r="B102" s="148"/>
      <c r="C102" s="1807" t="s">
        <v>1803</v>
      </c>
      <c r="D102" s="226" t="s">
        <v>95</v>
      </c>
      <c r="E102" s="353">
        <v>61</v>
      </c>
      <c r="F102" s="1360">
        <v>0</v>
      </c>
      <c r="G102" s="352">
        <f t="shared" si="4"/>
        <v>0</v>
      </c>
    </row>
    <row r="103" spans="2:9" ht="36" x14ac:dyDescent="0.2">
      <c r="B103" s="3181" t="s">
        <v>167</v>
      </c>
      <c r="C103" s="310" t="s">
        <v>168</v>
      </c>
      <c r="D103" s="221"/>
      <c r="E103" s="353"/>
      <c r="F103" s="467"/>
      <c r="G103" s="352"/>
      <c r="I103" s="1365"/>
    </row>
    <row r="104" spans="2:9" x14ac:dyDescent="0.2">
      <c r="B104" s="3182"/>
      <c r="C104" s="291" t="s">
        <v>169</v>
      </c>
      <c r="D104" s="221" t="s">
        <v>95</v>
      </c>
      <c r="E104" s="353">
        <v>60</v>
      </c>
      <c r="F104" s="467">
        <v>0</v>
      </c>
      <c r="G104" s="352">
        <f t="shared" ref="G104:G106" si="5">E104*F104</f>
        <v>0</v>
      </c>
    </row>
    <row r="105" spans="2:9" s="147" customFormat="1" ht="12.75" customHeight="1" x14ac:dyDescent="0.2">
      <c r="B105" s="3182"/>
      <c r="C105" s="291" t="s">
        <v>170</v>
      </c>
      <c r="D105" s="221" t="s">
        <v>95</v>
      </c>
      <c r="E105" s="353">
        <v>70</v>
      </c>
      <c r="F105" s="467">
        <v>0</v>
      </c>
      <c r="G105" s="352">
        <f t="shared" si="5"/>
        <v>0</v>
      </c>
      <c r="H105" s="150"/>
    </row>
    <row r="106" spans="2:9" s="147" customFormat="1" ht="36" x14ac:dyDescent="0.25">
      <c r="B106" s="154">
        <v>2</v>
      </c>
      <c r="C106" s="227" t="s">
        <v>172</v>
      </c>
      <c r="D106" s="209" t="s">
        <v>95</v>
      </c>
      <c r="E106" s="348">
        <f>E93+E94+E97+E98+E99+E100+E101+E102+E95+E96</f>
        <v>4224</v>
      </c>
      <c r="F106" s="467">
        <v>0</v>
      </c>
      <c r="G106" s="352">
        <f t="shared" si="5"/>
        <v>0</v>
      </c>
      <c r="H106" s="150"/>
    </row>
    <row r="107" spans="2:9" ht="36" x14ac:dyDescent="0.2">
      <c r="B107" s="309" t="s">
        <v>173</v>
      </c>
      <c r="C107" s="227" t="s">
        <v>174</v>
      </c>
      <c r="D107" s="209" t="s">
        <v>95</v>
      </c>
      <c r="E107" s="348">
        <f>E106</f>
        <v>4224</v>
      </c>
      <c r="F107" s="467">
        <v>0</v>
      </c>
      <c r="G107" s="352">
        <f>E107*F107</f>
        <v>0</v>
      </c>
    </row>
    <row r="108" spans="2:9" s="147" customFormat="1" ht="24" x14ac:dyDescent="0.25">
      <c r="B108" s="309" t="s">
        <v>175</v>
      </c>
      <c r="C108" s="227" t="s">
        <v>176</v>
      </c>
      <c r="D108" s="209" t="s">
        <v>95</v>
      </c>
      <c r="E108" s="348">
        <f>SUM(E93:E102)</f>
        <v>4224</v>
      </c>
      <c r="F108" s="467">
        <v>0</v>
      </c>
      <c r="G108" s="352">
        <f>E108*F108</f>
        <v>0</v>
      </c>
      <c r="H108" s="150"/>
    </row>
    <row r="109" spans="2:9" s="147" customFormat="1" ht="36" x14ac:dyDescent="0.25">
      <c r="B109" s="309" t="s">
        <v>177</v>
      </c>
      <c r="C109" s="227" t="s">
        <v>178</v>
      </c>
      <c r="D109" s="209" t="s">
        <v>95</v>
      </c>
      <c r="E109" s="348">
        <f>SUM(E93:E102)</f>
        <v>4224</v>
      </c>
      <c r="F109" s="467">
        <v>0</v>
      </c>
      <c r="G109" s="352">
        <f>E109*F109</f>
        <v>0</v>
      </c>
      <c r="H109" s="150"/>
    </row>
    <row r="110" spans="2:9" s="136" customFormat="1" ht="24" x14ac:dyDescent="0.2">
      <c r="B110" s="153">
        <v>3</v>
      </c>
      <c r="C110" s="264" t="s">
        <v>179</v>
      </c>
      <c r="D110" s="231"/>
      <c r="E110" s="232"/>
      <c r="F110" s="233">
        <v>0</v>
      </c>
      <c r="G110" s="234"/>
      <c r="H110" s="565"/>
    </row>
    <row r="111" spans="2:9" s="136" customFormat="1" x14ac:dyDescent="0.2">
      <c r="B111" s="292" t="s">
        <v>180</v>
      </c>
      <c r="C111" s="1808" t="s">
        <v>181</v>
      </c>
      <c r="D111" s="231"/>
      <c r="E111" s="232"/>
      <c r="F111" s="233"/>
      <c r="G111" s="234"/>
      <c r="H111" s="565"/>
    </row>
    <row r="112" spans="2:9" s="136" customFormat="1" x14ac:dyDescent="0.2">
      <c r="B112" s="129"/>
      <c r="C112" s="1808" t="s">
        <v>182</v>
      </c>
      <c r="D112" s="231"/>
      <c r="E112" s="232"/>
      <c r="F112" s="233"/>
      <c r="G112" s="234"/>
      <c r="H112" s="565"/>
    </row>
    <row r="113" spans="2:8" s="136" customFormat="1" x14ac:dyDescent="0.2">
      <c r="B113" s="152"/>
      <c r="C113" s="1826" t="s">
        <v>183</v>
      </c>
      <c r="D113" s="236" t="s">
        <v>149</v>
      </c>
      <c r="E113" s="232">
        <v>25</v>
      </c>
      <c r="F113" s="271">
        <v>0</v>
      </c>
      <c r="G113" s="272">
        <f t="shared" ref="G113:G114" si="6">E113*F113</f>
        <v>0</v>
      </c>
      <c r="H113" s="565"/>
    </row>
    <row r="114" spans="2:8" s="136" customFormat="1" x14ac:dyDescent="0.2">
      <c r="B114" s="152"/>
      <c r="C114" s="1826" t="s">
        <v>184</v>
      </c>
      <c r="D114" s="236" t="s">
        <v>149</v>
      </c>
      <c r="E114" s="232">
        <v>5</v>
      </c>
      <c r="F114" s="271">
        <v>0</v>
      </c>
      <c r="G114" s="272">
        <f t="shared" si="6"/>
        <v>0</v>
      </c>
      <c r="H114" s="565"/>
    </row>
    <row r="115" spans="2:8" s="136" customFormat="1" x14ac:dyDescent="0.2">
      <c r="B115" s="129"/>
      <c r="C115" s="1808" t="s">
        <v>185</v>
      </c>
      <c r="D115" s="231"/>
      <c r="E115" s="232"/>
      <c r="F115" s="233"/>
      <c r="G115" s="234"/>
      <c r="H115" s="565"/>
    </row>
    <row r="116" spans="2:8" s="136" customFormat="1" x14ac:dyDescent="0.2">
      <c r="B116" s="152"/>
      <c r="C116" s="1810" t="s">
        <v>186</v>
      </c>
      <c r="D116" s="236" t="s">
        <v>149</v>
      </c>
      <c r="E116" s="232">
        <v>47</v>
      </c>
      <c r="F116" s="271">
        <v>0</v>
      </c>
      <c r="G116" s="272">
        <f t="shared" ref="G116:G117" si="7">E116*F116</f>
        <v>0</v>
      </c>
      <c r="H116" s="565"/>
    </row>
    <row r="117" spans="2:8" s="136" customFormat="1" x14ac:dyDescent="0.2">
      <c r="B117" s="152"/>
      <c r="C117" s="1810" t="s">
        <v>187</v>
      </c>
      <c r="D117" s="236" t="s">
        <v>149</v>
      </c>
      <c r="E117" s="232">
        <v>7</v>
      </c>
      <c r="F117" s="271">
        <v>0</v>
      </c>
      <c r="G117" s="272">
        <f t="shared" si="7"/>
        <v>0</v>
      </c>
      <c r="H117" s="565"/>
    </row>
    <row r="118" spans="2:8" s="136" customFormat="1" x14ac:dyDescent="0.2">
      <c r="B118" s="292" t="s">
        <v>188</v>
      </c>
      <c r="C118" s="238" t="s">
        <v>189</v>
      </c>
      <c r="D118" s="239"/>
      <c r="E118" s="240"/>
      <c r="F118" s="241">
        <v>0</v>
      </c>
      <c r="G118" s="242"/>
      <c r="H118" s="565"/>
    </row>
    <row r="119" spans="2:8" s="136" customFormat="1" x14ac:dyDescent="0.2">
      <c r="B119" s="135"/>
      <c r="C119" s="238" t="s">
        <v>190</v>
      </c>
      <c r="D119" s="239"/>
      <c r="E119" s="240"/>
      <c r="F119" s="241">
        <v>0</v>
      </c>
      <c r="G119" s="242"/>
      <c r="H119" s="565"/>
    </row>
    <row r="120" spans="2:8" s="136" customFormat="1" x14ac:dyDescent="0.2">
      <c r="B120" s="135"/>
      <c r="C120" s="243" t="s">
        <v>191</v>
      </c>
      <c r="D120" s="239" t="s">
        <v>149</v>
      </c>
      <c r="E120" s="240">
        <v>4</v>
      </c>
      <c r="F120" s="273">
        <v>0</v>
      </c>
      <c r="G120" s="274">
        <f t="shared" ref="G120:G127" si="8">E120*F120</f>
        <v>0</v>
      </c>
      <c r="H120" s="565"/>
    </row>
    <row r="121" spans="2:8" s="136" customFormat="1" ht="36" x14ac:dyDescent="0.2">
      <c r="B121" s="135"/>
      <c r="C121" s="244" t="s">
        <v>192</v>
      </c>
      <c r="D121" s="239" t="s">
        <v>149</v>
      </c>
      <c r="E121" s="240">
        <v>4</v>
      </c>
      <c r="F121" s="273">
        <v>0</v>
      </c>
      <c r="G121" s="274">
        <f t="shared" si="8"/>
        <v>0</v>
      </c>
      <c r="H121" s="565"/>
    </row>
    <row r="122" spans="2:8" s="136" customFormat="1" x14ac:dyDescent="0.2">
      <c r="B122" s="135"/>
      <c r="C122" s="244" t="s">
        <v>193</v>
      </c>
      <c r="D122" s="239" t="s">
        <v>149</v>
      </c>
      <c r="E122" s="240">
        <v>4</v>
      </c>
      <c r="F122" s="273">
        <v>0</v>
      </c>
      <c r="G122" s="274">
        <f t="shared" si="8"/>
        <v>0</v>
      </c>
      <c r="H122" s="565"/>
    </row>
    <row r="123" spans="2:8" s="136" customFormat="1" x14ac:dyDescent="0.2">
      <c r="B123" s="135"/>
      <c r="C123" s="244" t="s">
        <v>194</v>
      </c>
      <c r="D123" s="239" t="s">
        <v>149</v>
      </c>
      <c r="E123" s="240">
        <v>4</v>
      </c>
      <c r="F123" s="273">
        <v>0</v>
      </c>
      <c r="G123" s="274">
        <f t="shared" si="8"/>
        <v>0</v>
      </c>
      <c r="H123" s="565"/>
    </row>
    <row r="124" spans="2:8" s="136" customFormat="1" x14ac:dyDescent="0.2">
      <c r="B124" s="135"/>
      <c r="C124" s="244" t="s">
        <v>195</v>
      </c>
      <c r="D124" s="239" t="s">
        <v>149</v>
      </c>
      <c r="E124" s="240">
        <v>8</v>
      </c>
      <c r="F124" s="273">
        <v>0</v>
      </c>
      <c r="G124" s="274">
        <f t="shared" si="8"/>
        <v>0</v>
      </c>
      <c r="H124" s="565"/>
    </row>
    <row r="125" spans="2:8" s="136" customFormat="1" x14ac:dyDescent="0.2">
      <c r="B125" s="135"/>
      <c r="C125" s="244" t="s">
        <v>196</v>
      </c>
      <c r="D125" s="239" t="s">
        <v>149</v>
      </c>
      <c r="E125" s="240">
        <v>8</v>
      </c>
      <c r="F125" s="273">
        <v>0</v>
      </c>
      <c r="G125" s="274">
        <f t="shared" si="8"/>
        <v>0</v>
      </c>
      <c r="H125" s="565"/>
    </row>
    <row r="126" spans="2:8" s="136" customFormat="1" x14ac:dyDescent="0.2">
      <c r="B126" s="135"/>
      <c r="C126" s="244" t="s">
        <v>197</v>
      </c>
      <c r="D126" s="239" t="s">
        <v>149</v>
      </c>
      <c r="E126" s="240">
        <v>4</v>
      </c>
      <c r="F126" s="273">
        <v>0</v>
      </c>
      <c r="G126" s="274">
        <f t="shared" si="8"/>
        <v>0</v>
      </c>
      <c r="H126" s="565"/>
    </row>
    <row r="127" spans="2:8" s="136" customFormat="1" x14ac:dyDescent="0.2">
      <c r="B127" s="135"/>
      <c r="C127" s="244" t="s">
        <v>198</v>
      </c>
      <c r="D127" s="239" t="s">
        <v>149</v>
      </c>
      <c r="E127" s="240">
        <v>4</v>
      </c>
      <c r="F127" s="273">
        <v>0</v>
      </c>
      <c r="G127" s="274">
        <f t="shared" si="8"/>
        <v>0</v>
      </c>
      <c r="H127" s="565"/>
    </row>
    <row r="128" spans="2:8" s="136" customFormat="1" x14ac:dyDescent="0.2">
      <c r="B128" s="135"/>
      <c r="C128" s="238" t="s">
        <v>840</v>
      </c>
      <c r="D128" s="239"/>
      <c r="E128" s="240"/>
      <c r="F128" s="241">
        <v>0</v>
      </c>
      <c r="G128" s="242"/>
      <c r="H128" s="565"/>
    </row>
    <row r="129" spans="2:8" s="136" customFormat="1" x14ac:dyDescent="0.2">
      <c r="B129" s="135"/>
      <c r="C129" s="243" t="s">
        <v>841</v>
      </c>
      <c r="D129" s="239" t="s">
        <v>149</v>
      </c>
      <c r="E129" s="240">
        <v>6</v>
      </c>
      <c r="F129" s="273">
        <v>0</v>
      </c>
      <c r="G129" s="274">
        <f t="shared" ref="G129:G138" si="9">E129*F129</f>
        <v>0</v>
      </c>
      <c r="H129" s="565"/>
    </row>
    <row r="130" spans="2:8" s="136" customFormat="1" ht="36" x14ac:dyDescent="0.2">
      <c r="B130" s="135"/>
      <c r="C130" s="244" t="s">
        <v>285</v>
      </c>
      <c r="D130" s="239" t="s">
        <v>149</v>
      </c>
      <c r="E130" s="240">
        <v>6</v>
      </c>
      <c r="F130" s="273">
        <v>0</v>
      </c>
      <c r="G130" s="274">
        <f t="shared" si="9"/>
        <v>0</v>
      </c>
      <c r="H130" s="565"/>
    </row>
    <row r="131" spans="2:8" s="136" customFormat="1" x14ac:dyDescent="0.2">
      <c r="B131" s="135"/>
      <c r="C131" s="244" t="s">
        <v>193</v>
      </c>
      <c r="D131" s="239" t="s">
        <v>149</v>
      </c>
      <c r="E131" s="240">
        <v>6</v>
      </c>
      <c r="F131" s="273">
        <v>0</v>
      </c>
      <c r="G131" s="274">
        <f t="shared" si="9"/>
        <v>0</v>
      </c>
      <c r="H131" s="565"/>
    </row>
    <row r="132" spans="2:8" s="136" customFormat="1" x14ac:dyDescent="0.2">
      <c r="B132" s="135"/>
      <c r="C132" s="244" t="s">
        <v>194</v>
      </c>
      <c r="D132" s="239" t="s">
        <v>149</v>
      </c>
      <c r="E132" s="240">
        <v>6</v>
      </c>
      <c r="F132" s="273">
        <v>0</v>
      </c>
      <c r="G132" s="274">
        <f t="shared" si="9"/>
        <v>0</v>
      </c>
      <c r="H132" s="565"/>
    </row>
    <row r="133" spans="2:8" s="136" customFormat="1" x14ac:dyDescent="0.2">
      <c r="B133" s="135"/>
      <c r="C133" s="1828" t="s">
        <v>239</v>
      </c>
      <c r="D133" s="239" t="s">
        <v>149</v>
      </c>
      <c r="E133" s="240">
        <v>12</v>
      </c>
      <c r="F133" s="273">
        <v>0</v>
      </c>
      <c r="G133" s="274">
        <f t="shared" si="9"/>
        <v>0</v>
      </c>
      <c r="H133" s="565"/>
    </row>
    <row r="134" spans="2:8" s="136" customFormat="1" x14ac:dyDescent="0.2">
      <c r="B134" s="135"/>
      <c r="C134" s="1828" t="s">
        <v>1761</v>
      </c>
      <c r="D134" s="239" t="s">
        <v>149</v>
      </c>
      <c r="E134" s="240">
        <v>12</v>
      </c>
      <c r="F134" s="273">
        <v>0</v>
      </c>
      <c r="G134" s="274">
        <f t="shared" si="9"/>
        <v>0</v>
      </c>
      <c r="H134" s="565"/>
    </row>
    <row r="135" spans="2:8" s="136" customFormat="1" x14ac:dyDescent="0.2">
      <c r="B135" s="135"/>
      <c r="C135" s="1828" t="s">
        <v>1774</v>
      </c>
      <c r="D135" s="239" t="s">
        <v>149</v>
      </c>
      <c r="E135" s="240">
        <v>12</v>
      </c>
      <c r="F135" s="273">
        <v>0</v>
      </c>
      <c r="G135" s="274">
        <f t="shared" si="9"/>
        <v>0</v>
      </c>
      <c r="H135" s="565"/>
    </row>
    <row r="136" spans="2:8" s="136" customFormat="1" x14ac:dyDescent="0.2">
      <c r="B136" s="135"/>
      <c r="C136" s="1828" t="s">
        <v>1775</v>
      </c>
      <c r="D136" s="239" t="s">
        <v>149</v>
      </c>
      <c r="E136" s="240">
        <v>12</v>
      </c>
      <c r="F136" s="273">
        <v>0</v>
      </c>
      <c r="G136" s="274">
        <f t="shared" si="9"/>
        <v>0</v>
      </c>
      <c r="H136" s="565"/>
    </row>
    <row r="137" spans="2:8" s="136" customFormat="1" x14ac:dyDescent="0.2">
      <c r="B137" s="135"/>
      <c r="C137" s="1828" t="s">
        <v>197</v>
      </c>
      <c r="D137" s="239" t="s">
        <v>149</v>
      </c>
      <c r="E137" s="240">
        <v>6</v>
      </c>
      <c r="F137" s="273">
        <v>0</v>
      </c>
      <c r="G137" s="274">
        <f t="shared" si="9"/>
        <v>0</v>
      </c>
      <c r="H137" s="565"/>
    </row>
    <row r="138" spans="2:8" s="136" customFormat="1" x14ac:dyDescent="0.2">
      <c r="B138" s="135"/>
      <c r="C138" s="1829" t="s">
        <v>1725</v>
      </c>
      <c r="D138" s="239" t="s">
        <v>149</v>
      </c>
      <c r="E138" s="240">
        <v>6</v>
      </c>
      <c r="F138" s="273">
        <v>0</v>
      </c>
      <c r="G138" s="274">
        <f t="shared" si="9"/>
        <v>0</v>
      </c>
      <c r="H138" s="565"/>
    </row>
    <row r="139" spans="2:8" s="136" customFormat="1" x14ac:dyDescent="0.2">
      <c r="B139" s="292" t="s">
        <v>199</v>
      </c>
      <c r="C139" s="247" t="s">
        <v>200</v>
      </c>
      <c r="D139" s="202"/>
      <c r="E139" s="248"/>
      <c r="F139" s="249"/>
      <c r="G139" s="205"/>
      <c r="H139" s="565"/>
    </row>
    <row r="140" spans="2:8" s="136" customFormat="1" ht="12.75" customHeight="1" x14ac:dyDescent="0.2">
      <c r="B140" s="292"/>
      <c r="C140" s="247" t="s">
        <v>1769</v>
      </c>
      <c r="D140" s="202"/>
      <c r="E140" s="248"/>
      <c r="F140" s="249">
        <v>0</v>
      </c>
      <c r="G140" s="205"/>
      <c r="H140" s="565"/>
    </row>
    <row r="141" spans="2:8" s="136" customFormat="1" ht="24" x14ac:dyDescent="0.2">
      <c r="B141" s="135"/>
      <c r="C141" s="250" t="s">
        <v>202</v>
      </c>
      <c r="D141" s="202" t="s">
        <v>149</v>
      </c>
      <c r="E141" s="248">
        <v>1</v>
      </c>
      <c r="F141" s="275">
        <v>0</v>
      </c>
      <c r="G141" s="276">
        <f t="shared" ref="G141:G145" si="10">E141*F141</f>
        <v>0</v>
      </c>
      <c r="H141" s="565"/>
    </row>
    <row r="142" spans="2:8" s="136" customFormat="1" x14ac:dyDescent="0.2">
      <c r="B142" s="135"/>
      <c r="C142" s="1813" t="s">
        <v>1723</v>
      </c>
      <c r="D142" s="202" t="s">
        <v>149</v>
      </c>
      <c r="E142" s="248">
        <v>2</v>
      </c>
      <c r="F142" s="275">
        <v>0</v>
      </c>
      <c r="G142" s="276">
        <f t="shared" si="10"/>
        <v>0</v>
      </c>
      <c r="H142" s="565"/>
    </row>
    <row r="143" spans="2:8" s="136" customFormat="1" x14ac:dyDescent="0.2">
      <c r="B143" s="135"/>
      <c r="C143" s="1813" t="s">
        <v>1770</v>
      </c>
      <c r="D143" s="202" t="s">
        <v>149</v>
      </c>
      <c r="E143" s="248">
        <v>2</v>
      </c>
      <c r="F143" s="275">
        <v>0</v>
      </c>
      <c r="G143" s="276">
        <f t="shared" si="10"/>
        <v>0</v>
      </c>
      <c r="H143" s="565"/>
    </row>
    <row r="144" spans="2:8" s="136" customFormat="1" x14ac:dyDescent="0.2">
      <c r="B144" s="135"/>
      <c r="C144" s="1814" t="s">
        <v>203</v>
      </c>
      <c r="D144" s="202" t="s">
        <v>149</v>
      </c>
      <c r="E144" s="248">
        <v>1</v>
      </c>
      <c r="F144" s="275">
        <v>0</v>
      </c>
      <c r="G144" s="276">
        <f t="shared" si="10"/>
        <v>0</v>
      </c>
      <c r="H144" s="565"/>
    </row>
    <row r="145" spans="2:8" s="136" customFormat="1" x14ac:dyDescent="0.2">
      <c r="B145" s="135"/>
      <c r="C145" s="1815" t="s">
        <v>198</v>
      </c>
      <c r="D145" s="202" t="s">
        <v>149</v>
      </c>
      <c r="E145" s="248">
        <v>1</v>
      </c>
      <c r="F145" s="275">
        <v>0</v>
      </c>
      <c r="G145" s="276">
        <f t="shared" si="10"/>
        <v>0</v>
      </c>
      <c r="H145" s="565"/>
    </row>
    <row r="146" spans="2:8" s="136" customFormat="1" x14ac:dyDescent="0.2">
      <c r="B146" s="292" t="s">
        <v>204</v>
      </c>
      <c r="C146" s="253" t="s">
        <v>205</v>
      </c>
      <c r="D146" s="254"/>
      <c r="E146" s="255"/>
      <c r="F146" s="256"/>
      <c r="G146" s="257"/>
      <c r="H146" s="565"/>
    </row>
    <row r="147" spans="2:8" s="136" customFormat="1" x14ac:dyDescent="0.2">
      <c r="B147" s="135"/>
      <c r="C147" s="253" t="s">
        <v>206</v>
      </c>
      <c r="D147" s="254"/>
      <c r="E147" s="255"/>
      <c r="F147" s="256">
        <v>0</v>
      </c>
      <c r="G147" s="257"/>
      <c r="H147" s="565"/>
    </row>
    <row r="148" spans="2:8" s="136" customFormat="1" x14ac:dyDescent="0.2">
      <c r="B148" s="135"/>
      <c r="C148" s="258" t="s">
        <v>207</v>
      </c>
      <c r="D148" s="254" t="s">
        <v>149</v>
      </c>
      <c r="E148" s="255">
        <v>2</v>
      </c>
      <c r="F148" s="277">
        <v>0</v>
      </c>
      <c r="G148" s="278">
        <f t="shared" ref="G148:G163" si="11">E148*F148</f>
        <v>0</v>
      </c>
      <c r="H148" s="565"/>
    </row>
    <row r="149" spans="2:8" s="136" customFormat="1" x14ac:dyDescent="0.2">
      <c r="B149" s="135"/>
      <c r="C149" s="258" t="s">
        <v>208</v>
      </c>
      <c r="D149" s="254" t="s">
        <v>149</v>
      </c>
      <c r="E149" s="255">
        <v>4</v>
      </c>
      <c r="F149" s="277">
        <v>0</v>
      </c>
      <c r="G149" s="278">
        <f t="shared" si="11"/>
        <v>0</v>
      </c>
      <c r="H149" s="565"/>
    </row>
    <row r="150" spans="2:8" s="136" customFormat="1" x14ac:dyDescent="0.2">
      <c r="B150" s="135"/>
      <c r="C150" s="259" t="s">
        <v>209</v>
      </c>
      <c r="D150" s="254" t="s">
        <v>149</v>
      </c>
      <c r="E150" s="255">
        <v>2</v>
      </c>
      <c r="F150" s="277">
        <v>0</v>
      </c>
      <c r="G150" s="278">
        <f t="shared" si="11"/>
        <v>0</v>
      </c>
      <c r="H150" s="565"/>
    </row>
    <row r="151" spans="2:8" s="136" customFormat="1" x14ac:dyDescent="0.2">
      <c r="B151" s="135"/>
      <c r="C151" s="259" t="s">
        <v>210</v>
      </c>
      <c r="D151" s="254" t="s">
        <v>149</v>
      </c>
      <c r="E151" s="255">
        <v>2</v>
      </c>
      <c r="F151" s="277">
        <v>0</v>
      </c>
      <c r="G151" s="278">
        <f t="shared" si="11"/>
        <v>0</v>
      </c>
      <c r="H151" s="565"/>
    </row>
    <row r="152" spans="2:8" s="136" customFormat="1" x14ac:dyDescent="0.2">
      <c r="B152" s="135"/>
      <c r="C152" s="259" t="s">
        <v>211</v>
      </c>
      <c r="D152" s="254" t="s">
        <v>149</v>
      </c>
      <c r="E152" s="255">
        <v>2</v>
      </c>
      <c r="F152" s="277">
        <v>0</v>
      </c>
      <c r="G152" s="278">
        <f t="shared" si="11"/>
        <v>0</v>
      </c>
      <c r="H152" s="565"/>
    </row>
    <row r="153" spans="2:8" s="136" customFormat="1" x14ac:dyDescent="0.2">
      <c r="B153" s="135"/>
      <c r="C153" s="259" t="s">
        <v>212</v>
      </c>
      <c r="D153" s="254" t="s">
        <v>149</v>
      </c>
      <c r="E153" s="255">
        <v>2</v>
      </c>
      <c r="F153" s="277">
        <v>0</v>
      </c>
      <c r="G153" s="278">
        <f t="shared" si="11"/>
        <v>0</v>
      </c>
      <c r="H153" s="565"/>
    </row>
    <row r="154" spans="2:8" s="136" customFormat="1" x14ac:dyDescent="0.2">
      <c r="B154" s="135"/>
      <c r="C154" s="259" t="s">
        <v>213</v>
      </c>
      <c r="D154" s="254" t="s">
        <v>149</v>
      </c>
      <c r="E154" s="255">
        <v>2</v>
      </c>
      <c r="F154" s="277">
        <v>0</v>
      </c>
      <c r="G154" s="278">
        <f t="shared" si="11"/>
        <v>0</v>
      </c>
      <c r="H154" s="565"/>
    </row>
    <row r="155" spans="2:8" s="136" customFormat="1" x14ac:dyDescent="0.2">
      <c r="B155" s="135"/>
      <c r="C155" s="259" t="s">
        <v>214</v>
      </c>
      <c r="D155" s="254" t="s">
        <v>149</v>
      </c>
      <c r="E155" s="255">
        <v>2</v>
      </c>
      <c r="F155" s="277">
        <v>0</v>
      </c>
      <c r="G155" s="278">
        <f t="shared" si="11"/>
        <v>0</v>
      </c>
      <c r="H155" s="565"/>
    </row>
    <row r="156" spans="2:8" s="136" customFormat="1" x14ac:dyDescent="0.2">
      <c r="B156" s="135"/>
      <c r="C156" s="259" t="s">
        <v>215</v>
      </c>
      <c r="D156" s="254" t="s">
        <v>149</v>
      </c>
      <c r="E156" s="255">
        <v>2</v>
      </c>
      <c r="F156" s="277">
        <v>0</v>
      </c>
      <c r="G156" s="278">
        <f t="shared" si="11"/>
        <v>0</v>
      </c>
      <c r="H156" s="565"/>
    </row>
    <row r="157" spans="2:8" s="136" customFormat="1" x14ac:dyDescent="0.2">
      <c r="B157" s="135"/>
      <c r="C157" s="259" t="s">
        <v>216</v>
      </c>
      <c r="D157" s="254" t="s">
        <v>149</v>
      </c>
      <c r="E157" s="255">
        <v>2</v>
      </c>
      <c r="F157" s="277">
        <v>0</v>
      </c>
      <c r="G157" s="278">
        <f t="shared" si="11"/>
        <v>0</v>
      </c>
      <c r="H157" s="565"/>
    </row>
    <row r="158" spans="2:8" s="136" customFormat="1" x14ac:dyDescent="0.2">
      <c r="B158" s="135"/>
      <c r="C158" s="1816" t="s">
        <v>217</v>
      </c>
      <c r="D158" s="254" t="s">
        <v>149</v>
      </c>
      <c r="E158" s="255">
        <v>2</v>
      </c>
      <c r="F158" s="277">
        <v>0</v>
      </c>
      <c r="G158" s="278">
        <f t="shared" si="11"/>
        <v>0</v>
      </c>
      <c r="H158" s="565"/>
    </row>
    <row r="159" spans="2:8" s="136" customFormat="1" x14ac:dyDescent="0.2">
      <c r="B159" s="135"/>
      <c r="C159" s="1816" t="s">
        <v>195</v>
      </c>
      <c r="D159" s="254" t="s">
        <v>149</v>
      </c>
      <c r="E159" s="255">
        <v>4</v>
      </c>
      <c r="F159" s="277">
        <v>0</v>
      </c>
      <c r="G159" s="278">
        <f t="shared" si="11"/>
        <v>0</v>
      </c>
      <c r="H159" s="565"/>
    </row>
    <row r="160" spans="2:8" s="136" customFormat="1" x14ac:dyDescent="0.2">
      <c r="B160" s="135"/>
      <c r="C160" s="1816" t="s">
        <v>218</v>
      </c>
      <c r="D160" s="254" t="s">
        <v>149</v>
      </c>
      <c r="E160" s="255">
        <v>4</v>
      </c>
      <c r="F160" s="277">
        <v>0</v>
      </c>
      <c r="G160" s="278">
        <f t="shared" si="11"/>
        <v>0</v>
      </c>
      <c r="H160" s="565"/>
    </row>
    <row r="161" spans="2:8" s="136" customFormat="1" x14ac:dyDescent="0.2">
      <c r="B161" s="135"/>
      <c r="C161" s="1816" t="s">
        <v>219</v>
      </c>
      <c r="D161" s="254" t="s">
        <v>149</v>
      </c>
      <c r="E161" s="255">
        <v>2</v>
      </c>
      <c r="F161" s="277">
        <v>0</v>
      </c>
      <c r="G161" s="278">
        <f t="shared" si="11"/>
        <v>0</v>
      </c>
      <c r="H161" s="565"/>
    </row>
    <row r="162" spans="2:8" s="136" customFormat="1" x14ac:dyDescent="0.2">
      <c r="B162" s="135"/>
      <c r="C162" s="1816" t="s">
        <v>227</v>
      </c>
      <c r="D162" s="254" t="s">
        <v>149</v>
      </c>
      <c r="E162" s="255">
        <v>6</v>
      </c>
      <c r="F162" s="277">
        <v>0</v>
      </c>
      <c r="G162" s="278">
        <f t="shared" si="11"/>
        <v>0</v>
      </c>
      <c r="H162" s="565"/>
    </row>
    <row r="163" spans="2:8" s="136" customFormat="1" x14ac:dyDescent="0.2">
      <c r="B163" s="135"/>
      <c r="C163" s="1817" t="s">
        <v>198</v>
      </c>
      <c r="D163" s="254" t="s">
        <v>149</v>
      </c>
      <c r="E163" s="255">
        <v>2</v>
      </c>
      <c r="F163" s="277">
        <v>0</v>
      </c>
      <c r="G163" s="278">
        <f t="shared" si="11"/>
        <v>0</v>
      </c>
      <c r="H163" s="565"/>
    </row>
    <row r="164" spans="2:8" s="136" customFormat="1" x14ac:dyDescent="0.2">
      <c r="B164" s="292" t="s">
        <v>220</v>
      </c>
      <c r="C164" s="238" t="s">
        <v>221</v>
      </c>
      <c r="D164" s="239"/>
      <c r="E164" s="240"/>
      <c r="F164" s="241"/>
      <c r="G164" s="242"/>
      <c r="H164" s="565"/>
    </row>
    <row r="165" spans="2:8" s="136" customFormat="1" x14ac:dyDescent="0.2">
      <c r="B165" s="135"/>
      <c r="C165" s="238" t="s">
        <v>222</v>
      </c>
      <c r="D165" s="239"/>
      <c r="E165" s="240"/>
      <c r="F165" s="241">
        <v>0</v>
      </c>
      <c r="G165" s="242"/>
      <c r="H165" s="565"/>
    </row>
    <row r="166" spans="2:8" s="136" customFormat="1" x14ac:dyDescent="0.2">
      <c r="B166" s="135"/>
      <c r="C166" s="243" t="s">
        <v>207</v>
      </c>
      <c r="D166" s="239" t="s">
        <v>149</v>
      </c>
      <c r="E166" s="240">
        <v>6</v>
      </c>
      <c r="F166" s="273">
        <v>0</v>
      </c>
      <c r="G166" s="274">
        <f t="shared" ref="G166:G177" si="12">E166*F166</f>
        <v>0</v>
      </c>
      <c r="H166" s="565"/>
    </row>
    <row r="167" spans="2:8" s="136" customFormat="1" ht="24" x14ac:dyDescent="0.2">
      <c r="B167" s="135"/>
      <c r="C167" s="244" t="s">
        <v>223</v>
      </c>
      <c r="D167" s="239" t="s">
        <v>149</v>
      </c>
      <c r="E167" s="240">
        <v>6</v>
      </c>
      <c r="F167" s="273">
        <v>0</v>
      </c>
      <c r="G167" s="274">
        <f t="shared" si="12"/>
        <v>0</v>
      </c>
      <c r="H167" s="565"/>
    </row>
    <row r="168" spans="2:8" s="136" customFormat="1" x14ac:dyDescent="0.2">
      <c r="B168" s="135"/>
      <c r="C168" s="244" t="s">
        <v>213</v>
      </c>
      <c r="D168" s="239" t="s">
        <v>149</v>
      </c>
      <c r="E168" s="240">
        <v>6</v>
      </c>
      <c r="F168" s="273">
        <v>0</v>
      </c>
      <c r="G168" s="274">
        <f t="shared" si="12"/>
        <v>0</v>
      </c>
      <c r="H168" s="565"/>
    </row>
    <row r="169" spans="2:8" s="136" customFormat="1" x14ac:dyDescent="0.2">
      <c r="B169" s="135"/>
      <c r="C169" s="244" t="s">
        <v>224</v>
      </c>
      <c r="D169" s="239" t="s">
        <v>149</v>
      </c>
      <c r="E169" s="240">
        <v>6</v>
      </c>
      <c r="F169" s="273">
        <v>0</v>
      </c>
      <c r="G169" s="274">
        <f t="shared" si="12"/>
        <v>0</v>
      </c>
      <c r="H169" s="565"/>
    </row>
    <row r="170" spans="2:8" s="136" customFormat="1" x14ac:dyDescent="0.2">
      <c r="B170" s="135"/>
      <c r="C170" s="244" t="s">
        <v>225</v>
      </c>
      <c r="D170" s="239" t="s">
        <v>149</v>
      </c>
      <c r="E170" s="240">
        <v>6</v>
      </c>
      <c r="F170" s="273">
        <v>0</v>
      </c>
      <c r="G170" s="274">
        <f t="shared" si="12"/>
        <v>0</v>
      </c>
      <c r="H170" s="565"/>
    </row>
    <row r="171" spans="2:8" s="136" customFormat="1" x14ac:dyDescent="0.2">
      <c r="B171" s="135"/>
      <c r="C171" s="1811" t="s">
        <v>226</v>
      </c>
      <c r="D171" s="239" t="s">
        <v>149</v>
      </c>
      <c r="E171" s="240">
        <v>6</v>
      </c>
      <c r="F171" s="273">
        <v>0</v>
      </c>
      <c r="G171" s="274">
        <f t="shared" si="12"/>
        <v>0</v>
      </c>
      <c r="H171" s="565"/>
    </row>
    <row r="172" spans="2:8" s="136" customFormat="1" x14ac:dyDescent="0.2">
      <c r="B172" s="135"/>
      <c r="C172" s="1811" t="s">
        <v>217</v>
      </c>
      <c r="D172" s="239" t="s">
        <v>149</v>
      </c>
      <c r="E172" s="240">
        <v>6</v>
      </c>
      <c r="F172" s="273">
        <v>0</v>
      </c>
      <c r="G172" s="274">
        <f t="shared" si="12"/>
        <v>0</v>
      </c>
      <c r="H172" s="565"/>
    </row>
    <row r="173" spans="2:8" s="136" customFormat="1" x14ac:dyDescent="0.2">
      <c r="B173" s="135"/>
      <c r="C173" s="1811" t="s">
        <v>195</v>
      </c>
      <c r="D173" s="239" t="s">
        <v>149</v>
      </c>
      <c r="E173" s="240">
        <v>12</v>
      </c>
      <c r="F173" s="273">
        <v>0</v>
      </c>
      <c r="G173" s="274">
        <f t="shared" si="12"/>
        <v>0</v>
      </c>
      <c r="H173" s="565"/>
    </row>
    <row r="174" spans="2:8" s="136" customFormat="1" x14ac:dyDescent="0.2">
      <c r="B174" s="135"/>
      <c r="C174" s="1811" t="s">
        <v>218</v>
      </c>
      <c r="D174" s="239" t="s">
        <v>149</v>
      </c>
      <c r="E174" s="240">
        <v>12</v>
      </c>
      <c r="F174" s="273">
        <v>0</v>
      </c>
      <c r="G174" s="274">
        <f t="shared" si="12"/>
        <v>0</v>
      </c>
      <c r="H174" s="565"/>
    </row>
    <row r="175" spans="2:8" s="136" customFormat="1" x14ac:dyDescent="0.2">
      <c r="B175" s="135"/>
      <c r="C175" s="1811" t="s">
        <v>227</v>
      </c>
      <c r="D175" s="239" t="s">
        <v>149</v>
      </c>
      <c r="E175" s="240">
        <v>6</v>
      </c>
      <c r="F175" s="273">
        <v>0</v>
      </c>
      <c r="G175" s="274">
        <f t="shared" si="12"/>
        <v>0</v>
      </c>
      <c r="H175" s="565"/>
    </row>
    <row r="176" spans="2:8" s="136" customFormat="1" x14ac:dyDescent="0.2">
      <c r="B176" s="135"/>
      <c r="C176" s="1812" t="s">
        <v>198</v>
      </c>
      <c r="D176" s="239" t="s">
        <v>149</v>
      </c>
      <c r="E176" s="240">
        <v>6</v>
      </c>
      <c r="F176" s="273">
        <v>0</v>
      </c>
      <c r="G176" s="274">
        <f t="shared" si="12"/>
        <v>0</v>
      </c>
      <c r="H176" s="565"/>
    </row>
    <row r="177" spans="2:8" s="136" customFormat="1" ht="24" x14ac:dyDescent="0.2">
      <c r="B177" s="309" t="s">
        <v>228</v>
      </c>
      <c r="C177" s="238" t="s">
        <v>229</v>
      </c>
      <c r="D177" s="239" t="s">
        <v>149</v>
      </c>
      <c r="E177" s="240">
        <v>6</v>
      </c>
      <c r="F177" s="273">
        <v>0</v>
      </c>
      <c r="G177" s="274">
        <f t="shared" si="12"/>
        <v>0</v>
      </c>
      <c r="H177" s="565"/>
    </row>
    <row r="178" spans="2:8" s="136" customFormat="1" x14ac:dyDescent="0.2">
      <c r="B178" s="292" t="s">
        <v>330</v>
      </c>
      <c r="C178" s="253" t="s">
        <v>231</v>
      </c>
      <c r="D178" s="254"/>
      <c r="E178" s="255"/>
      <c r="F178" s="256"/>
      <c r="G178" s="257"/>
      <c r="H178" s="565"/>
    </row>
    <row r="179" spans="2:8" s="136" customFormat="1" x14ac:dyDescent="0.2">
      <c r="B179" s="292"/>
      <c r="C179" s="253" t="s">
        <v>1724</v>
      </c>
      <c r="D179" s="254"/>
      <c r="E179" s="255"/>
      <c r="F179" s="256">
        <v>0</v>
      </c>
      <c r="G179" s="257"/>
      <c r="H179" s="565"/>
    </row>
    <row r="180" spans="2:8" s="136" customFormat="1" ht="24" x14ac:dyDescent="0.2">
      <c r="B180" s="135"/>
      <c r="C180" s="258" t="s">
        <v>1097</v>
      </c>
      <c r="D180" s="254" t="s">
        <v>149</v>
      </c>
      <c r="E180" s="255">
        <v>1</v>
      </c>
      <c r="F180" s="277">
        <v>0</v>
      </c>
      <c r="G180" s="278">
        <f t="shared" ref="G180:G185" si="13">E180*F180</f>
        <v>0</v>
      </c>
      <c r="H180" s="565"/>
    </row>
    <row r="181" spans="2:8" s="136" customFormat="1" x14ac:dyDescent="0.2">
      <c r="B181" s="135"/>
      <c r="C181" s="1816" t="s">
        <v>354</v>
      </c>
      <c r="D181" s="254" t="s">
        <v>149</v>
      </c>
      <c r="E181" s="255">
        <v>2</v>
      </c>
      <c r="F181" s="277">
        <v>0</v>
      </c>
      <c r="G181" s="278">
        <f t="shared" si="13"/>
        <v>0</v>
      </c>
      <c r="H181" s="565"/>
    </row>
    <row r="182" spans="2:8" s="136" customFormat="1" x14ac:dyDescent="0.2">
      <c r="B182" s="135"/>
      <c r="C182" s="1816" t="s">
        <v>195</v>
      </c>
      <c r="D182" s="254" t="s">
        <v>149</v>
      </c>
      <c r="E182" s="255">
        <v>1</v>
      </c>
      <c r="F182" s="277">
        <v>0</v>
      </c>
      <c r="G182" s="278">
        <f t="shared" si="13"/>
        <v>0</v>
      </c>
      <c r="H182" s="565"/>
    </row>
    <row r="183" spans="2:8" s="136" customFormat="1" x14ac:dyDescent="0.2">
      <c r="B183" s="135"/>
      <c r="C183" s="1816" t="s">
        <v>218</v>
      </c>
      <c r="D183" s="254" t="s">
        <v>149</v>
      </c>
      <c r="E183" s="255">
        <v>1</v>
      </c>
      <c r="F183" s="277">
        <v>0</v>
      </c>
      <c r="G183" s="278">
        <f t="shared" si="13"/>
        <v>0</v>
      </c>
      <c r="H183" s="565"/>
    </row>
    <row r="184" spans="2:8" s="136" customFormat="1" x14ac:dyDescent="0.2">
      <c r="B184" s="135"/>
      <c r="C184" s="1816" t="s">
        <v>227</v>
      </c>
      <c r="D184" s="254" t="s">
        <v>149</v>
      </c>
      <c r="E184" s="255">
        <v>1</v>
      </c>
      <c r="F184" s="277">
        <v>0</v>
      </c>
      <c r="G184" s="278">
        <f t="shared" si="13"/>
        <v>0</v>
      </c>
      <c r="H184" s="565"/>
    </row>
    <row r="185" spans="2:8" s="136" customFormat="1" x14ac:dyDescent="0.2">
      <c r="B185" s="135"/>
      <c r="C185" s="1817" t="s">
        <v>198</v>
      </c>
      <c r="D185" s="254" t="s">
        <v>149</v>
      </c>
      <c r="E185" s="255">
        <v>1</v>
      </c>
      <c r="F185" s="277">
        <v>0</v>
      </c>
      <c r="G185" s="278">
        <f t="shared" si="13"/>
        <v>0</v>
      </c>
      <c r="H185" s="565"/>
    </row>
    <row r="186" spans="2:8" s="136" customFormat="1" x14ac:dyDescent="0.2">
      <c r="B186" s="135"/>
      <c r="C186" s="253" t="s">
        <v>232</v>
      </c>
      <c r="D186" s="254"/>
      <c r="E186" s="255"/>
      <c r="F186" s="256">
        <v>0</v>
      </c>
      <c r="G186" s="257"/>
      <c r="H186" s="565"/>
    </row>
    <row r="187" spans="2:8" s="136" customFormat="1" x14ac:dyDescent="0.2">
      <c r="B187" s="135"/>
      <c r="C187" s="258" t="s">
        <v>1804</v>
      </c>
      <c r="D187" s="254" t="s">
        <v>149</v>
      </c>
      <c r="E187" s="255">
        <v>1</v>
      </c>
      <c r="F187" s="277">
        <v>0</v>
      </c>
      <c r="G187" s="278">
        <f t="shared" ref="G187:G191" si="14">E187*F187</f>
        <v>0</v>
      </c>
      <c r="H187" s="565"/>
    </row>
    <row r="188" spans="2:8" s="136" customFormat="1" x14ac:dyDescent="0.2">
      <c r="B188" s="135"/>
      <c r="C188" s="1819" t="s">
        <v>195</v>
      </c>
      <c r="D188" s="254" t="s">
        <v>149</v>
      </c>
      <c r="E188" s="255">
        <v>3</v>
      </c>
      <c r="F188" s="277">
        <v>0</v>
      </c>
      <c r="G188" s="278">
        <f t="shared" si="14"/>
        <v>0</v>
      </c>
      <c r="H188" s="565"/>
    </row>
    <row r="189" spans="2:8" s="136" customFormat="1" x14ac:dyDescent="0.2">
      <c r="B189" s="135"/>
      <c r="C189" s="1819" t="s">
        <v>1723</v>
      </c>
      <c r="D189" s="254" t="s">
        <v>149</v>
      </c>
      <c r="E189" s="255">
        <v>3</v>
      </c>
      <c r="F189" s="277">
        <v>0</v>
      </c>
      <c r="G189" s="278">
        <f t="shared" si="14"/>
        <v>0</v>
      </c>
      <c r="H189" s="565"/>
    </row>
    <row r="190" spans="2:8" s="136" customFormat="1" x14ac:dyDescent="0.2">
      <c r="B190" s="135"/>
      <c r="C190" s="1819" t="s">
        <v>227</v>
      </c>
      <c r="D190" s="254" t="s">
        <v>149</v>
      </c>
      <c r="E190" s="255">
        <v>1</v>
      </c>
      <c r="F190" s="277">
        <v>0</v>
      </c>
      <c r="G190" s="278">
        <f t="shared" si="14"/>
        <v>0</v>
      </c>
      <c r="H190" s="565"/>
    </row>
    <row r="191" spans="2:8" s="136" customFormat="1" x14ac:dyDescent="0.2">
      <c r="B191" s="135"/>
      <c r="C191" s="1820" t="s">
        <v>1725</v>
      </c>
      <c r="D191" s="254" t="s">
        <v>149</v>
      </c>
      <c r="E191" s="255">
        <v>1</v>
      </c>
      <c r="F191" s="277">
        <v>0</v>
      </c>
      <c r="G191" s="278">
        <f t="shared" si="14"/>
        <v>0</v>
      </c>
      <c r="H191" s="565"/>
    </row>
    <row r="192" spans="2:8" s="136" customFormat="1" x14ac:dyDescent="0.2">
      <c r="B192" s="135"/>
      <c r="C192" s="253" t="s">
        <v>234</v>
      </c>
      <c r="D192" s="254"/>
      <c r="E192" s="255"/>
      <c r="F192" s="256">
        <v>0</v>
      </c>
      <c r="G192" s="257"/>
      <c r="H192" s="565"/>
    </row>
    <row r="193" spans="2:8" s="136" customFormat="1" ht="24" x14ac:dyDescent="0.2">
      <c r="B193" s="135"/>
      <c r="C193" s="258" t="s">
        <v>233</v>
      </c>
      <c r="D193" s="254" t="s">
        <v>149</v>
      </c>
      <c r="E193" s="255">
        <v>2</v>
      </c>
      <c r="F193" s="277">
        <v>0</v>
      </c>
      <c r="G193" s="278">
        <f t="shared" ref="G193:G199" si="15">E193*F193</f>
        <v>0</v>
      </c>
      <c r="H193" s="565"/>
    </row>
    <row r="194" spans="2:8" s="136" customFormat="1" x14ac:dyDescent="0.2">
      <c r="B194" s="135"/>
      <c r="C194" s="1816" t="s">
        <v>195</v>
      </c>
      <c r="D194" s="254" t="s">
        <v>149</v>
      </c>
      <c r="E194" s="255">
        <v>4</v>
      </c>
      <c r="F194" s="277">
        <v>0</v>
      </c>
      <c r="G194" s="278">
        <f t="shared" si="15"/>
        <v>0</v>
      </c>
      <c r="H194" s="565"/>
    </row>
    <row r="195" spans="2:8" s="136" customFormat="1" x14ac:dyDescent="0.2">
      <c r="B195" s="135"/>
      <c r="C195" s="1816" t="s">
        <v>235</v>
      </c>
      <c r="D195" s="254" t="s">
        <v>149</v>
      </c>
      <c r="E195" s="255">
        <v>2</v>
      </c>
      <c r="F195" s="277">
        <v>0</v>
      </c>
      <c r="G195" s="278">
        <f t="shared" si="15"/>
        <v>0</v>
      </c>
      <c r="H195" s="565"/>
    </row>
    <row r="196" spans="2:8" s="136" customFormat="1" x14ac:dyDescent="0.2">
      <c r="B196" s="135"/>
      <c r="C196" s="1816" t="s">
        <v>218</v>
      </c>
      <c r="D196" s="254" t="s">
        <v>149</v>
      </c>
      <c r="E196" s="255">
        <v>4</v>
      </c>
      <c r="F196" s="277">
        <v>0</v>
      </c>
      <c r="G196" s="278">
        <f t="shared" si="15"/>
        <v>0</v>
      </c>
      <c r="H196" s="565"/>
    </row>
    <row r="197" spans="2:8" s="136" customFormat="1" x14ac:dyDescent="0.2">
      <c r="B197" s="135"/>
      <c r="C197" s="1816" t="s">
        <v>236</v>
      </c>
      <c r="D197" s="254" t="s">
        <v>149</v>
      </c>
      <c r="E197" s="255">
        <v>2</v>
      </c>
      <c r="F197" s="277">
        <v>0</v>
      </c>
      <c r="G197" s="278">
        <f t="shared" si="15"/>
        <v>0</v>
      </c>
      <c r="H197" s="565"/>
    </row>
    <row r="198" spans="2:8" s="136" customFormat="1" x14ac:dyDescent="0.2">
      <c r="B198" s="135"/>
      <c r="C198" s="1816" t="s">
        <v>227</v>
      </c>
      <c r="D198" s="254" t="s">
        <v>149</v>
      </c>
      <c r="E198" s="255">
        <v>2</v>
      </c>
      <c r="F198" s="277">
        <v>0</v>
      </c>
      <c r="G198" s="278">
        <f t="shared" si="15"/>
        <v>0</v>
      </c>
      <c r="H198" s="565"/>
    </row>
    <row r="199" spans="2:8" s="136" customFormat="1" x14ac:dyDescent="0.2">
      <c r="B199" s="135"/>
      <c r="C199" s="1817" t="s">
        <v>198</v>
      </c>
      <c r="D199" s="254" t="s">
        <v>149</v>
      </c>
      <c r="E199" s="255">
        <v>2</v>
      </c>
      <c r="F199" s="277">
        <v>0</v>
      </c>
      <c r="G199" s="278">
        <f t="shared" si="15"/>
        <v>0</v>
      </c>
      <c r="H199" s="565"/>
    </row>
    <row r="200" spans="2:8" s="136" customFormat="1" x14ac:dyDescent="0.2">
      <c r="B200" s="135"/>
      <c r="C200" s="253" t="s">
        <v>237</v>
      </c>
      <c r="D200" s="254"/>
      <c r="E200" s="255"/>
      <c r="F200" s="256">
        <v>0</v>
      </c>
      <c r="G200" s="257"/>
      <c r="H200" s="565"/>
    </row>
    <row r="201" spans="2:8" s="136" customFormat="1" ht="24" x14ac:dyDescent="0.2">
      <c r="B201" s="135"/>
      <c r="C201" s="258" t="s">
        <v>238</v>
      </c>
      <c r="D201" s="254" t="s">
        <v>149</v>
      </c>
      <c r="E201" s="255">
        <v>3</v>
      </c>
      <c r="F201" s="277">
        <v>0</v>
      </c>
      <c r="G201" s="278">
        <f t="shared" ref="G201:G209" si="16">E201*F201</f>
        <v>0</v>
      </c>
      <c r="H201" s="565"/>
    </row>
    <row r="202" spans="2:8" s="136" customFormat="1" x14ac:dyDescent="0.2">
      <c r="B202" s="135"/>
      <c r="C202" s="1819" t="s">
        <v>195</v>
      </c>
      <c r="D202" s="254" t="s">
        <v>149</v>
      </c>
      <c r="E202" s="255">
        <v>6</v>
      </c>
      <c r="F202" s="277">
        <v>0</v>
      </c>
      <c r="G202" s="278">
        <f t="shared" si="16"/>
        <v>0</v>
      </c>
      <c r="H202" s="565"/>
    </row>
    <row r="203" spans="2:8" s="136" customFormat="1" x14ac:dyDescent="0.2">
      <c r="B203" s="135"/>
      <c r="C203" s="1819" t="s">
        <v>239</v>
      </c>
      <c r="D203" s="254" t="s">
        <v>149</v>
      </c>
      <c r="E203" s="255">
        <v>3</v>
      </c>
      <c r="F203" s="277">
        <v>0</v>
      </c>
      <c r="G203" s="278">
        <f t="shared" si="16"/>
        <v>0</v>
      </c>
      <c r="H203" s="565"/>
    </row>
    <row r="204" spans="2:8" s="136" customFormat="1" x14ac:dyDescent="0.2">
      <c r="B204" s="135"/>
      <c r="C204" s="1819" t="s">
        <v>1723</v>
      </c>
      <c r="D204" s="254" t="s">
        <v>149</v>
      </c>
      <c r="E204" s="255">
        <v>6</v>
      </c>
      <c r="F204" s="277">
        <v>0</v>
      </c>
      <c r="G204" s="278">
        <f t="shared" si="16"/>
        <v>0</v>
      </c>
      <c r="H204" s="565"/>
    </row>
    <row r="205" spans="2:8" s="136" customFormat="1" x14ac:dyDescent="0.2">
      <c r="B205" s="135"/>
      <c r="C205" s="1819" t="s">
        <v>1761</v>
      </c>
      <c r="D205" s="254" t="s">
        <v>149</v>
      </c>
      <c r="E205" s="255">
        <v>3</v>
      </c>
      <c r="F205" s="277">
        <v>0</v>
      </c>
      <c r="G205" s="278">
        <f t="shared" si="16"/>
        <v>0</v>
      </c>
      <c r="H205" s="565"/>
    </row>
    <row r="206" spans="2:8" s="136" customFormat="1" x14ac:dyDescent="0.2">
      <c r="B206" s="135"/>
      <c r="C206" s="1819" t="s">
        <v>1774</v>
      </c>
      <c r="D206" s="254" t="s">
        <v>149</v>
      </c>
      <c r="E206" s="255">
        <v>3</v>
      </c>
      <c r="F206" s="277">
        <v>0</v>
      </c>
      <c r="G206" s="278">
        <f t="shared" si="16"/>
        <v>0</v>
      </c>
      <c r="H206" s="565"/>
    </row>
    <row r="207" spans="2:8" s="136" customFormat="1" x14ac:dyDescent="0.2">
      <c r="B207" s="135"/>
      <c r="C207" s="1819" t="s">
        <v>1775</v>
      </c>
      <c r="D207" s="254" t="s">
        <v>149</v>
      </c>
      <c r="E207" s="255">
        <v>3</v>
      </c>
      <c r="F207" s="277">
        <v>0</v>
      </c>
      <c r="G207" s="278">
        <f t="shared" si="16"/>
        <v>0</v>
      </c>
      <c r="H207" s="565"/>
    </row>
    <row r="208" spans="2:8" x14ac:dyDescent="0.2">
      <c r="B208" s="135"/>
      <c r="C208" s="1819" t="s">
        <v>227</v>
      </c>
      <c r="D208" s="254" t="s">
        <v>149</v>
      </c>
      <c r="E208" s="255">
        <v>3</v>
      </c>
      <c r="F208" s="277">
        <v>0</v>
      </c>
      <c r="G208" s="278">
        <f t="shared" si="16"/>
        <v>0</v>
      </c>
    </row>
    <row r="209" spans="2:8" s="136" customFormat="1" x14ac:dyDescent="0.2">
      <c r="B209" s="135"/>
      <c r="C209" s="1819" t="s">
        <v>1725</v>
      </c>
      <c r="D209" s="254" t="s">
        <v>149</v>
      </c>
      <c r="E209" s="255">
        <v>3</v>
      </c>
      <c r="F209" s="277">
        <v>0</v>
      </c>
      <c r="G209" s="278">
        <f t="shared" si="16"/>
        <v>0</v>
      </c>
      <c r="H209" s="565"/>
    </row>
    <row r="210" spans="2:8" s="147" customFormat="1" x14ac:dyDescent="0.25">
      <c r="B210" s="135"/>
      <c r="C210" s="253" t="s">
        <v>845</v>
      </c>
      <c r="D210" s="254"/>
      <c r="E210" s="255"/>
      <c r="F210" s="256">
        <v>0</v>
      </c>
      <c r="G210" s="257"/>
      <c r="H210" s="150"/>
    </row>
    <row r="211" spans="2:8" ht="24" x14ac:dyDescent="0.2">
      <c r="B211" s="655"/>
      <c r="C211" s="1379" t="s">
        <v>1679</v>
      </c>
      <c r="D211" s="1380" t="s">
        <v>149</v>
      </c>
      <c r="E211" s="1381">
        <v>1</v>
      </c>
      <c r="F211" s="1382">
        <v>0</v>
      </c>
      <c r="G211" s="1383">
        <f t="shared" ref="G211:G217" si="17">E211*F211</f>
        <v>0</v>
      </c>
    </row>
    <row r="212" spans="2:8" x14ac:dyDescent="0.2">
      <c r="B212" s="135"/>
      <c r="C212" s="1816" t="s">
        <v>239</v>
      </c>
      <c r="D212" s="254" t="s">
        <v>149</v>
      </c>
      <c r="E212" s="255">
        <v>3</v>
      </c>
      <c r="F212" s="1382">
        <v>0</v>
      </c>
      <c r="G212" s="278">
        <f t="shared" si="17"/>
        <v>0</v>
      </c>
    </row>
    <row r="213" spans="2:8" x14ac:dyDescent="0.2">
      <c r="B213" s="135"/>
      <c r="C213" s="1816" t="s">
        <v>240</v>
      </c>
      <c r="D213" s="254" t="s">
        <v>149</v>
      </c>
      <c r="E213" s="255">
        <v>3</v>
      </c>
      <c r="F213" s="1382">
        <v>0</v>
      </c>
      <c r="G213" s="278">
        <f t="shared" si="17"/>
        <v>0</v>
      </c>
    </row>
    <row r="214" spans="2:8" x14ac:dyDescent="0.2">
      <c r="B214" s="135"/>
      <c r="C214" s="1816" t="s">
        <v>241</v>
      </c>
      <c r="D214" s="254" t="s">
        <v>149</v>
      </c>
      <c r="E214" s="255">
        <v>3</v>
      </c>
      <c r="F214" s="1382">
        <v>0</v>
      </c>
      <c r="G214" s="278">
        <f t="shared" si="17"/>
        <v>0</v>
      </c>
    </row>
    <row r="215" spans="2:8" x14ac:dyDescent="0.2">
      <c r="B215" s="135"/>
      <c r="C215" s="1816" t="s">
        <v>242</v>
      </c>
      <c r="D215" s="254" t="s">
        <v>149</v>
      </c>
      <c r="E215" s="255">
        <v>3</v>
      </c>
      <c r="F215" s="1382">
        <v>0</v>
      </c>
      <c r="G215" s="278">
        <f t="shared" si="17"/>
        <v>0</v>
      </c>
    </row>
    <row r="216" spans="2:8" x14ac:dyDescent="0.2">
      <c r="B216" s="135"/>
      <c r="C216" s="1816" t="s">
        <v>227</v>
      </c>
      <c r="D216" s="254" t="s">
        <v>149</v>
      </c>
      <c r="E216" s="255">
        <v>1</v>
      </c>
      <c r="F216" s="1382">
        <v>0</v>
      </c>
      <c r="G216" s="278">
        <f t="shared" si="17"/>
        <v>0</v>
      </c>
    </row>
    <row r="217" spans="2:8" x14ac:dyDescent="0.2">
      <c r="B217" s="135"/>
      <c r="C217" s="1817" t="s">
        <v>198</v>
      </c>
      <c r="D217" s="254" t="s">
        <v>149</v>
      </c>
      <c r="E217" s="255">
        <v>1</v>
      </c>
      <c r="F217" s="1382">
        <v>0</v>
      </c>
      <c r="G217" s="278">
        <f t="shared" si="17"/>
        <v>0</v>
      </c>
    </row>
    <row r="218" spans="2:8" x14ac:dyDescent="0.2">
      <c r="B218" s="292" t="s">
        <v>230</v>
      </c>
      <c r="C218" s="247" t="s">
        <v>244</v>
      </c>
      <c r="D218" s="202"/>
      <c r="E218" s="248"/>
      <c r="F218" s="249"/>
      <c r="G218" s="205"/>
    </row>
    <row r="219" spans="2:8" x14ac:dyDescent="0.2">
      <c r="B219" s="135"/>
      <c r="C219" s="247" t="s">
        <v>245</v>
      </c>
      <c r="D219" s="202"/>
      <c r="E219" s="248"/>
      <c r="F219" s="249">
        <v>0</v>
      </c>
      <c r="G219" s="205"/>
    </row>
    <row r="220" spans="2:8" ht="36" x14ac:dyDescent="0.2">
      <c r="B220" s="135"/>
      <c r="C220" s="262" t="s">
        <v>246</v>
      </c>
      <c r="D220" s="202" t="s">
        <v>149</v>
      </c>
      <c r="E220" s="248">
        <v>2</v>
      </c>
      <c r="F220" s="275">
        <v>0</v>
      </c>
      <c r="G220" s="276">
        <f t="shared" ref="G220:G222" si="18">E220*F220</f>
        <v>0</v>
      </c>
    </row>
    <row r="221" spans="2:8" x14ac:dyDescent="0.2">
      <c r="B221" s="135"/>
      <c r="C221" s="1814" t="s">
        <v>247</v>
      </c>
      <c r="D221" s="202" t="s">
        <v>149</v>
      </c>
      <c r="E221" s="248">
        <v>2</v>
      </c>
      <c r="F221" s="275">
        <v>0</v>
      </c>
      <c r="G221" s="276">
        <f t="shared" si="18"/>
        <v>0</v>
      </c>
    </row>
    <row r="222" spans="2:8" x14ac:dyDescent="0.2">
      <c r="B222" s="135"/>
      <c r="C222" s="1821" t="s">
        <v>248</v>
      </c>
      <c r="D222" s="202" t="s">
        <v>149</v>
      </c>
      <c r="E222" s="248">
        <v>2</v>
      </c>
      <c r="F222" s="275">
        <v>0</v>
      </c>
      <c r="G222" s="276">
        <f t="shared" si="18"/>
        <v>0</v>
      </c>
    </row>
    <row r="223" spans="2:8" x14ac:dyDescent="0.2">
      <c r="B223" s="135"/>
      <c r="C223" s="247" t="s">
        <v>249</v>
      </c>
      <c r="D223" s="202"/>
      <c r="E223" s="248"/>
      <c r="F223" s="249">
        <v>0</v>
      </c>
      <c r="G223" s="205"/>
    </row>
    <row r="224" spans="2:8" ht="36" x14ac:dyDescent="0.2">
      <c r="B224" s="135"/>
      <c r="C224" s="262" t="s">
        <v>250</v>
      </c>
      <c r="D224" s="202" t="s">
        <v>149</v>
      </c>
      <c r="E224" s="248">
        <v>15</v>
      </c>
      <c r="F224" s="275">
        <v>0</v>
      </c>
      <c r="G224" s="276">
        <f t="shared" ref="G224:G226" si="19">E224*F224</f>
        <v>0</v>
      </c>
    </row>
    <row r="225" spans="2:8" x14ac:dyDescent="0.2">
      <c r="B225" s="135"/>
      <c r="C225" s="1814" t="s">
        <v>247</v>
      </c>
      <c r="D225" s="202" t="s">
        <v>149</v>
      </c>
      <c r="E225" s="248">
        <v>15</v>
      </c>
      <c r="F225" s="275">
        <v>0</v>
      </c>
      <c r="G225" s="276">
        <f t="shared" si="19"/>
        <v>0</v>
      </c>
    </row>
    <row r="226" spans="2:8" x14ac:dyDescent="0.2">
      <c r="B226" s="135"/>
      <c r="C226" s="1815" t="s">
        <v>198</v>
      </c>
      <c r="D226" s="202" t="s">
        <v>149</v>
      </c>
      <c r="E226" s="248">
        <v>15</v>
      </c>
      <c r="F226" s="275">
        <v>0</v>
      </c>
      <c r="G226" s="276">
        <f t="shared" si="19"/>
        <v>0</v>
      </c>
    </row>
    <row r="227" spans="2:8" x14ac:dyDescent="0.2">
      <c r="B227" s="135"/>
      <c r="C227" s="247" t="s">
        <v>826</v>
      </c>
      <c r="D227" s="202"/>
      <c r="E227" s="248"/>
      <c r="F227" s="249">
        <v>0</v>
      </c>
      <c r="G227" s="205"/>
    </row>
    <row r="228" spans="2:8" ht="36" x14ac:dyDescent="0.2">
      <c r="B228" s="135"/>
      <c r="C228" s="262" t="s">
        <v>827</v>
      </c>
      <c r="D228" s="202" t="s">
        <v>149</v>
      </c>
      <c r="E228" s="248">
        <v>2</v>
      </c>
      <c r="F228" s="275">
        <v>0</v>
      </c>
      <c r="G228" s="276">
        <f t="shared" ref="G228:G230" si="20">E228*F228</f>
        <v>0</v>
      </c>
    </row>
    <row r="229" spans="2:8" x14ac:dyDescent="0.2">
      <c r="B229" s="135"/>
      <c r="C229" s="1814" t="s">
        <v>247</v>
      </c>
      <c r="D229" s="202" t="s">
        <v>149</v>
      </c>
      <c r="E229" s="248">
        <v>2</v>
      </c>
      <c r="F229" s="275">
        <v>0</v>
      </c>
      <c r="G229" s="276">
        <f t="shared" si="20"/>
        <v>0</v>
      </c>
    </row>
    <row r="230" spans="2:8" x14ac:dyDescent="0.2">
      <c r="B230" s="135"/>
      <c r="C230" s="1821" t="s">
        <v>248</v>
      </c>
      <c r="D230" s="202" t="s">
        <v>149</v>
      </c>
      <c r="E230" s="248">
        <v>2</v>
      </c>
      <c r="F230" s="275">
        <v>0</v>
      </c>
      <c r="G230" s="276">
        <f t="shared" si="20"/>
        <v>0</v>
      </c>
    </row>
    <row r="231" spans="2:8" x14ac:dyDescent="0.2">
      <c r="B231" s="135"/>
      <c r="C231" s="247" t="s">
        <v>828</v>
      </c>
      <c r="D231" s="202"/>
      <c r="E231" s="248"/>
      <c r="F231" s="249">
        <v>0</v>
      </c>
      <c r="G231" s="205"/>
    </row>
    <row r="232" spans="2:8" ht="36" x14ac:dyDescent="0.2">
      <c r="B232" s="135"/>
      <c r="C232" s="262" t="s">
        <v>829</v>
      </c>
      <c r="D232" s="202" t="s">
        <v>149</v>
      </c>
      <c r="E232" s="248">
        <v>21</v>
      </c>
      <c r="F232" s="275">
        <v>0</v>
      </c>
      <c r="G232" s="276">
        <f t="shared" ref="G232:G236" si="21">E232*F232</f>
        <v>0</v>
      </c>
    </row>
    <row r="233" spans="2:8" x14ac:dyDescent="0.2">
      <c r="B233" s="135"/>
      <c r="C233" s="1814" t="s">
        <v>247</v>
      </c>
      <c r="D233" s="202" t="s">
        <v>149</v>
      </c>
      <c r="E233" s="248">
        <v>21</v>
      </c>
      <c r="F233" s="275">
        <v>0</v>
      </c>
      <c r="G233" s="276">
        <f t="shared" si="21"/>
        <v>0</v>
      </c>
    </row>
    <row r="234" spans="2:8" x14ac:dyDescent="0.2">
      <c r="B234" s="135"/>
      <c r="C234" s="1815" t="s">
        <v>198</v>
      </c>
      <c r="D234" s="202" t="s">
        <v>149</v>
      </c>
      <c r="E234" s="248">
        <v>21</v>
      </c>
      <c r="F234" s="275">
        <v>0</v>
      </c>
      <c r="G234" s="276">
        <f t="shared" si="21"/>
        <v>0</v>
      </c>
    </row>
    <row r="235" spans="2:8" x14ac:dyDescent="0.2">
      <c r="B235" s="135"/>
      <c r="C235" s="1815" t="s">
        <v>1726</v>
      </c>
      <c r="D235" s="202" t="s">
        <v>149</v>
      </c>
      <c r="E235" s="248">
        <v>6</v>
      </c>
      <c r="F235" s="275">
        <v>0</v>
      </c>
      <c r="G235" s="276">
        <f t="shared" si="21"/>
        <v>0</v>
      </c>
    </row>
    <row r="236" spans="2:8" x14ac:dyDescent="0.2">
      <c r="B236" s="135"/>
      <c r="C236" s="1815" t="s">
        <v>1727</v>
      </c>
      <c r="D236" s="202" t="s">
        <v>149</v>
      </c>
      <c r="E236" s="248">
        <v>7</v>
      </c>
      <c r="F236" s="275">
        <v>0</v>
      </c>
      <c r="G236" s="276">
        <f t="shared" si="21"/>
        <v>0</v>
      </c>
    </row>
    <row r="237" spans="2:8" x14ac:dyDescent="0.2">
      <c r="B237" s="292" t="s">
        <v>243</v>
      </c>
      <c r="C237" s="280" t="s">
        <v>300</v>
      </c>
      <c r="D237" s="281"/>
      <c r="E237" s="282"/>
      <c r="F237" s="283"/>
      <c r="G237" s="284"/>
    </row>
    <row r="238" spans="2:8" ht="60" x14ac:dyDescent="0.2">
      <c r="B238" s="135"/>
      <c r="C238" s="285" t="s">
        <v>301</v>
      </c>
      <c r="D238" s="286" t="s">
        <v>149</v>
      </c>
      <c r="E238" s="287">
        <v>40</v>
      </c>
      <c r="F238" s="288">
        <v>0</v>
      </c>
      <c r="G238" s="289">
        <f t="shared" ref="G238" si="22">E238*F238</f>
        <v>0</v>
      </c>
    </row>
    <row r="239" spans="2:8" s="136" customFormat="1" ht="25.5" customHeight="1" x14ac:dyDescent="0.2">
      <c r="B239" s="293" t="s">
        <v>17</v>
      </c>
      <c r="C239" s="294" t="s">
        <v>302</v>
      </c>
      <c r="D239" s="218"/>
      <c r="E239" s="203"/>
      <c r="F239" s="204"/>
      <c r="G239" s="290">
        <f>SUM(G92:G238)</f>
        <v>0</v>
      </c>
      <c r="H239" s="565"/>
    </row>
  </sheetData>
  <mergeCells count="8">
    <mergeCell ref="B91:G91"/>
    <mergeCell ref="B103:B105"/>
    <mergeCell ref="C6:G6"/>
    <mergeCell ref="B41:G41"/>
    <mergeCell ref="B52:B54"/>
    <mergeCell ref="B68:B69"/>
    <mergeCell ref="B89:G89"/>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1"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0F419-D1E9-436F-AE6C-ECA76BB4222D}">
  <sheetPr>
    <tabColor theme="0" tint="-0.14999847407452621"/>
  </sheetPr>
  <dimension ref="A2:L246"/>
  <sheetViews>
    <sheetView showZeros="0" topLeftCell="A60" zoomScale="110" zoomScaleNormal="110" zoomScaleSheetLayoutView="100" workbookViewId="0">
      <selection activeCell="C68" sqref="C68"/>
    </sheetView>
  </sheetViews>
  <sheetFormatPr defaultColWidth="10.42578125" defaultRowHeight="12.75" x14ac:dyDescent="0.2"/>
  <cols>
    <col min="1" max="1" width="3" style="121" customWidth="1"/>
    <col min="2" max="2" width="7.42578125" style="120" customWidth="1"/>
    <col min="3" max="3" width="37.85546875" style="188" customWidth="1"/>
    <col min="4" max="4" width="10.42578125" style="189" customWidth="1"/>
    <col min="5" max="5" width="9.28515625" style="464" customWidth="1"/>
    <col min="6" max="6" width="12.140625" style="465" customWidth="1"/>
    <col min="7" max="7" width="16.710937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1805</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G82</f>
        <v>0</v>
      </c>
      <c r="H16" s="569"/>
    </row>
    <row r="17" spans="2:8" s="1792" customFormat="1" ht="18.75" customHeight="1" x14ac:dyDescent="0.25">
      <c r="B17" s="1793" t="s">
        <v>17</v>
      </c>
      <c r="C17" s="1794" t="s">
        <v>87</v>
      </c>
      <c r="D17" s="1795"/>
      <c r="E17" s="1796"/>
      <c r="F17" s="1797"/>
      <c r="G17" s="474">
        <f>G241</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5084</v>
      </c>
      <c r="F24" s="467">
        <v>0</v>
      </c>
      <c r="G24" s="352">
        <f t="shared" ref="G24" si="0">E24*F24</f>
        <v>0</v>
      </c>
    </row>
    <row r="25" spans="2:8" x14ac:dyDescent="0.2">
      <c r="B25" s="129">
        <v>2</v>
      </c>
      <c r="C25" s="206" t="s">
        <v>96</v>
      </c>
      <c r="D25" s="207" t="s">
        <v>95</v>
      </c>
      <c r="E25" s="353">
        <f>E24</f>
        <v>5084</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56"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6</v>
      </c>
      <c r="F30" s="467">
        <v>0</v>
      </c>
      <c r="G30" s="352">
        <f t="shared" si="1"/>
        <v>0</v>
      </c>
    </row>
    <row r="31" spans="2:8" ht="54" customHeight="1" x14ac:dyDescent="0.2">
      <c r="B31" s="129">
        <v>8</v>
      </c>
      <c r="C31" s="1822" t="s">
        <v>103</v>
      </c>
      <c r="D31" s="210" t="s">
        <v>98</v>
      </c>
      <c r="E31" s="353">
        <v>2</v>
      </c>
      <c r="F31" s="467">
        <v>0</v>
      </c>
      <c r="G31" s="352">
        <f t="shared" si="1"/>
        <v>0</v>
      </c>
    </row>
    <row r="32" spans="2:8" ht="36" x14ac:dyDescent="0.2">
      <c r="B32" s="129">
        <v>9</v>
      </c>
      <c r="C32" s="3165" t="s">
        <v>2590</v>
      </c>
      <c r="D32" s="210" t="s">
        <v>95</v>
      </c>
      <c r="E32" s="353">
        <v>5967</v>
      </c>
      <c r="F32" s="467">
        <v>0</v>
      </c>
      <c r="G32" s="352">
        <f t="shared" si="1"/>
        <v>0</v>
      </c>
      <c r="H32" s="571"/>
    </row>
    <row r="33" spans="2:12" ht="27.75" customHeight="1" x14ac:dyDescent="0.2">
      <c r="B33" s="129">
        <v>10</v>
      </c>
      <c r="C33" s="3165" t="s">
        <v>2591</v>
      </c>
      <c r="D33" s="210" t="s">
        <v>95</v>
      </c>
      <c r="E33" s="353">
        <v>5967</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4</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7.75" customHeight="1" x14ac:dyDescent="0.2">
      <c r="B43" s="131">
        <v>1</v>
      </c>
      <c r="C43" s="206" t="s">
        <v>111</v>
      </c>
      <c r="D43" s="207" t="s">
        <v>112</v>
      </c>
      <c r="E43" s="353">
        <f>(5967*1*1.4*0.07)</f>
        <v>584.76599999999996</v>
      </c>
      <c r="F43" s="467">
        <v>0</v>
      </c>
      <c r="G43" s="352">
        <f t="shared" ref="G43:G77" si="2">E43*F43</f>
        <v>0</v>
      </c>
      <c r="I43" s="132"/>
    </row>
    <row r="44" spans="2:12" ht="39" customHeight="1" x14ac:dyDescent="0.2">
      <c r="B44" s="131">
        <v>2</v>
      </c>
      <c r="C44" s="206" t="s">
        <v>113</v>
      </c>
      <c r="D44" s="207" t="s">
        <v>95</v>
      </c>
      <c r="E44" s="353">
        <v>3573.2</v>
      </c>
      <c r="F44" s="467">
        <v>0</v>
      </c>
      <c r="G44" s="352">
        <f t="shared" si="2"/>
        <v>0</v>
      </c>
      <c r="I44" s="132"/>
    </row>
    <row r="45" spans="2:12" ht="36" x14ac:dyDescent="0.2">
      <c r="B45" s="131">
        <v>3</v>
      </c>
      <c r="C45" s="206" t="s">
        <v>114</v>
      </c>
      <c r="D45" s="209" t="s">
        <v>112</v>
      </c>
      <c r="E45" s="353">
        <f>((5967*1*1.4)-E43)*0.1</f>
        <v>776.90340000000003</v>
      </c>
      <c r="F45" s="467">
        <v>0</v>
      </c>
      <c r="G45" s="352">
        <f t="shared" si="2"/>
        <v>0</v>
      </c>
      <c r="I45" s="133"/>
      <c r="K45" s="134"/>
      <c r="L45" s="134"/>
    </row>
    <row r="46" spans="2:12" ht="39.75" customHeight="1" x14ac:dyDescent="0.2">
      <c r="B46" s="131">
        <v>4</v>
      </c>
      <c r="C46" s="206" t="s">
        <v>115</v>
      </c>
      <c r="D46" s="209" t="s">
        <v>112</v>
      </c>
      <c r="E46" s="353">
        <f>((5967*1*1.4)-E43)*0.9</f>
        <v>6992.1305999999995</v>
      </c>
      <c r="F46" s="467">
        <v>0</v>
      </c>
      <c r="G46" s="352">
        <f t="shared" si="2"/>
        <v>0</v>
      </c>
      <c r="I46" s="133"/>
      <c r="J46" s="134"/>
    </row>
    <row r="47" spans="2:12" ht="29.25" customHeight="1" x14ac:dyDescent="0.2">
      <c r="B47" s="131">
        <v>5</v>
      </c>
      <c r="C47" s="311" t="s">
        <v>116</v>
      </c>
      <c r="D47" s="219" t="s">
        <v>117</v>
      </c>
      <c r="E47" s="471">
        <f>5967*1.4</f>
        <v>8353.7999999999993</v>
      </c>
      <c r="F47" s="467">
        <v>0</v>
      </c>
      <c r="G47" s="352">
        <f t="shared" si="2"/>
        <v>0</v>
      </c>
      <c r="I47" s="1364"/>
    </row>
    <row r="48" spans="2:12" ht="29.25" customHeight="1" x14ac:dyDescent="0.2">
      <c r="B48" s="131">
        <v>6</v>
      </c>
      <c r="C48" s="206" t="s">
        <v>118</v>
      </c>
      <c r="D48" s="209" t="s">
        <v>117</v>
      </c>
      <c r="E48" s="353">
        <f>5967*1</f>
        <v>5967</v>
      </c>
      <c r="F48" s="467">
        <v>0</v>
      </c>
      <c r="G48" s="352">
        <f t="shared" si="2"/>
        <v>0</v>
      </c>
      <c r="I48" s="1364"/>
    </row>
    <row r="49" spans="2:12" ht="27" customHeight="1" x14ac:dyDescent="0.2">
      <c r="B49" s="131">
        <v>7</v>
      </c>
      <c r="C49" s="206" t="s">
        <v>304</v>
      </c>
      <c r="D49" s="209" t="s">
        <v>112</v>
      </c>
      <c r="E49" s="353">
        <v>1659.09</v>
      </c>
      <c r="F49" s="467">
        <v>0</v>
      </c>
      <c r="G49" s="352">
        <f t="shared" si="2"/>
        <v>0</v>
      </c>
      <c r="I49" s="133"/>
      <c r="J49" s="1365"/>
    </row>
    <row r="50" spans="2:12" ht="24" x14ac:dyDescent="0.2">
      <c r="B50" s="131">
        <v>8</v>
      </c>
      <c r="C50" s="206" t="s">
        <v>119</v>
      </c>
      <c r="D50" s="209" t="s">
        <v>112</v>
      </c>
      <c r="E50" s="353">
        <v>4051.92</v>
      </c>
      <c r="F50" s="467">
        <v>0</v>
      </c>
      <c r="G50" s="352">
        <f t="shared" si="2"/>
        <v>0</v>
      </c>
      <c r="I50" s="134"/>
      <c r="K50" s="1365"/>
    </row>
    <row r="51" spans="2:12" ht="40.5" customHeight="1" x14ac:dyDescent="0.2">
      <c r="B51" s="131">
        <v>9</v>
      </c>
      <c r="C51" s="208" t="s">
        <v>120</v>
      </c>
      <c r="D51" s="209" t="s">
        <v>112</v>
      </c>
      <c r="E51" s="353">
        <v>1492.55</v>
      </c>
      <c r="F51" s="467">
        <v>0</v>
      </c>
      <c r="G51" s="352">
        <f t="shared" si="2"/>
        <v>0</v>
      </c>
      <c r="I51" s="1365"/>
      <c r="J51" s="1365"/>
      <c r="K51" s="1365"/>
    </row>
    <row r="52" spans="2:12" s="130" customFormat="1" ht="39" customHeight="1" x14ac:dyDescent="0.2">
      <c r="B52" s="131">
        <v>10</v>
      </c>
      <c r="C52" s="314" t="s">
        <v>121</v>
      </c>
      <c r="D52" s="210" t="s">
        <v>112</v>
      </c>
      <c r="E52" s="353">
        <v>1064.0999999999999</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c r="L53" s="490"/>
    </row>
    <row r="54" spans="2:12" s="147" customFormat="1" ht="15" customHeight="1" x14ac:dyDescent="0.25">
      <c r="B54" s="3188"/>
      <c r="C54" s="308" t="s">
        <v>124</v>
      </c>
      <c r="D54" s="207" t="s">
        <v>95</v>
      </c>
      <c r="E54" s="353">
        <v>130</v>
      </c>
      <c r="F54" s="467">
        <v>0</v>
      </c>
      <c r="G54" s="352">
        <f t="shared" si="2"/>
        <v>0</v>
      </c>
      <c r="H54" s="572"/>
      <c r="I54" s="490"/>
    </row>
    <row r="55" spans="2:12" s="147" customFormat="1" ht="15" customHeight="1" x14ac:dyDescent="0.25">
      <c r="B55" s="3189"/>
      <c r="C55" s="308" t="s">
        <v>305</v>
      </c>
      <c r="D55" s="207" t="s">
        <v>95</v>
      </c>
      <c r="E55" s="353">
        <v>65</v>
      </c>
      <c r="F55" s="467">
        <v>0</v>
      </c>
      <c r="G55" s="352">
        <f t="shared" si="2"/>
        <v>0</v>
      </c>
      <c r="H55" s="572"/>
    </row>
    <row r="56" spans="2:12" ht="25.5" customHeight="1" x14ac:dyDescent="0.2">
      <c r="B56" s="131">
        <v>12</v>
      </c>
      <c r="C56" s="206" t="s">
        <v>125</v>
      </c>
      <c r="D56" s="209" t="s">
        <v>95</v>
      </c>
      <c r="E56" s="353">
        <v>2354</v>
      </c>
      <c r="F56" s="467">
        <v>0</v>
      </c>
      <c r="G56" s="352">
        <f t="shared" si="2"/>
        <v>0</v>
      </c>
      <c r="H56" s="571"/>
      <c r="I56" s="1365"/>
    </row>
    <row r="57" spans="2:12" ht="16.5" customHeight="1" x14ac:dyDescent="0.2">
      <c r="B57" s="131">
        <v>13</v>
      </c>
      <c r="C57" s="206" t="s">
        <v>126</v>
      </c>
      <c r="D57" s="207" t="s">
        <v>117</v>
      </c>
      <c r="E57" s="353">
        <f>E56*1.1</f>
        <v>2589.4</v>
      </c>
      <c r="F57" s="467">
        <v>0</v>
      </c>
      <c r="G57" s="352">
        <f t="shared" si="2"/>
        <v>0</v>
      </c>
      <c r="H57" s="571"/>
    </row>
    <row r="58" spans="2:12" ht="48" x14ac:dyDescent="0.2">
      <c r="B58" s="131">
        <v>14</v>
      </c>
      <c r="C58" s="206" t="s">
        <v>127</v>
      </c>
      <c r="D58" s="207" t="s">
        <v>117</v>
      </c>
      <c r="E58" s="353">
        <f>E57</f>
        <v>2589.4</v>
      </c>
      <c r="F58" s="467">
        <v>0</v>
      </c>
      <c r="G58" s="352">
        <f t="shared" si="2"/>
        <v>0</v>
      </c>
      <c r="H58" s="571"/>
      <c r="I58" s="1365"/>
      <c r="J58" s="1365"/>
    </row>
    <row r="59" spans="2:12" ht="65.25" customHeight="1" x14ac:dyDescent="0.2">
      <c r="B59" s="131">
        <v>15</v>
      </c>
      <c r="C59" s="314" t="s">
        <v>706</v>
      </c>
      <c r="D59" s="209" t="s">
        <v>117</v>
      </c>
      <c r="E59" s="353">
        <v>1210.3</v>
      </c>
      <c r="F59" s="467">
        <v>0</v>
      </c>
      <c r="G59" s="352">
        <f t="shared" si="2"/>
        <v>0</v>
      </c>
      <c r="H59" s="571"/>
      <c r="I59" s="1365">
        <f>E58-E59-E60-E62</f>
        <v>0</v>
      </c>
      <c r="J59" s="1365"/>
    </row>
    <row r="60" spans="2:12" ht="51.75" customHeight="1" x14ac:dyDescent="0.2">
      <c r="B60" s="312" t="s">
        <v>128</v>
      </c>
      <c r="C60" s="208" t="s">
        <v>129</v>
      </c>
      <c r="D60" s="209" t="s">
        <v>117</v>
      </c>
      <c r="E60" s="353">
        <v>900.6</v>
      </c>
      <c r="F60" s="467">
        <v>0</v>
      </c>
      <c r="G60" s="352">
        <f t="shared" si="2"/>
        <v>0</v>
      </c>
      <c r="H60" s="571"/>
      <c r="I60" s="1370"/>
      <c r="J60" s="1365"/>
    </row>
    <row r="61" spans="2:12" ht="64.5" customHeight="1" x14ac:dyDescent="0.2">
      <c r="B61" s="312" t="s">
        <v>707</v>
      </c>
      <c r="C61" s="208" t="s">
        <v>708</v>
      </c>
      <c r="D61" s="209" t="s">
        <v>117</v>
      </c>
      <c r="E61" s="353">
        <v>900.6</v>
      </c>
      <c r="F61" s="467">
        <v>0</v>
      </c>
      <c r="G61" s="352">
        <f t="shared" si="2"/>
        <v>0</v>
      </c>
      <c r="H61" s="571"/>
      <c r="I61" s="1365"/>
      <c r="J61" s="1365"/>
    </row>
    <row r="62" spans="2:12" ht="76.5" customHeight="1" x14ac:dyDescent="0.2">
      <c r="B62" s="312" t="s">
        <v>710</v>
      </c>
      <c r="C62" s="208" t="s">
        <v>1806</v>
      </c>
      <c r="D62" s="209" t="s">
        <v>117</v>
      </c>
      <c r="E62" s="353">
        <v>478.5</v>
      </c>
      <c r="F62" s="467">
        <v>0</v>
      </c>
      <c r="G62" s="352">
        <f>E62*F62</f>
        <v>0</v>
      </c>
      <c r="H62" s="571"/>
    </row>
    <row r="63" spans="2:12" ht="38.25" customHeight="1" x14ac:dyDescent="0.2">
      <c r="B63" s="131">
        <v>16</v>
      </c>
      <c r="C63" s="206" t="s">
        <v>132</v>
      </c>
      <c r="D63" s="207" t="s">
        <v>117</v>
      </c>
      <c r="E63" s="353">
        <v>264</v>
      </c>
      <c r="F63" s="467">
        <v>0</v>
      </c>
      <c r="G63" s="352">
        <f t="shared" si="2"/>
        <v>0</v>
      </c>
    </row>
    <row r="64" spans="2:12" ht="14.25" customHeight="1" x14ac:dyDescent="0.2">
      <c r="B64" s="131">
        <v>18</v>
      </c>
      <c r="C64" s="206" t="s">
        <v>134</v>
      </c>
      <c r="D64" s="209" t="s">
        <v>112</v>
      </c>
      <c r="E64" s="353">
        <v>4301.88</v>
      </c>
      <c r="F64" s="467">
        <v>0</v>
      </c>
      <c r="G64" s="352">
        <f t="shared" si="2"/>
        <v>0</v>
      </c>
      <c r="I64" s="1365"/>
    </row>
    <row r="65" spans="2:9" ht="15.75" customHeight="1" x14ac:dyDescent="0.2">
      <c r="B65" s="131">
        <v>19</v>
      </c>
      <c r="C65" s="206" t="s">
        <v>135</v>
      </c>
      <c r="D65" s="209" t="s">
        <v>112</v>
      </c>
      <c r="E65" s="353">
        <f>E64</f>
        <v>4301.88</v>
      </c>
      <c r="F65" s="467">
        <v>0</v>
      </c>
      <c r="G65" s="352">
        <f t="shared" si="2"/>
        <v>0</v>
      </c>
    </row>
    <row r="66" spans="2:9" ht="27.75" customHeight="1" x14ac:dyDescent="0.2">
      <c r="B66" s="131">
        <v>20</v>
      </c>
      <c r="C66" s="206" t="s">
        <v>136</v>
      </c>
      <c r="D66" s="209" t="s">
        <v>117</v>
      </c>
      <c r="E66" s="353">
        <v>2263.1999999999998</v>
      </c>
      <c r="F66" s="467">
        <v>0</v>
      </c>
      <c r="G66" s="352">
        <f t="shared" si="2"/>
        <v>0</v>
      </c>
    </row>
    <row r="67" spans="2:9" ht="30" customHeight="1" x14ac:dyDescent="0.2">
      <c r="B67" s="131">
        <v>21</v>
      </c>
      <c r="C67" s="206" t="s">
        <v>138</v>
      </c>
      <c r="D67" s="207" t="s">
        <v>117</v>
      </c>
      <c r="E67" s="353">
        <v>1865.4</v>
      </c>
      <c r="F67" s="467">
        <v>0</v>
      </c>
      <c r="G67" s="352">
        <f t="shared" si="2"/>
        <v>0</v>
      </c>
    </row>
    <row r="68" spans="2:9" s="130" customFormat="1" ht="51.75" customHeight="1" x14ac:dyDescent="0.2">
      <c r="B68" s="3187">
        <v>22</v>
      </c>
      <c r="C68" s="408" t="s">
        <v>139</v>
      </c>
      <c r="D68" s="221"/>
      <c r="E68" s="353"/>
      <c r="F68" s="467"/>
      <c r="G68" s="352"/>
      <c r="H68" s="565"/>
    </row>
    <row r="69" spans="2:9" s="130" customFormat="1" ht="12.75" customHeight="1" x14ac:dyDescent="0.2">
      <c r="B69" s="3188"/>
      <c r="C69" s="291" t="s">
        <v>712</v>
      </c>
      <c r="D69" s="221" t="s">
        <v>95</v>
      </c>
      <c r="E69" s="353">
        <v>35</v>
      </c>
      <c r="F69" s="467">
        <v>0</v>
      </c>
      <c r="G69" s="352">
        <f>F69*E69</f>
        <v>0</v>
      </c>
      <c r="H69" s="565"/>
    </row>
    <row r="70" spans="2:9" s="130" customFormat="1" x14ac:dyDescent="0.2">
      <c r="B70" s="3188"/>
      <c r="C70" s="291" t="s">
        <v>140</v>
      </c>
      <c r="D70" s="221" t="s">
        <v>95</v>
      </c>
      <c r="E70" s="353">
        <v>27</v>
      </c>
      <c r="F70" s="467">
        <v>0</v>
      </c>
      <c r="G70" s="352">
        <f t="shared" si="2"/>
        <v>0</v>
      </c>
      <c r="H70" s="565"/>
    </row>
    <row r="71" spans="2:9" s="130" customFormat="1" x14ac:dyDescent="0.2">
      <c r="B71" s="2722"/>
      <c r="C71" s="291" t="s">
        <v>713</v>
      </c>
      <c r="D71" s="221" t="s">
        <v>95</v>
      </c>
      <c r="E71" s="353">
        <v>110</v>
      </c>
      <c r="F71" s="467">
        <v>0</v>
      </c>
      <c r="G71" s="352">
        <f t="shared" si="2"/>
        <v>0</v>
      </c>
      <c r="H71" s="565"/>
    </row>
    <row r="72" spans="2:9" ht="39.75" customHeight="1" x14ac:dyDescent="0.2">
      <c r="B72" s="2721">
        <v>23</v>
      </c>
      <c r="C72" s="409" t="s">
        <v>309</v>
      </c>
      <c r="D72" s="207"/>
      <c r="E72" s="353"/>
      <c r="F72" s="467"/>
      <c r="G72" s="352"/>
    </row>
    <row r="73" spans="2:9" s="130" customFormat="1" x14ac:dyDescent="0.2">
      <c r="B73" s="2722"/>
      <c r="C73" s="291" t="s">
        <v>715</v>
      </c>
      <c r="D73" s="221" t="s">
        <v>95</v>
      </c>
      <c r="E73" s="353">
        <v>12</v>
      </c>
      <c r="F73" s="467">
        <v>0</v>
      </c>
      <c r="G73" s="352">
        <f t="shared" ref="G73:G74" si="3">E73*F73</f>
        <v>0</v>
      </c>
      <c r="H73" s="565"/>
    </row>
    <row r="74" spans="2:9" s="130" customFormat="1" x14ac:dyDescent="0.2">
      <c r="B74" s="2722"/>
      <c r="C74" s="291" t="s">
        <v>716</v>
      </c>
      <c r="D74" s="221" t="s">
        <v>95</v>
      </c>
      <c r="E74" s="353">
        <v>30</v>
      </c>
      <c r="F74" s="467">
        <v>0</v>
      </c>
      <c r="G74" s="352">
        <f t="shared" si="3"/>
        <v>0</v>
      </c>
      <c r="H74" s="565"/>
    </row>
    <row r="75" spans="2:9" ht="39.75" customHeight="1" x14ac:dyDescent="0.2">
      <c r="B75" s="131">
        <v>24</v>
      </c>
      <c r="C75" s="409" t="s">
        <v>142</v>
      </c>
      <c r="D75" s="207" t="s">
        <v>117</v>
      </c>
      <c r="E75" s="353">
        <v>74</v>
      </c>
      <c r="F75" s="467">
        <v>0</v>
      </c>
      <c r="G75" s="352">
        <f t="shared" si="2"/>
        <v>0</v>
      </c>
      <c r="I75" s="1372"/>
    </row>
    <row r="76" spans="2:9" ht="25.5" customHeight="1" x14ac:dyDescent="0.2">
      <c r="B76" s="131">
        <v>25</v>
      </c>
      <c r="C76" s="409" t="s">
        <v>143</v>
      </c>
      <c r="D76" s="207" t="s">
        <v>95</v>
      </c>
      <c r="E76" s="353">
        <v>148</v>
      </c>
      <c r="F76" s="467">
        <v>0</v>
      </c>
      <c r="G76" s="352">
        <f t="shared" si="2"/>
        <v>0</v>
      </c>
      <c r="H76" s="571"/>
    </row>
    <row r="77" spans="2:9" ht="25.5" customHeight="1" x14ac:dyDescent="0.2">
      <c r="B77" s="312" t="s">
        <v>717</v>
      </c>
      <c r="C77" s="409" t="s">
        <v>718</v>
      </c>
      <c r="D77" s="207" t="s">
        <v>95</v>
      </c>
      <c r="E77" s="353">
        <v>75</v>
      </c>
      <c r="F77" s="467">
        <v>0</v>
      </c>
      <c r="G77" s="352">
        <f t="shared" si="2"/>
        <v>0</v>
      </c>
      <c r="H77" s="571"/>
    </row>
    <row r="78" spans="2:9" ht="29.25" customHeight="1" x14ac:dyDescent="0.2">
      <c r="B78" s="411">
        <v>30</v>
      </c>
      <c r="C78" s="410" t="s">
        <v>151</v>
      </c>
      <c r="D78" s="222" t="s">
        <v>112</v>
      </c>
      <c r="E78" s="472">
        <v>24.6</v>
      </c>
      <c r="F78" s="467">
        <v>0</v>
      </c>
      <c r="G78" s="352">
        <f>E78*F78</f>
        <v>0</v>
      </c>
    </row>
    <row r="79" spans="2:9" ht="36.75" customHeight="1" x14ac:dyDescent="0.2">
      <c r="B79" s="131">
        <v>31</v>
      </c>
      <c r="C79" s="1366" t="s">
        <v>152</v>
      </c>
      <c r="D79" s="1367" t="s">
        <v>149</v>
      </c>
      <c r="E79" s="1359">
        <v>84</v>
      </c>
      <c r="F79" s="467">
        <v>0</v>
      </c>
      <c r="G79" s="1361">
        <f>E79*F79</f>
        <v>0</v>
      </c>
    </row>
    <row r="80" spans="2:9" ht="30" customHeight="1" x14ac:dyDescent="0.2">
      <c r="B80" s="411">
        <v>32</v>
      </c>
      <c r="C80" s="223" t="s">
        <v>153</v>
      </c>
      <c r="D80" s="222" t="s">
        <v>112</v>
      </c>
      <c r="E80" s="472">
        <v>30.5</v>
      </c>
      <c r="F80" s="467">
        <v>0</v>
      </c>
      <c r="G80" s="352">
        <f>E80*F80</f>
        <v>0</v>
      </c>
    </row>
    <row r="81" spans="1:9" ht="28.5" customHeight="1" x14ac:dyDescent="0.2">
      <c r="B81" s="131">
        <v>33</v>
      </c>
      <c r="C81" s="223" t="s">
        <v>155</v>
      </c>
      <c r="D81" s="222" t="s">
        <v>156</v>
      </c>
      <c r="E81" s="472">
        <v>35</v>
      </c>
      <c r="F81" s="467">
        <v>0</v>
      </c>
      <c r="G81" s="352">
        <f>E81*F81</f>
        <v>0</v>
      </c>
    </row>
    <row r="82" spans="1:9" s="147" customFormat="1" ht="21.75" customHeight="1" x14ac:dyDescent="0.25">
      <c r="B82" s="327" t="s">
        <v>12</v>
      </c>
      <c r="C82" s="214" t="s">
        <v>157</v>
      </c>
      <c r="D82" s="224"/>
      <c r="E82" s="215"/>
      <c r="F82" s="216"/>
      <c r="G82" s="290">
        <f>SUM(G43:G81)</f>
        <v>0</v>
      </c>
      <c r="H82" s="150"/>
    </row>
    <row r="83" spans="1:9" x14ac:dyDescent="0.2">
      <c r="B83" s="129"/>
      <c r="C83" s="197"/>
      <c r="D83" s="198"/>
      <c r="E83" s="353"/>
      <c r="F83" s="358"/>
      <c r="G83" s="350"/>
    </row>
    <row r="84" spans="1:9" ht="24" x14ac:dyDescent="0.2">
      <c r="B84" s="128" t="s">
        <v>83</v>
      </c>
      <c r="C84" s="192" t="s">
        <v>89</v>
      </c>
      <c r="D84" s="192" t="s">
        <v>90</v>
      </c>
      <c r="E84" s="194" t="s">
        <v>91</v>
      </c>
      <c r="F84" s="195" t="s">
        <v>92</v>
      </c>
      <c r="G84" s="196" t="s">
        <v>93</v>
      </c>
    </row>
    <row r="85" spans="1:9" x14ac:dyDescent="0.2">
      <c r="B85" s="129"/>
      <c r="C85" s="197"/>
      <c r="D85" s="207"/>
      <c r="E85" s="353"/>
      <c r="F85" s="358"/>
      <c r="G85" s="350"/>
    </row>
    <row r="86" spans="1:9" s="295" customFormat="1" ht="20.25" x14ac:dyDescent="0.3">
      <c r="B86" s="296" t="s">
        <v>17</v>
      </c>
      <c r="C86" s="297" t="s">
        <v>158</v>
      </c>
      <c r="D86" s="298"/>
      <c r="E86" s="299"/>
      <c r="F86" s="300"/>
      <c r="G86" s="301"/>
      <c r="H86" s="570"/>
    </row>
    <row r="87" spans="1:9" s="139" customFormat="1" ht="18" customHeight="1" x14ac:dyDescent="0.2">
      <c r="A87" s="140"/>
      <c r="B87" s="143" t="s">
        <v>1</v>
      </c>
      <c r="C87" s="168"/>
      <c r="D87" s="170"/>
      <c r="E87" s="170"/>
      <c r="F87" s="170"/>
      <c r="G87" s="169"/>
    </row>
    <row r="88" spans="1:9" s="139" customFormat="1" ht="18" customHeight="1" x14ac:dyDescent="0.25">
      <c r="A88" s="141"/>
      <c r="B88" s="144" t="s">
        <v>2</v>
      </c>
      <c r="C88" s="171"/>
      <c r="D88" s="172"/>
      <c r="E88" s="173"/>
      <c r="F88" s="173"/>
      <c r="G88" s="172"/>
    </row>
    <row r="89" spans="1:9" s="139" customFormat="1" ht="18" customHeight="1" x14ac:dyDescent="0.2">
      <c r="A89" s="140"/>
      <c r="B89" s="143" t="s">
        <v>3</v>
      </c>
      <c r="C89" s="168"/>
      <c r="D89" s="170"/>
      <c r="E89" s="170"/>
      <c r="F89" s="170"/>
      <c r="G89" s="169"/>
    </row>
    <row r="90" spans="1:9" s="139" customFormat="1" ht="18" customHeight="1" x14ac:dyDescent="0.25">
      <c r="A90" s="141"/>
      <c r="B90" s="144" t="s">
        <v>4</v>
      </c>
      <c r="C90" s="171"/>
      <c r="D90" s="173"/>
      <c r="E90" s="173"/>
      <c r="F90" s="173"/>
      <c r="G90" s="172"/>
    </row>
    <row r="91" spans="1:9" s="130" customFormat="1" ht="18.75" customHeight="1" x14ac:dyDescent="0.2">
      <c r="B91" s="3184" t="s">
        <v>159</v>
      </c>
      <c r="C91" s="3185"/>
      <c r="D91" s="3185"/>
      <c r="E91" s="3185"/>
      <c r="F91" s="3185"/>
      <c r="G91" s="3186"/>
      <c r="H91" s="565"/>
    </row>
    <row r="92" spans="1:9" s="130" customFormat="1" ht="18.75" customHeight="1" x14ac:dyDescent="0.2">
      <c r="B92" s="3184" t="s">
        <v>160</v>
      </c>
      <c r="C92" s="3185"/>
      <c r="D92" s="3185"/>
      <c r="E92" s="3185"/>
      <c r="F92" s="3185"/>
      <c r="G92" s="3186"/>
      <c r="H92" s="565"/>
    </row>
    <row r="93" spans="1:9" s="130" customFormat="1" ht="18.75" customHeight="1" x14ac:dyDescent="0.2">
      <c r="B93" s="3184" t="s">
        <v>161</v>
      </c>
      <c r="C93" s="3185"/>
      <c r="D93" s="3185"/>
      <c r="E93" s="3185"/>
      <c r="F93" s="3185"/>
      <c r="G93" s="3186"/>
      <c r="H93" s="565"/>
    </row>
    <row r="94" spans="1:9" ht="30" customHeight="1" x14ac:dyDescent="0.2">
      <c r="B94" s="153">
        <v>1</v>
      </c>
      <c r="C94" s="1806" t="s">
        <v>162</v>
      </c>
      <c r="D94" s="226"/>
      <c r="E94" s="353"/>
      <c r="F94" s="358"/>
      <c r="G94" s="350"/>
    </row>
    <row r="95" spans="1:9" s="147" customFormat="1" ht="18.75" customHeight="1" x14ac:dyDescent="0.25">
      <c r="B95" s="148"/>
      <c r="C95" s="1807" t="s">
        <v>163</v>
      </c>
      <c r="D95" s="226" t="s">
        <v>95</v>
      </c>
      <c r="E95" s="353">
        <v>2691</v>
      </c>
      <c r="F95" s="467">
        <v>0</v>
      </c>
      <c r="G95" s="352">
        <f t="shared" ref="G95:G104" si="4">E95*F95</f>
        <v>0</v>
      </c>
      <c r="H95" s="150"/>
      <c r="I95" s="490"/>
    </row>
    <row r="96" spans="1:9" s="147" customFormat="1" ht="24" x14ac:dyDescent="0.25">
      <c r="B96" s="148"/>
      <c r="C96" s="1807" t="s">
        <v>164</v>
      </c>
      <c r="D96" s="226" t="s">
        <v>95</v>
      </c>
      <c r="E96" s="353">
        <v>299</v>
      </c>
      <c r="F96" s="467">
        <v>0</v>
      </c>
      <c r="G96" s="352">
        <f t="shared" si="4"/>
        <v>0</v>
      </c>
      <c r="H96" s="150"/>
      <c r="I96" s="490"/>
    </row>
    <row r="97" spans="1:9" s="147" customFormat="1" ht="18.75" customHeight="1" x14ac:dyDescent="0.25">
      <c r="B97" s="148"/>
      <c r="C97" s="1823" t="s">
        <v>1087</v>
      </c>
      <c r="D97" s="1367" t="s">
        <v>95</v>
      </c>
      <c r="E97" s="1359">
        <v>424</v>
      </c>
      <c r="F97" s="467">
        <v>0</v>
      </c>
      <c r="G97" s="1361">
        <f t="shared" si="4"/>
        <v>0</v>
      </c>
      <c r="H97" s="150"/>
      <c r="I97" s="490"/>
    </row>
    <row r="98" spans="1:9" ht="27" customHeight="1" x14ac:dyDescent="0.2">
      <c r="A98" s="130"/>
      <c r="B98" s="148"/>
      <c r="C98" s="1823" t="s">
        <v>1088</v>
      </c>
      <c r="D98" s="1367" t="s">
        <v>95</v>
      </c>
      <c r="E98" s="1359">
        <v>47</v>
      </c>
      <c r="F98" s="467">
        <v>0</v>
      </c>
      <c r="G98" s="1361">
        <f t="shared" si="4"/>
        <v>0</v>
      </c>
    </row>
    <row r="99" spans="1:9" s="147" customFormat="1" ht="18.75" customHeight="1" x14ac:dyDescent="0.25">
      <c r="B99" s="148"/>
      <c r="C99" s="1836" t="s">
        <v>1807</v>
      </c>
      <c r="D99" s="1367" t="s">
        <v>95</v>
      </c>
      <c r="E99" s="1359">
        <v>1221</v>
      </c>
      <c r="F99" s="467">
        <v>0</v>
      </c>
      <c r="G99" s="1361">
        <f t="shared" si="4"/>
        <v>0</v>
      </c>
      <c r="H99" s="150"/>
      <c r="I99" s="490"/>
    </row>
    <row r="100" spans="1:9" ht="27" customHeight="1" x14ac:dyDescent="0.2">
      <c r="A100" s="130"/>
      <c r="B100" s="148"/>
      <c r="C100" s="1823" t="s">
        <v>1668</v>
      </c>
      <c r="D100" s="1367" t="s">
        <v>95</v>
      </c>
      <c r="E100" s="1359">
        <v>135</v>
      </c>
      <c r="F100" s="467">
        <v>0</v>
      </c>
      <c r="G100" s="1361">
        <f t="shared" si="4"/>
        <v>0</v>
      </c>
    </row>
    <row r="101" spans="1:9" s="147" customFormat="1" ht="18.75" customHeight="1" x14ac:dyDescent="0.25">
      <c r="B101" s="148"/>
      <c r="C101" s="1837" t="s">
        <v>1808</v>
      </c>
      <c r="D101" s="226" t="s">
        <v>95</v>
      </c>
      <c r="E101" s="353">
        <v>240</v>
      </c>
      <c r="F101" s="467">
        <v>0</v>
      </c>
      <c r="G101" s="352">
        <f t="shared" si="4"/>
        <v>0</v>
      </c>
      <c r="H101" s="150"/>
      <c r="I101" s="490"/>
    </row>
    <row r="102" spans="1:9" ht="27" customHeight="1" x14ac:dyDescent="0.2">
      <c r="A102" s="130"/>
      <c r="B102" s="148"/>
      <c r="C102" s="1807" t="s">
        <v>1782</v>
      </c>
      <c r="D102" s="226" t="s">
        <v>95</v>
      </c>
      <c r="E102" s="353">
        <v>27</v>
      </c>
      <c r="F102" s="467">
        <v>0</v>
      </c>
      <c r="G102" s="352">
        <f t="shared" si="4"/>
        <v>0</v>
      </c>
      <c r="I102" s="1365"/>
    </row>
    <row r="103" spans="1:9" s="147" customFormat="1" ht="18.75" customHeight="1" x14ac:dyDescent="0.25">
      <c r="B103" s="148"/>
      <c r="C103" s="1807" t="s">
        <v>165</v>
      </c>
      <c r="D103" s="226" t="s">
        <v>95</v>
      </c>
      <c r="E103" s="353">
        <v>795</v>
      </c>
      <c r="F103" s="467">
        <v>0</v>
      </c>
      <c r="G103" s="352">
        <f t="shared" si="4"/>
        <v>0</v>
      </c>
      <c r="H103" s="150"/>
      <c r="I103" s="490"/>
    </row>
    <row r="104" spans="1:9" ht="27" customHeight="1" x14ac:dyDescent="0.2">
      <c r="A104" s="130"/>
      <c r="B104" s="148"/>
      <c r="C104" s="1807" t="s">
        <v>166</v>
      </c>
      <c r="D104" s="226" t="s">
        <v>95</v>
      </c>
      <c r="E104" s="353">
        <v>88</v>
      </c>
      <c r="F104" s="467">
        <v>0</v>
      </c>
      <c r="G104" s="352">
        <f t="shared" si="4"/>
        <v>0</v>
      </c>
    </row>
    <row r="105" spans="1:9" ht="39" customHeight="1" x14ac:dyDescent="0.2">
      <c r="A105" s="130"/>
      <c r="B105" s="3181" t="s">
        <v>167</v>
      </c>
      <c r="C105" s="310" t="s">
        <v>168</v>
      </c>
      <c r="D105" s="221"/>
      <c r="E105" s="353"/>
      <c r="F105" s="467"/>
      <c r="G105" s="352"/>
      <c r="I105" s="1365"/>
    </row>
    <row r="106" spans="1:9" ht="12.75" customHeight="1" x14ac:dyDescent="0.2">
      <c r="A106" s="130"/>
      <c r="B106" s="3182"/>
      <c r="C106" s="291" t="s">
        <v>169</v>
      </c>
      <c r="D106" s="221" t="s">
        <v>95</v>
      </c>
      <c r="E106" s="353">
        <v>60</v>
      </c>
      <c r="F106" s="467">
        <v>0</v>
      </c>
      <c r="G106" s="352">
        <f t="shared" ref="G106:G108" si="5">E106*F106</f>
        <v>0</v>
      </c>
    </row>
    <row r="107" spans="1:9" ht="12.75" customHeight="1" x14ac:dyDescent="0.2">
      <c r="B107" s="3182"/>
      <c r="C107" s="291" t="s">
        <v>170</v>
      </c>
      <c r="D107" s="221" t="s">
        <v>95</v>
      </c>
      <c r="E107" s="353">
        <v>50</v>
      </c>
      <c r="F107" s="467">
        <v>0</v>
      </c>
      <c r="G107" s="352">
        <f t="shared" si="5"/>
        <v>0</v>
      </c>
    </row>
    <row r="108" spans="1:9" ht="48" x14ac:dyDescent="0.2">
      <c r="B108" s="154">
        <v>2</v>
      </c>
      <c r="C108" s="227" t="s">
        <v>172</v>
      </c>
      <c r="D108" s="209" t="s">
        <v>95</v>
      </c>
      <c r="E108" s="348">
        <f>SUM(E95:E104)</f>
        <v>5967</v>
      </c>
      <c r="F108" s="467">
        <v>0</v>
      </c>
      <c r="G108" s="352">
        <f t="shared" si="5"/>
        <v>0</v>
      </c>
    </row>
    <row r="109" spans="1:9" s="147" customFormat="1" ht="36" x14ac:dyDescent="0.2">
      <c r="A109" s="121"/>
      <c r="B109" s="309" t="s">
        <v>173</v>
      </c>
      <c r="C109" s="227" t="s">
        <v>174</v>
      </c>
      <c r="D109" s="209" t="s">
        <v>95</v>
      </c>
      <c r="E109" s="348">
        <f>SUM(E95:E104)</f>
        <v>5967</v>
      </c>
      <c r="F109" s="467">
        <v>0</v>
      </c>
      <c r="G109" s="352">
        <f>E109*F109</f>
        <v>0</v>
      </c>
      <c r="H109" s="150"/>
    </row>
    <row r="110" spans="1:9" s="147" customFormat="1" ht="24" x14ac:dyDescent="0.2">
      <c r="A110" s="121"/>
      <c r="B110" s="309" t="s">
        <v>175</v>
      </c>
      <c r="C110" s="227" t="s">
        <v>176</v>
      </c>
      <c r="D110" s="209" t="s">
        <v>95</v>
      </c>
      <c r="E110" s="348">
        <f>SUM(E95:E104)</f>
        <v>5967</v>
      </c>
      <c r="F110" s="467">
        <v>0</v>
      </c>
      <c r="G110" s="352">
        <f>E110*F110</f>
        <v>0</v>
      </c>
      <c r="H110" s="150"/>
    </row>
    <row r="111" spans="1:9" ht="36" x14ac:dyDescent="0.2">
      <c r="B111" s="309" t="s">
        <v>177</v>
      </c>
      <c r="C111" s="227" t="s">
        <v>178</v>
      </c>
      <c r="D111" s="209" t="s">
        <v>95</v>
      </c>
      <c r="E111" s="348">
        <f>SUM(E95:E104)</f>
        <v>5967</v>
      </c>
      <c r="F111" s="467">
        <v>0</v>
      </c>
      <c r="G111" s="352">
        <f>E111*F111</f>
        <v>0</v>
      </c>
    </row>
    <row r="112" spans="1:9" s="147" customFormat="1" ht="24" x14ac:dyDescent="0.2">
      <c r="A112" s="121"/>
      <c r="B112" s="153">
        <v>3</v>
      </c>
      <c r="C112" s="264" t="s">
        <v>179</v>
      </c>
      <c r="D112" s="231"/>
      <c r="E112" s="232"/>
      <c r="F112" s="233">
        <v>0</v>
      </c>
      <c r="G112" s="234"/>
      <c r="H112" s="150"/>
    </row>
    <row r="113" spans="1:8" s="147" customFormat="1" x14ac:dyDescent="0.2">
      <c r="A113" s="121"/>
      <c r="B113" s="292" t="s">
        <v>180</v>
      </c>
      <c r="C113" s="1808" t="s">
        <v>181</v>
      </c>
      <c r="D113" s="231"/>
      <c r="E113" s="232"/>
      <c r="F113" s="233"/>
      <c r="G113" s="234"/>
      <c r="H113" s="150"/>
    </row>
    <row r="114" spans="1:8" s="136" customFormat="1" x14ac:dyDescent="0.2">
      <c r="A114" s="147"/>
      <c r="B114" s="129"/>
      <c r="C114" s="1808" t="s">
        <v>182</v>
      </c>
      <c r="D114" s="231"/>
      <c r="E114" s="232"/>
      <c r="F114" s="233"/>
      <c r="G114" s="234"/>
      <c r="H114" s="565"/>
    </row>
    <row r="115" spans="1:8" s="136" customFormat="1" x14ac:dyDescent="0.2">
      <c r="A115" s="147"/>
      <c r="B115" s="129"/>
      <c r="C115" s="1810" t="s">
        <v>183</v>
      </c>
      <c r="D115" s="236" t="s">
        <v>149</v>
      </c>
      <c r="E115" s="232">
        <v>36</v>
      </c>
      <c r="F115" s="271">
        <v>0</v>
      </c>
      <c r="G115" s="272">
        <f t="shared" ref="G115:G116" si="6">E115*F115</f>
        <v>0</v>
      </c>
      <c r="H115" s="565"/>
    </row>
    <row r="116" spans="1:8" s="136" customFormat="1" x14ac:dyDescent="0.2">
      <c r="A116" s="147"/>
      <c r="B116" s="129"/>
      <c r="C116" s="1810" t="s">
        <v>184</v>
      </c>
      <c r="D116" s="236" t="s">
        <v>149</v>
      </c>
      <c r="E116" s="232">
        <v>15</v>
      </c>
      <c r="F116" s="271">
        <v>0</v>
      </c>
      <c r="G116" s="272">
        <f t="shared" si="6"/>
        <v>0</v>
      </c>
      <c r="H116" s="565"/>
    </row>
    <row r="117" spans="1:8" s="136" customFormat="1" x14ac:dyDescent="0.2">
      <c r="A117" s="147"/>
      <c r="B117" s="129"/>
      <c r="C117" s="1808" t="s">
        <v>836</v>
      </c>
      <c r="D117" s="231"/>
      <c r="E117" s="232"/>
      <c r="F117" s="233"/>
      <c r="G117" s="234"/>
      <c r="H117" s="565"/>
    </row>
    <row r="118" spans="1:8" s="136" customFormat="1" x14ac:dyDescent="0.2">
      <c r="A118" s="147"/>
      <c r="B118" s="152"/>
      <c r="C118" s="1810" t="s">
        <v>837</v>
      </c>
      <c r="D118" s="236" t="s">
        <v>149</v>
      </c>
      <c r="E118" s="232">
        <v>15</v>
      </c>
      <c r="F118" s="271">
        <v>0</v>
      </c>
      <c r="G118" s="272">
        <f t="shared" ref="G118:G119" si="7">E118*F118</f>
        <v>0</v>
      </c>
      <c r="H118" s="565"/>
    </row>
    <row r="119" spans="1:8" s="136" customFormat="1" x14ac:dyDescent="0.2">
      <c r="B119" s="152"/>
      <c r="C119" s="1810" t="s">
        <v>900</v>
      </c>
      <c r="D119" s="236" t="s">
        <v>149</v>
      </c>
      <c r="E119" s="232">
        <v>5</v>
      </c>
      <c r="F119" s="271">
        <v>0</v>
      </c>
      <c r="G119" s="272">
        <f t="shared" si="7"/>
        <v>0</v>
      </c>
      <c r="H119" s="565"/>
    </row>
    <row r="120" spans="1:8" s="136" customFormat="1" x14ac:dyDescent="0.2">
      <c r="B120" s="129"/>
      <c r="C120" s="1808" t="s">
        <v>185</v>
      </c>
      <c r="D120" s="231"/>
      <c r="E120" s="232"/>
      <c r="F120" s="233">
        <v>0</v>
      </c>
      <c r="G120" s="234"/>
      <c r="H120" s="565"/>
    </row>
    <row r="121" spans="1:8" s="136" customFormat="1" x14ac:dyDescent="0.2">
      <c r="B121" s="152"/>
      <c r="C121" s="1810" t="s">
        <v>186</v>
      </c>
      <c r="D121" s="236" t="s">
        <v>149</v>
      </c>
      <c r="E121" s="232">
        <v>21</v>
      </c>
      <c r="F121" s="271">
        <v>0</v>
      </c>
      <c r="G121" s="272">
        <f t="shared" ref="G121:G122" si="8">E121*F121</f>
        <v>0</v>
      </c>
      <c r="H121" s="565"/>
    </row>
    <row r="122" spans="1:8" s="136" customFormat="1" x14ac:dyDescent="0.2">
      <c r="B122" s="152"/>
      <c r="C122" s="1810" t="s">
        <v>187</v>
      </c>
      <c r="D122" s="236" t="s">
        <v>149</v>
      </c>
      <c r="E122" s="232">
        <v>5</v>
      </c>
      <c r="F122" s="271">
        <v>0</v>
      </c>
      <c r="G122" s="272">
        <f t="shared" si="8"/>
        <v>0</v>
      </c>
      <c r="H122" s="565"/>
    </row>
    <row r="123" spans="1:8" s="136" customFormat="1" x14ac:dyDescent="0.2">
      <c r="B123" s="292" t="s">
        <v>188</v>
      </c>
      <c r="C123" s="238" t="s">
        <v>189</v>
      </c>
      <c r="D123" s="239"/>
      <c r="E123" s="240"/>
      <c r="F123" s="241">
        <v>0</v>
      </c>
      <c r="G123" s="242"/>
      <c r="H123" s="565"/>
    </row>
    <row r="124" spans="1:8" s="136" customFormat="1" x14ac:dyDescent="0.2">
      <c r="B124" s="135"/>
      <c r="C124" s="238" t="s">
        <v>1736</v>
      </c>
      <c r="D124" s="239"/>
      <c r="E124" s="240"/>
      <c r="F124" s="241">
        <v>0</v>
      </c>
      <c r="G124" s="242"/>
      <c r="H124" s="565"/>
    </row>
    <row r="125" spans="1:8" s="136" customFormat="1" x14ac:dyDescent="0.2">
      <c r="B125" s="135"/>
      <c r="C125" s="243" t="s">
        <v>1258</v>
      </c>
      <c r="D125" s="239" t="s">
        <v>149</v>
      </c>
      <c r="E125" s="240">
        <v>1</v>
      </c>
      <c r="F125" s="273">
        <v>0</v>
      </c>
      <c r="G125" s="274">
        <f t="shared" ref="G125:G131" si="9">E125*F125</f>
        <v>0</v>
      </c>
      <c r="H125" s="565"/>
    </row>
    <row r="126" spans="1:8" s="136" customFormat="1" ht="48" x14ac:dyDescent="0.2">
      <c r="B126" s="135"/>
      <c r="C126" s="244" t="s">
        <v>192</v>
      </c>
      <c r="D126" s="239" t="s">
        <v>149</v>
      </c>
      <c r="E126" s="240">
        <v>1</v>
      </c>
      <c r="F126" s="273">
        <v>0</v>
      </c>
      <c r="G126" s="274">
        <f t="shared" si="9"/>
        <v>0</v>
      </c>
      <c r="H126" s="565"/>
    </row>
    <row r="127" spans="1:8" s="136" customFormat="1" x14ac:dyDescent="0.2">
      <c r="B127" s="135"/>
      <c r="C127" s="244" t="s">
        <v>193</v>
      </c>
      <c r="D127" s="239" t="s">
        <v>149</v>
      </c>
      <c r="E127" s="240">
        <v>1</v>
      </c>
      <c r="F127" s="273">
        <v>0</v>
      </c>
      <c r="G127" s="274">
        <f t="shared" si="9"/>
        <v>0</v>
      </c>
      <c r="H127" s="565"/>
    </row>
    <row r="128" spans="1:8" s="136" customFormat="1" x14ac:dyDescent="0.2">
      <c r="B128" s="135"/>
      <c r="C128" s="244" t="s">
        <v>194</v>
      </c>
      <c r="D128" s="239" t="s">
        <v>149</v>
      </c>
      <c r="E128" s="240">
        <v>1</v>
      </c>
      <c r="F128" s="273">
        <v>0</v>
      </c>
      <c r="G128" s="274">
        <f t="shared" si="9"/>
        <v>0</v>
      </c>
      <c r="H128" s="565"/>
    </row>
    <row r="129" spans="2:8" s="136" customFormat="1" x14ac:dyDescent="0.2">
      <c r="B129" s="135"/>
      <c r="C129" s="1811" t="s">
        <v>354</v>
      </c>
      <c r="D129" s="239" t="s">
        <v>149</v>
      </c>
      <c r="E129" s="240">
        <v>2</v>
      </c>
      <c r="F129" s="273">
        <v>0</v>
      </c>
      <c r="G129" s="274">
        <f t="shared" si="9"/>
        <v>0</v>
      </c>
      <c r="H129" s="565"/>
    </row>
    <row r="130" spans="2:8" s="136" customFormat="1" x14ac:dyDescent="0.2">
      <c r="B130" s="135"/>
      <c r="C130" s="1811" t="s">
        <v>197</v>
      </c>
      <c r="D130" s="239" t="s">
        <v>149</v>
      </c>
      <c r="E130" s="240">
        <v>1</v>
      </c>
      <c r="F130" s="273">
        <v>0</v>
      </c>
      <c r="G130" s="274">
        <f t="shared" si="9"/>
        <v>0</v>
      </c>
      <c r="H130" s="565"/>
    </row>
    <row r="131" spans="2:8" s="136" customFormat="1" ht="24" x14ac:dyDescent="0.2">
      <c r="B131" s="135"/>
      <c r="C131" s="1812" t="s">
        <v>198</v>
      </c>
      <c r="D131" s="239" t="s">
        <v>149</v>
      </c>
      <c r="E131" s="240">
        <v>1</v>
      </c>
      <c r="F131" s="273">
        <v>0</v>
      </c>
      <c r="G131" s="274">
        <f t="shared" si="9"/>
        <v>0</v>
      </c>
      <c r="H131" s="565"/>
    </row>
    <row r="132" spans="2:8" s="136" customFormat="1" x14ac:dyDescent="0.2">
      <c r="B132" s="292" t="s">
        <v>199</v>
      </c>
      <c r="C132" s="253" t="s">
        <v>205</v>
      </c>
      <c r="D132" s="254"/>
      <c r="E132" s="255"/>
      <c r="F132" s="256"/>
      <c r="G132" s="257"/>
      <c r="H132" s="565"/>
    </row>
    <row r="133" spans="2:8" s="136" customFormat="1" x14ac:dyDescent="0.2">
      <c r="B133" s="135"/>
      <c r="C133" s="253" t="s">
        <v>206</v>
      </c>
      <c r="D133" s="254"/>
      <c r="E133" s="255"/>
      <c r="F133" s="256">
        <v>0</v>
      </c>
      <c r="G133" s="257"/>
      <c r="H133" s="565"/>
    </row>
    <row r="134" spans="2:8" s="136" customFormat="1" x14ac:dyDescent="0.2">
      <c r="B134" s="135"/>
      <c r="C134" s="258" t="s">
        <v>207</v>
      </c>
      <c r="D134" s="254" t="s">
        <v>149</v>
      </c>
      <c r="E134" s="255">
        <v>16</v>
      </c>
      <c r="F134" s="277">
        <v>0</v>
      </c>
      <c r="G134" s="278">
        <f t="shared" ref="G134:G149" si="10">E134*F134</f>
        <v>0</v>
      </c>
      <c r="H134" s="565"/>
    </row>
    <row r="135" spans="2:8" s="136" customFormat="1" ht="24" x14ac:dyDescent="0.2">
      <c r="B135" s="135"/>
      <c r="C135" s="258" t="s">
        <v>208</v>
      </c>
      <c r="D135" s="254" t="s">
        <v>149</v>
      </c>
      <c r="E135" s="255">
        <v>32</v>
      </c>
      <c r="F135" s="277">
        <v>0</v>
      </c>
      <c r="G135" s="278">
        <f t="shared" si="10"/>
        <v>0</v>
      </c>
      <c r="H135" s="565"/>
    </row>
    <row r="136" spans="2:8" s="136" customFormat="1" x14ac:dyDescent="0.2">
      <c r="B136" s="135"/>
      <c r="C136" s="259" t="s">
        <v>209</v>
      </c>
      <c r="D136" s="254" t="s">
        <v>149</v>
      </c>
      <c r="E136" s="255">
        <v>16</v>
      </c>
      <c r="F136" s="277">
        <v>0</v>
      </c>
      <c r="G136" s="278">
        <f t="shared" si="10"/>
        <v>0</v>
      </c>
      <c r="H136" s="565"/>
    </row>
    <row r="137" spans="2:8" s="136" customFormat="1" x14ac:dyDescent="0.2">
      <c r="B137" s="135"/>
      <c r="C137" s="259" t="s">
        <v>210</v>
      </c>
      <c r="D137" s="254" t="s">
        <v>149</v>
      </c>
      <c r="E137" s="255">
        <v>16</v>
      </c>
      <c r="F137" s="277">
        <v>0</v>
      </c>
      <c r="G137" s="278">
        <f t="shared" si="10"/>
        <v>0</v>
      </c>
      <c r="H137" s="565"/>
    </row>
    <row r="138" spans="2:8" s="136" customFormat="1" x14ac:dyDescent="0.2">
      <c r="B138" s="135"/>
      <c r="C138" s="259" t="s">
        <v>211</v>
      </c>
      <c r="D138" s="254" t="s">
        <v>149</v>
      </c>
      <c r="E138" s="255">
        <v>16</v>
      </c>
      <c r="F138" s="277">
        <v>0</v>
      </c>
      <c r="G138" s="278">
        <f t="shared" si="10"/>
        <v>0</v>
      </c>
      <c r="H138" s="565"/>
    </row>
    <row r="139" spans="2:8" s="136" customFormat="1" x14ac:dyDescent="0.2">
      <c r="B139" s="135"/>
      <c r="C139" s="259" t="s">
        <v>212</v>
      </c>
      <c r="D139" s="254" t="s">
        <v>149</v>
      </c>
      <c r="E139" s="255">
        <v>16</v>
      </c>
      <c r="F139" s="277">
        <v>0</v>
      </c>
      <c r="G139" s="278">
        <f t="shared" si="10"/>
        <v>0</v>
      </c>
      <c r="H139" s="565"/>
    </row>
    <row r="140" spans="2:8" s="136" customFormat="1" x14ac:dyDescent="0.2">
      <c r="B140" s="135"/>
      <c r="C140" s="259" t="s">
        <v>213</v>
      </c>
      <c r="D140" s="254" t="s">
        <v>149</v>
      </c>
      <c r="E140" s="255">
        <v>16</v>
      </c>
      <c r="F140" s="277">
        <v>0</v>
      </c>
      <c r="G140" s="278">
        <f t="shared" si="10"/>
        <v>0</v>
      </c>
      <c r="H140" s="565"/>
    </row>
    <row r="141" spans="2:8" s="136" customFormat="1" x14ac:dyDescent="0.2">
      <c r="B141" s="135"/>
      <c r="C141" s="259" t="s">
        <v>214</v>
      </c>
      <c r="D141" s="254" t="s">
        <v>149</v>
      </c>
      <c r="E141" s="255">
        <v>16</v>
      </c>
      <c r="F141" s="277">
        <v>0</v>
      </c>
      <c r="G141" s="278">
        <f t="shared" si="10"/>
        <v>0</v>
      </c>
      <c r="H141" s="565"/>
    </row>
    <row r="142" spans="2:8" s="136" customFormat="1" x14ac:dyDescent="0.2">
      <c r="B142" s="135"/>
      <c r="C142" s="259" t="s">
        <v>215</v>
      </c>
      <c r="D142" s="254" t="s">
        <v>149</v>
      </c>
      <c r="E142" s="255">
        <v>16</v>
      </c>
      <c r="F142" s="277">
        <v>0</v>
      </c>
      <c r="G142" s="278">
        <f t="shared" si="10"/>
        <v>0</v>
      </c>
      <c r="H142" s="565"/>
    </row>
    <row r="143" spans="2:8" s="136" customFormat="1" x14ac:dyDescent="0.2">
      <c r="B143" s="135"/>
      <c r="C143" s="1816" t="s">
        <v>216</v>
      </c>
      <c r="D143" s="254" t="s">
        <v>149</v>
      </c>
      <c r="E143" s="255">
        <v>16</v>
      </c>
      <c r="F143" s="277">
        <v>0</v>
      </c>
      <c r="G143" s="278">
        <f t="shared" si="10"/>
        <v>0</v>
      </c>
      <c r="H143" s="565"/>
    </row>
    <row r="144" spans="2:8" s="136" customFormat="1" x14ac:dyDescent="0.2">
      <c r="B144" s="135"/>
      <c r="C144" s="1816" t="s">
        <v>217</v>
      </c>
      <c r="D144" s="254" t="s">
        <v>149</v>
      </c>
      <c r="E144" s="255">
        <v>16</v>
      </c>
      <c r="F144" s="277">
        <v>0</v>
      </c>
      <c r="G144" s="278">
        <f t="shared" si="10"/>
        <v>0</v>
      </c>
      <c r="H144" s="565"/>
    </row>
    <row r="145" spans="2:8" s="136" customFormat="1" ht="24" x14ac:dyDescent="0.2">
      <c r="B145" s="135"/>
      <c r="C145" s="1816" t="s">
        <v>195</v>
      </c>
      <c r="D145" s="254" t="s">
        <v>149</v>
      </c>
      <c r="E145" s="255">
        <v>32</v>
      </c>
      <c r="F145" s="277">
        <v>0</v>
      </c>
      <c r="G145" s="278">
        <f t="shared" si="10"/>
        <v>0</v>
      </c>
      <c r="H145" s="565"/>
    </row>
    <row r="146" spans="2:8" s="136" customFormat="1" x14ac:dyDescent="0.2">
      <c r="B146" s="135"/>
      <c r="C146" s="1816" t="s">
        <v>218</v>
      </c>
      <c r="D146" s="254" t="s">
        <v>149</v>
      </c>
      <c r="E146" s="255">
        <v>32</v>
      </c>
      <c r="F146" s="277">
        <v>0</v>
      </c>
      <c r="G146" s="278">
        <f t="shared" si="10"/>
        <v>0</v>
      </c>
      <c r="H146" s="565"/>
    </row>
    <row r="147" spans="2:8" s="136" customFormat="1" x14ac:dyDescent="0.2">
      <c r="B147" s="135"/>
      <c r="C147" s="1816" t="s">
        <v>219</v>
      </c>
      <c r="D147" s="254" t="s">
        <v>149</v>
      </c>
      <c r="E147" s="255">
        <v>16</v>
      </c>
      <c r="F147" s="277">
        <v>0</v>
      </c>
      <c r="G147" s="278">
        <f t="shared" si="10"/>
        <v>0</v>
      </c>
      <c r="H147" s="565"/>
    </row>
    <row r="148" spans="2:8" s="136" customFormat="1" x14ac:dyDescent="0.2">
      <c r="B148" s="135"/>
      <c r="C148" s="1816" t="s">
        <v>227</v>
      </c>
      <c r="D148" s="254" t="s">
        <v>149</v>
      </c>
      <c r="E148" s="255">
        <v>48</v>
      </c>
      <c r="F148" s="277">
        <v>0</v>
      </c>
      <c r="G148" s="278">
        <f t="shared" si="10"/>
        <v>0</v>
      </c>
      <c r="H148" s="565"/>
    </row>
    <row r="149" spans="2:8" s="136" customFormat="1" ht="24" x14ac:dyDescent="0.2">
      <c r="B149" s="135"/>
      <c r="C149" s="1817" t="s">
        <v>198</v>
      </c>
      <c r="D149" s="254" t="s">
        <v>149</v>
      </c>
      <c r="E149" s="255">
        <v>16</v>
      </c>
      <c r="F149" s="277">
        <v>0</v>
      </c>
      <c r="G149" s="278">
        <f t="shared" si="10"/>
        <v>0</v>
      </c>
      <c r="H149" s="565"/>
    </row>
    <row r="150" spans="2:8" s="136" customFormat="1" x14ac:dyDescent="0.2">
      <c r="B150" s="135"/>
      <c r="C150" s="253" t="s">
        <v>842</v>
      </c>
      <c r="D150" s="254"/>
      <c r="E150" s="255"/>
      <c r="F150" s="256">
        <v>0</v>
      </c>
      <c r="G150" s="257"/>
      <c r="H150" s="565"/>
    </row>
    <row r="151" spans="2:8" s="136" customFormat="1" x14ac:dyDescent="0.2">
      <c r="B151" s="135"/>
      <c r="C151" s="258" t="s">
        <v>207</v>
      </c>
      <c r="D151" s="254" t="s">
        <v>149</v>
      </c>
      <c r="E151" s="255">
        <v>2</v>
      </c>
      <c r="F151" s="277">
        <v>0</v>
      </c>
      <c r="G151" s="278">
        <f t="shared" ref="G151:G166" si="11">E151*F151</f>
        <v>0</v>
      </c>
      <c r="H151" s="565"/>
    </row>
    <row r="152" spans="2:8" s="136" customFormat="1" ht="24" x14ac:dyDescent="0.2">
      <c r="B152" s="135"/>
      <c r="C152" s="258" t="s">
        <v>208</v>
      </c>
      <c r="D152" s="254" t="s">
        <v>149</v>
      </c>
      <c r="E152" s="255">
        <v>4</v>
      </c>
      <c r="F152" s="277">
        <v>0</v>
      </c>
      <c r="G152" s="278">
        <f t="shared" si="11"/>
        <v>0</v>
      </c>
      <c r="H152" s="565"/>
    </row>
    <row r="153" spans="2:8" s="136" customFormat="1" x14ac:dyDescent="0.2">
      <c r="B153" s="135"/>
      <c r="C153" s="259" t="s">
        <v>843</v>
      </c>
      <c r="D153" s="254" t="s">
        <v>149</v>
      </c>
      <c r="E153" s="255">
        <v>2</v>
      </c>
      <c r="F153" s="277">
        <v>0</v>
      </c>
      <c r="G153" s="278">
        <f t="shared" si="11"/>
        <v>0</v>
      </c>
      <c r="H153" s="565"/>
    </row>
    <row r="154" spans="2:8" s="136" customFormat="1" x14ac:dyDescent="0.2">
      <c r="B154" s="135"/>
      <c r="C154" s="259" t="s">
        <v>210</v>
      </c>
      <c r="D154" s="254" t="s">
        <v>149</v>
      </c>
      <c r="E154" s="255">
        <v>2</v>
      </c>
      <c r="F154" s="277">
        <v>0</v>
      </c>
      <c r="G154" s="278">
        <f t="shared" si="11"/>
        <v>0</v>
      </c>
      <c r="H154" s="565"/>
    </row>
    <row r="155" spans="2:8" s="136" customFormat="1" x14ac:dyDescent="0.2">
      <c r="B155" s="135"/>
      <c r="C155" s="259" t="s">
        <v>211</v>
      </c>
      <c r="D155" s="254" t="s">
        <v>149</v>
      </c>
      <c r="E155" s="255">
        <v>2</v>
      </c>
      <c r="F155" s="277">
        <v>0</v>
      </c>
      <c r="G155" s="278">
        <f t="shared" si="11"/>
        <v>0</v>
      </c>
      <c r="H155" s="565"/>
    </row>
    <row r="156" spans="2:8" s="136" customFormat="1" x14ac:dyDescent="0.2">
      <c r="B156" s="135"/>
      <c r="C156" s="259" t="s">
        <v>212</v>
      </c>
      <c r="D156" s="254" t="s">
        <v>149</v>
      </c>
      <c r="E156" s="255">
        <v>2</v>
      </c>
      <c r="F156" s="277">
        <v>0</v>
      </c>
      <c r="G156" s="278">
        <f t="shared" si="11"/>
        <v>0</v>
      </c>
      <c r="H156" s="565"/>
    </row>
    <row r="157" spans="2:8" s="136" customFormat="1" x14ac:dyDescent="0.2">
      <c r="B157" s="135"/>
      <c r="C157" s="259" t="s">
        <v>213</v>
      </c>
      <c r="D157" s="254" t="s">
        <v>149</v>
      </c>
      <c r="E157" s="255">
        <v>2</v>
      </c>
      <c r="F157" s="277">
        <v>0</v>
      </c>
      <c r="G157" s="278">
        <f t="shared" si="11"/>
        <v>0</v>
      </c>
      <c r="H157" s="565"/>
    </row>
    <row r="158" spans="2:8" s="136" customFormat="1" x14ac:dyDescent="0.2">
      <c r="B158" s="135"/>
      <c r="C158" s="259" t="s">
        <v>214</v>
      </c>
      <c r="D158" s="254" t="s">
        <v>149</v>
      </c>
      <c r="E158" s="255">
        <v>2</v>
      </c>
      <c r="F158" s="277">
        <v>0</v>
      </c>
      <c r="G158" s="278">
        <f t="shared" si="11"/>
        <v>0</v>
      </c>
      <c r="H158" s="565"/>
    </row>
    <row r="159" spans="2:8" s="136" customFormat="1" x14ac:dyDescent="0.2">
      <c r="B159" s="135"/>
      <c r="C159" s="259" t="s">
        <v>215</v>
      </c>
      <c r="D159" s="254" t="s">
        <v>149</v>
      </c>
      <c r="E159" s="255">
        <v>2</v>
      </c>
      <c r="F159" s="277">
        <v>0</v>
      </c>
      <c r="G159" s="278">
        <f t="shared" si="11"/>
        <v>0</v>
      </c>
      <c r="H159" s="565"/>
    </row>
    <row r="160" spans="2:8" s="136" customFormat="1" x14ac:dyDescent="0.2">
      <c r="B160" s="135"/>
      <c r="C160" s="1816" t="s">
        <v>216</v>
      </c>
      <c r="D160" s="254" t="s">
        <v>149</v>
      </c>
      <c r="E160" s="255">
        <v>2</v>
      </c>
      <c r="F160" s="277">
        <v>0</v>
      </c>
      <c r="G160" s="278">
        <f t="shared" si="11"/>
        <v>0</v>
      </c>
      <c r="H160" s="565"/>
    </row>
    <row r="161" spans="1:8" s="136" customFormat="1" x14ac:dyDescent="0.2">
      <c r="B161" s="135"/>
      <c r="C161" s="1816" t="s">
        <v>329</v>
      </c>
      <c r="D161" s="254" t="s">
        <v>149</v>
      </c>
      <c r="E161" s="255">
        <v>2</v>
      </c>
      <c r="F161" s="277">
        <v>0</v>
      </c>
      <c r="G161" s="278">
        <f t="shared" si="11"/>
        <v>0</v>
      </c>
      <c r="H161" s="565"/>
    </row>
    <row r="162" spans="1:8" s="136" customFormat="1" ht="24" x14ac:dyDescent="0.2">
      <c r="B162" s="135"/>
      <c r="C162" s="1816" t="s">
        <v>235</v>
      </c>
      <c r="D162" s="254" t="s">
        <v>149</v>
      </c>
      <c r="E162" s="255">
        <v>4</v>
      </c>
      <c r="F162" s="277">
        <v>0</v>
      </c>
      <c r="G162" s="278">
        <f t="shared" si="11"/>
        <v>0</v>
      </c>
      <c r="H162" s="565"/>
    </row>
    <row r="163" spans="1:8" s="136" customFormat="1" x14ac:dyDescent="0.2">
      <c r="B163" s="135"/>
      <c r="C163" s="1816" t="s">
        <v>236</v>
      </c>
      <c r="D163" s="254" t="s">
        <v>149</v>
      </c>
      <c r="E163" s="255">
        <v>4</v>
      </c>
      <c r="F163" s="277">
        <v>0</v>
      </c>
      <c r="G163" s="278">
        <f t="shared" si="11"/>
        <v>0</v>
      </c>
      <c r="H163" s="565"/>
    </row>
    <row r="164" spans="1:8" s="136" customFormat="1" x14ac:dyDescent="0.2">
      <c r="B164" s="135"/>
      <c r="C164" s="1816" t="s">
        <v>219</v>
      </c>
      <c r="D164" s="254" t="s">
        <v>149</v>
      </c>
      <c r="E164" s="255">
        <v>2</v>
      </c>
      <c r="F164" s="277">
        <v>0</v>
      </c>
      <c r="G164" s="278">
        <f t="shared" si="11"/>
        <v>0</v>
      </c>
      <c r="H164" s="565"/>
    </row>
    <row r="165" spans="1:8" s="136" customFormat="1" x14ac:dyDescent="0.2">
      <c r="A165" s="121"/>
      <c r="B165" s="135"/>
      <c r="C165" s="1816" t="s">
        <v>227</v>
      </c>
      <c r="D165" s="254" t="s">
        <v>149</v>
      </c>
      <c r="E165" s="255">
        <v>6</v>
      </c>
      <c r="F165" s="277">
        <v>0</v>
      </c>
      <c r="G165" s="278">
        <f t="shared" si="11"/>
        <v>0</v>
      </c>
      <c r="H165" s="565"/>
    </row>
    <row r="166" spans="1:8" s="136" customFormat="1" ht="24" x14ac:dyDescent="0.2">
      <c r="B166" s="135"/>
      <c r="C166" s="1817" t="s">
        <v>198</v>
      </c>
      <c r="D166" s="254" t="s">
        <v>149</v>
      </c>
      <c r="E166" s="255">
        <v>2</v>
      </c>
      <c r="F166" s="277">
        <v>0</v>
      </c>
      <c r="G166" s="278">
        <f t="shared" si="11"/>
        <v>0</v>
      </c>
      <c r="H166" s="565"/>
    </row>
    <row r="167" spans="1:8" s="136" customFormat="1" x14ac:dyDescent="0.2">
      <c r="B167" s="135"/>
      <c r="C167" s="253" t="s">
        <v>1794</v>
      </c>
      <c r="D167" s="254"/>
      <c r="E167" s="255"/>
      <c r="F167" s="256">
        <v>0</v>
      </c>
      <c r="G167" s="257"/>
      <c r="H167" s="565"/>
    </row>
    <row r="168" spans="1:8" s="136" customFormat="1" x14ac:dyDescent="0.2">
      <c r="B168" s="135"/>
      <c r="C168" s="258" t="s">
        <v>841</v>
      </c>
      <c r="D168" s="254" t="s">
        <v>149</v>
      </c>
      <c r="E168" s="255">
        <v>5</v>
      </c>
      <c r="F168" s="277">
        <v>0</v>
      </c>
      <c r="G168" s="278">
        <f t="shared" ref="G168:G184" si="12">E168*F168</f>
        <v>0</v>
      </c>
      <c r="H168" s="565"/>
    </row>
    <row r="169" spans="1:8" s="136" customFormat="1" x14ac:dyDescent="0.2">
      <c r="B169" s="135"/>
      <c r="C169" s="258" t="s">
        <v>213</v>
      </c>
      <c r="D169" s="254" t="s">
        <v>149</v>
      </c>
      <c r="E169" s="255">
        <v>10</v>
      </c>
      <c r="F169" s="277">
        <v>0</v>
      </c>
      <c r="G169" s="278">
        <f t="shared" si="12"/>
        <v>0</v>
      </c>
      <c r="H169" s="565"/>
    </row>
    <row r="170" spans="1:8" s="136" customFormat="1" x14ac:dyDescent="0.2">
      <c r="B170" s="135"/>
      <c r="C170" s="259" t="s">
        <v>843</v>
      </c>
      <c r="D170" s="254" t="s">
        <v>149</v>
      </c>
      <c r="E170" s="255">
        <v>5</v>
      </c>
      <c r="F170" s="277">
        <v>0</v>
      </c>
      <c r="G170" s="278">
        <f t="shared" si="12"/>
        <v>0</v>
      </c>
      <c r="H170" s="565"/>
    </row>
    <row r="171" spans="1:8" s="136" customFormat="1" x14ac:dyDescent="0.2">
      <c r="B171" s="135"/>
      <c r="C171" s="259" t="s">
        <v>210</v>
      </c>
      <c r="D171" s="254" t="s">
        <v>149</v>
      </c>
      <c r="E171" s="255">
        <v>5</v>
      </c>
      <c r="F171" s="277">
        <v>0</v>
      </c>
      <c r="G171" s="278">
        <f t="shared" si="12"/>
        <v>0</v>
      </c>
      <c r="H171" s="565"/>
    </row>
    <row r="172" spans="1:8" s="136" customFormat="1" x14ac:dyDescent="0.2">
      <c r="B172" s="135"/>
      <c r="C172" s="259" t="s">
        <v>211</v>
      </c>
      <c r="D172" s="254" t="s">
        <v>149</v>
      </c>
      <c r="E172" s="255">
        <v>5</v>
      </c>
      <c r="F172" s="277">
        <v>0</v>
      </c>
      <c r="G172" s="278">
        <f t="shared" si="12"/>
        <v>0</v>
      </c>
      <c r="H172" s="565"/>
    </row>
    <row r="173" spans="1:8" s="136" customFormat="1" x14ac:dyDescent="0.2">
      <c r="B173" s="135"/>
      <c r="C173" s="259" t="s">
        <v>212</v>
      </c>
      <c r="D173" s="254" t="s">
        <v>149</v>
      </c>
      <c r="E173" s="255">
        <v>5</v>
      </c>
      <c r="F173" s="277">
        <v>0</v>
      </c>
      <c r="G173" s="278">
        <f t="shared" si="12"/>
        <v>0</v>
      </c>
      <c r="H173" s="565"/>
    </row>
    <row r="174" spans="1:8" s="136" customFormat="1" x14ac:dyDescent="0.2">
      <c r="B174" s="135"/>
      <c r="C174" s="259" t="s">
        <v>213</v>
      </c>
      <c r="D174" s="254" t="s">
        <v>149</v>
      </c>
      <c r="E174" s="255">
        <v>5</v>
      </c>
      <c r="F174" s="277">
        <v>0</v>
      </c>
      <c r="G174" s="278">
        <f t="shared" si="12"/>
        <v>0</v>
      </c>
      <c r="H174" s="565"/>
    </row>
    <row r="175" spans="1:8" s="136" customFormat="1" x14ac:dyDescent="0.2">
      <c r="B175" s="135"/>
      <c r="C175" s="259" t="s">
        <v>214</v>
      </c>
      <c r="D175" s="254" t="s">
        <v>149</v>
      </c>
      <c r="E175" s="255">
        <v>5</v>
      </c>
      <c r="F175" s="277">
        <v>0</v>
      </c>
      <c r="G175" s="278">
        <f t="shared" si="12"/>
        <v>0</v>
      </c>
      <c r="H175" s="565"/>
    </row>
    <row r="176" spans="1:8" s="136" customFormat="1" x14ac:dyDescent="0.2">
      <c r="B176" s="135"/>
      <c r="C176" s="259" t="s">
        <v>215</v>
      </c>
      <c r="D176" s="254" t="s">
        <v>149</v>
      </c>
      <c r="E176" s="255">
        <v>5</v>
      </c>
      <c r="F176" s="277">
        <v>0</v>
      </c>
      <c r="G176" s="278">
        <f t="shared" si="12"/>
        <v>0</v>
      </c>
      <c r="H176" s="565"/>
    </row>
    <row r="177" spans="1:8" s="136" customFormat="1" x14ac:dyDescent="0.2">
      <c r="B177" s="135"/>
      <c r="C177" s="1816" t="s">
        <v>216</v>
      </c>
      <c r="D177" s="254" t="s">
        <v>149</v>
      </c>
      <c r="E177" s="255">
        <v>5</v>
      </c>
      <c r="F177" s="277">
        <v>0</v>
      </c>
      <c r="G177" s="278">
        <f t="shared" si="12"/>
        <v>0</v>
      </c>
      <c r="H177" s="565"/>
    </row>
    <row r="178" spans="1:8" s="136" customFormat="1" x14ac:dyDescent="0.2">
      <c r="B178" s="135"/>
      <c r="C178" s="1816" t="s">
        <v>329</v>
      </c>
      <c r="D178" s="254" t="s">
        <v>149</v>
      </c>
      <c r="E178" s="255">
        <v>5</v>
      </c>
      <c r="F178" s="277">
        <v>0</v>
      </c>
      <c r="G178" s="278">
        <f t="shared" si="12"/>
        <v>0</v>
      </c>
      <c r="H178" s="565"/>
    </row>
    <row r="179" spans="1:8" s="136" customFormat="1" x14ac:dyDescent="0.2">
      <c r="B179" s="135"/>
      <c r="C179" s="1816" t="s">
        <v>239</v>
      </c>
      <c r="D179" s="254" t="s">
        <v>149</v>
      </c>
      <c r="E179" s="255">
        <v>10</v>
      </c>
      <c r="F179" s="277">
        <v>0</v>
      </c>
      <c r="G179" s="278">
        <f t="shared" si="12"/>
        <v>0</v>
      </c>
      <c r="H179" s="565"/>
    </row>
    <row r="180" spans="1:8" s="136" customFormat="1" x14ac:dyDescent="0.2">
      <c r="B180" s="135"/>
      <c r="C180" s="1816" t="s">
        <v>241</v>
      </c>
      <c r="D180" s="254" t="s">
        <v>149</v>
      </c>
      <c r="E180" s="255">
        <v>10</v>
      </c>
      <c r="F180" s="277">
        <v>0</v>
      </c>
      <c r="G180" s="278">
        <f t="shared" si="12"/>
        <v>0</v>
      </c>
      <c r="H180" s="565"/>
    </row>
    <row r="181" spans="1:8" x14ac:dyDescent="0.2">
      <c r="A181" s="136"/>
      <c r="B181" s="135"/>
      <c r="C181" s="1816" t="s">
        <v>242</v>
      </c>
      <c r="D181" s="254" t="s">
        <v>149</v>
      </c>
      <c r="E181" s="255">
        <v>10</v>
      </c>
      <c r="F181" s="277">
        <v>0</v>
      </c>
      <c r="G181" s="278">
        <f t="shared" si="12"/>
        <v>0</v>
      </c>
    </row>
    <row r="182" spans="1:8" s="136" customFormat="1" x14ac:dyDescent="0.2">
      <c r="B182" s="135"/>
      <c r="C182" s="1816" t="s">
        <v>219</v>
      </c>
      <c r="D182" s="254" t="s">
        <v>149</v>
      </c>
      <c r="E182" s="255">
        <v>5</v>
      </c>
      <c r="F182" s="277">
        <v>0</v>
      </c>
      <c r="G182" s="278">
        <f t="shared" si="12"/>
        <v>0</v>
      </c>
      <c r="H182" s="565"/>
    </row>
    <row r="183" spans="1:8" s="136" customFormat="1" x14ac:dyDescent="0.2">
      <c r="B183" s="135"/>
      <c r="C183" s="1816" t="s">
        <v>227</v>
      </c>
      <c r="D183" s="254" t="s">
        <v>149</v>
      </c>
      <c r="E183" s="255">
        <v>15</v>
      </c>
      <c r="F183" s="277">
        <v>0</v>
      </c>
      <c r="G183" s="278">
        <f t="shared" si="12"/>
        <v>0</v>
      </c>
      <c r="H183" s="565"/>
    </row>
    <row r="184" spans="1:8" s="136" customFormat="1" ht="24" x14ac:dyDescent="0.2">
      <c r="B184" s="135"/>
      <c r="C184" s="1817" t="s">
        <v>198</v>
      </c>
      <c r="D184" s="254" t="s">
        <v>149</v>
      </c>
      <c r="E184" s="255">
        <v>5</v>
      </c>
      <c r="F184" s="277">
        <v>0</v>
      </c>
      <c r="G184" s="278">
        <f t="shared" si="12"/>
        <v>0</v>
      </c>
      <c r="H184" s="565"/>
    </row>
    <row r="185" spans="1:8" x14ac:dyDescent="0.2">
      <c r="A185" s="136"/>
      <c r="B185" s="292" t="s">
        <v>220</v>
      </c>
      <c r="C185" s="253" t="s">
        <v>231</v>
      </c>
      <c r="D185" s="254"/>
      <c r="E185" s="255"/>
      <c r="F185" s="256"/>
      <c r="G185" s="257"/>
    </row>
    <row r="186" spans="1:8" s="136" customFormat="1" x14ac:dyDescent="0.2">
      <c r="B186" s="135"/>
      <c r="C186" s="253" t="s">
        <v>232</v>
      </c>
      <c r="D186" s="254"/>
      <c r="E186" s="255"/>
      <c r="F186" s="256">
        <v>0</v>
      </c>
      <c r="G186" s="257"/>
      <c r="H186" s="565"/>
    </row>
    <row r="187" spans="1:8" s="147" customFormat="1" ht="24" x14ac:dyDescent="0.2">
      <c r="A187" s="136"/>
      <c r="B187" s="135"/>
      <c r="C187" s="258" t="s">
        <v>233</v>
      </c>
      <c r="D187" s="254" t="s">
        <v>149</v>
      </c>
      <c r="E187" s="255">
        <v>1</v>
      </c>
      <c r="F187" s="277">
        <v>0</v>
      </c>
      <c r="G187" s="278">
        <f t="shared" ref="G187:G191" si="13">E187*F187</f>
        <v>0</v>
      </c>
      <c r="H187" s="150"/>
    </row>
    <row r="188" spans="1:8" ht="24" x14ac:dyDescent="0.2">
      <c r="A188" s="136"/>
      <c r="B188" s="135"/>
      <c r="C188" s="1819" t="s">
        <v>195</v>
      </c>
      <c r="D188" s="254" t="s">
        <v>149</v>
      </c>
      <c r="E188" s="255">
        <v>3</v>
      </c>
      <c r="F188" s="277">
        <v>0</v>
      </c>
      <c r="G188" s="278">
        <f t="shared" si="13"/>
        <v>0</v>
      </c>
    </row>
    <row r="189" spans="1:8" x14ac:dyDescent="0.2">
      <c r="A189" s="136"/>
      <c r="B189" s="135"/>
      <c r="C189" s="1819" t="s">
        <v>1723</v>
      </c>
      <c r="D189" s="254" t="s">
        <v>149</v>
      </c>
      <c r="E189" s="255">
        <v>3</v>
      </c>
      <c r="F189" s="277">
        <v>0</v>
      </c>
      <c r="G189" s="278">
        <f t="shared" si="13"/>
        <v>0</v>
      </c>
    </row>
    <row r="190" spans="1:8" x14ac:dyDescent="0.2">
      <c r="A190" s="136"/>
      <c r="B190" s="135"/>
      <c r="C190" s="1819" t="s">
        <v>227</v>
      </c>
      <c r="D190" s="254" t="s">
        <v>149</v>
      </c>
      <c r="E190" s="255">
        <v>1</v>
      </c>
      <c r="F190" s="277">
        <v>0</v>
      </c>
      <c r="G190" s="278">
        <f t="shared" si="13"/>
        <v>0</v>
      </c>
    </row>
    <row r="191" spans="1:8" ht="24" x14ac:dyDescent="0.2">
      <c r="A191" s="136"/>
      <c r="B191" s="135"/>
      <c r="C191" s="1820" t="s">
        <v>1725</v>
      </c>
      <c r="D191" s="254" t="s">
        <v>149</v>
      </c>
      <c r="E191" s="255">
        <v>1</v>
      </c>
      <c r="F191" s="277">
        <v>0</v>
      </c>
      <c r="G191" s="278">
        <f t="shared" si="13"/>
        <v>0</v>
      </c>
    </row>
    <row r="192" spans="1:8" x14ac:dyDescent="0.2">
      <c r="A192" s="136"/>
      <c r="B192" s="135"/>
      <c r="C192" s="253" t="s">
        <v>234</v>
      </c>
      <c r="D192" s="254"/>
      <c r="E192" s="255"/>
      <c r="F192" s="256">
        <v>0</v>
      </c>
      <c r="G192" s="257"/>
    </row>
    <row r="193" spans="1:7" ht="24" x14ac:dyDescent="0.2">
      <c r="B193" s="655"/>
      <c r="C193" s="258" t="s">
        <v>233</v>
      </c>
      <c r="D193" s="254" t="s">
        <v>149</v>
      </c>
      <c r="E193" s="255">
        <v>1</v>
      </c>
      <c r="F193" s="1382">
        <v>0</v>
      </c>
      <c r="G193" s="1383">
        <f t="shared" ref="G193:G199" si="14">E193*F193</f>
        <v>0</v>
      </c>
    </row>
    <row r="194" spans="1:7" ht="24" x14ac:dyDescent="0.2">
      <c r="A194" s="136"/>
      <c r="B194" s="135"/>
      <c r="C194" s="1819" t="s">
        <v>195</v>
      </c>
      <c r="D194" s="254" t="s">
        <v>149</v>
      </c>
      <c r="E194" s="255">
        <v>2</v>
      </c>
      <c r="F194" s="1382">
        <v>0</v>
      </c>
      <c r="G194" s="278">
        <f t="shared" si="14"/>
        <v>0</v>
      </c>
    </row>
    <row r="195" spans="1:7" ht="24" x14ac:dyDescent="0.2">
      <c r="B195" s="135"/>
      <c r="C195" s="1819" t="s">
        <v>235</v>
      </c>
      <c r="D195" s="254" t="s">
        <v>149</v>
      </c>
      <c r="E195" s="255">
        <v>1</v>
      </c>
      <c r="F195" s="1382">
        <v>0</v>
      </c>
      <c r="G195" s="278">
        <f t="shared" si="14"/>
        <v>0</v>
      </c>
    </row>
    <row r="196" spans="1:7" x14ac:dyDescent="0.2">
      <c r="B196" s="135"/>
      <c r="C196" s="1819" t="s">
        <v>1723</v>
      </c>
      <c r="D196" s="254" t="s">
        <v>149</v>
      </c>
      <c r="E196" s="255">
        <v>2</v>
      </c>
      <c r="F196" s="1382">
        <v>0</v>
      </c>
      <c r="G196" s="278">
        <f t="shared" si="14"/>
        <v>0</v>
      </c>
    </row>
    <row r="197" spans="1:7" x14ac:dyDescent="0.2">
      <c r="B197" s="135"/>
      <c r="C197" s="1819" t="s">
        <v>1738</v>
      </c>
      <c r="D197" s="254" t="s">
        <v>149</v>
      </c>
      <c r="E197" s="255">
        <v>1</v>
      </c>
      <c r="F197" s="1382">
        <v>0</v>
      </c>
      <c r="G197" s="278">
        <f t="shared" si="14"/>
        <v>0</v>
      </c>
    </row>
    <row r="198" spans="1:7" x14ac:dyDescent="0.2">
      <c r="B198" s="135"/>
      <c r="C198" s="1819" t="s">
        <v>227</v>
      </c>
      <c r="D198" s="254" t="s">
        <v>149</v>
      </c>
      <c r="E198" s="255">
        <v>1</v>
      </c>
      <c r="F198" s="1382">
        <v>0</v>
      </c>
      <c r="G198" s="278">
        <f t="shared" si="14"/>
        <v>0</v>
      </c>
    </row>
    <row r="199" spans="1:7" ht="24" x14ac:dyDescent="0.2">
      <c r="B199" s="135"/>
      <c r="C199" s="1820" t="s">
        <v>1725</v>
      </c>
      <c r="D199" s="254" t="s">
        <v>149</v>
      </c>
      <c r="E199" s="255">
        <v>1</v>
      </c>
      <c r="F199" s="1382">
        <v>0</v>
      </c>
      <c r="G199" s="278">
        <f t="shared" si="14"/>
        <v>0</v>
      </c>
    </row>
    <row r="200" spans="1:7" x14ac:dyDescent="0.2">
      <c r="B200" s="135"/>
      <c r="C200" s="253" t="s">
        <v>237</v>
      </c>
      <c r="D200" s="254"/>
      <c r="E200" s="255"/>
      <c r="F200" s="256">
        <v>0</v>
      </c>
      <c r="G200" s="257"/>
    </row>
    <row r="201" spans="1:7" ht="24" x14ac:dyDescent="0.2">
      <c r="B201" s="655"/>
      <c r="C201" s="258" t="s">
        <v>238</v>
      </c>
      <c r="D201" s="254" t="s">
        <v>149</v>
      </c>
      <c r="E201" s="255">
        <v>1</v>
      </c>
      <c r="F201" s="1382">
        <v>0</v>
      </c>
      <c r="G201" s="1383">
        <f t="shared" ref="G201:G209" si="15">E201*F201</f>
        <v>0</v>
      </c>
    </row>
    <row r="202" spans="1:7" ht="24" x14ac:dyDescent="0.2">
      <c r="B202" s="135"/>
      <c r="C202" s="1819" t="s">
        <v>195</v>
      </c>
      <c r="D202" s="254" t="s">
        <v>149</v>
      </c>
      <c r="E202" s="255">
        <v>2</v>
      </c>
      <c r="F202" s="1382">
        <v>0</v>
      </c>
      <c r="G202" s="278">
        <f t="shared" si="15"/>
        <v>0</v>
      </c>
    </row>
    <row r="203" spans="1:7" x14ac:dyDescent="0.2">
      <c r="B203" s="135"/>
      <c r="C203" s="1819" t="s">
        <v>239</v>
      </c>
      <c r="D203" s="254" t="s">
        <v>149</v>
      </c>
      <c r="E203" s="255">
        <v>1</v>
      </c>
      <c r="F203" s="1382">
        <v>0</v>
      </c>
      <c r="G203" s="278">
        <f t="shared" si="15"/>
        <v>0</v>
      </c>
    </row>
    <row r="204" spans="1:7" x14ac:dyDescent="0.2">
      <c r="B204" s="135"/>
      <c r="C204" s="1819" t="s">
        <v>1723</v>
      </c>
      <c r="D204" s="254" t="s">
        <v>149</v>
      </c>
      <c r="E204" s="255">
        <v>2</v>
      </c>
      <c r="F204" s="1382">
        <v>0</v>
      </c>
      <c r="G204" s="278">
        <f t="shared" si="15"/>
        <v>0</v>
      </c>
    </row>
    <row r="205" spans="1:7" x14ac:dyDescent="0.2">
      <c r="B205" s="135"/>
      <c r="C205" s="1819" t="s">
        <v>1761</v>
      </c>
      <c r="D205" s="254" t="s">
        <v>149</v>
      </c>
      <c r="E205" s="255">
        <v>1</v>
      </c>
      <c r="F205" s="1382">
        <v>0</v>
      </c>
      <c r="G205" s="278">
        <f t="shared" si="15"/>
        <v>0</v>
      </c>
    </row>
    <row r="206" spans="1:7" x14ac:dyDescent="0.2">
      <c r="B206" s="135"/>
      <c r="C206" s="1819" t="s">
        <v>1774</v>
      </c>
      <c r="D206" s="254" t="s">
        <v>149</v>
      </c>
      <c r="E206" s="255">
        <v>1</v>
      </c>
      <c r="F206" s="1382">
        <v>0</v>
      </c>
      <c r="G206" s="278">
        <f t="shared" si="15"/>
        <v>0</v>
      </c>
    </row>
    <row r="207" spans="1:7" x14ac:dyDescent="0.2">
      <c r="B207" s="135"/>
      <c r="C207" s="1819" t="s">
        <v>1775</v>
      </c>
      <c r="D207" s="254" t="s">
        <v>149</v>
      </c>
      <c r="E207" s="255">
        <v>1</v>
      </c>
      <c r="F207" s="1382">
        <v>0</v>
      </c>
      <c r="G207" s="278">
        <f t="shared" si="15"/>
        <v>0</v>
      </c>
    </row>
    <row r="208" spans="1:7" x14ac:dyDescent="0.2">
      <c r="B208" s="135"/>
      <c r="C208" s="1819" t="s">
        <v>227</v>
      </c>
      <c r="D208" s="254" t="s">
        <v>149</v>
      </c>
      <c r="E208" s="255">
        <v>1</v>
      </c>
      <c r="F208" s="1382">
        <v>0</v>
      </c>
      <c r="G208" s="278">
        <f t="shared" si="15"/>
        <v>0</v>
      </c>
    </row>
    <row r="209" spans="2:7" ht="24" x14ac:dyDescent="0.2">
      <c r="B209" s="135"/>
      <c r="C209" s="1820" t="s">
        <v>1725</v>
      </c>
      <c r="D209" s="254" t="s">
        <v>149</v>
      </c>
      <c r="E209" s="255">
        <v>1</v>
      </c>
      <c r="F209" s="1382">
        <v>0</v>
      </c>
      <c r="G209" s="278">
        <f t="shared" si="15"/>
        <v>0</v>
      </c>
    </row>
    <row r="210" spans="2:7" x14ac:dyDescent="0.2">
      <c r="B210" s="135"/>
      <c r="C210" s="253" t="s">
        <v>1753</v>
      </c>
      <c r="D210" s="254"/>
      <c r="E210" s="255"/>
      <c r="F210" s="256">
        <v>0</v>
      </c>
      <c r="G210" s="257"/>
    </row>
    <row r="211" spans="2:7" ht="24" x14ac:dyDescent="0.2">
      <c r="B211" s="655"/>
      <c r="C211" s="1379" t="s">
        <v>233</v>
      </c>
      <c r="D211" s="1380" t="s">
        <v>149</v>
      </c>
      <c r="E211" s="1381">
        <v>2</v>
      </c>
      <c r="F211" s="1382">
        <v>0</v>
      </c>
      <c r="G211" s="1383">
        <f t="shared" ref="G211:G215" si="16">E211*F211</f>
        <v>0</v>
      </c>
    </row>
    <row r="212" spans="2:7" ht="24" x14ac:dyDescent="0.2">
      <c r="B212" s="135"/>
      <c r="C212" s="1819" t="s">
        <v>235</v>
      </c>
      <c r="D212" s="254" t="s">
        <v>149</v>
      </c>
      <c r="E212" s="255">
        <v>6</v>
      </c>
      <c r="F212" s="1382">
        <v>0</v>
      </c>
      <c r="G212" s="278">
        <f t="shared" si="16"/>
        <v>0</v>
      </c>
    </row>
    <row r="213" spans="2:7" x14ac:dyDescent="0.2">
      <c r="B213" s="135"/>
      <c r="C213" s="1819" t="s">
        <v>1738</v>
      </c>
      <c r="D213" s="254" t="s">
        <v>149</v>
      </c>
      <c r="E213" s="255">
        <v>6</v>
      </c>
      <c r="F213" s="1382">
        <v>0</v>
      </c>
      <c r="G213" s="278">
        <f t="shared" si="16"/>
        <v>0</v>
      </c>
    </row>
    <row r="214" spans="2:7" x14ac:dyDescent="0.2">
      <c r="B214" s="135"/>
      <c r="C214" s="1819" t="s">
        <v>227</v>
      </c>
      <c r="D214" s="254" t="s">
        <v>149</v>
      </c>
      <c r="E214" s="255">
        <v>2</v>
      </c>
      <c r="F214" s="1382">
        <v>0</v>
      </c>
      <c r="G214" s="278">
        <f t="shared" si="16"/>
        <v>0</v>
      </c>
    </row>
    <row r="215" spans="2:7" ht="24" x14ac:dyDescent="0.2">
      <c r="B215" s="135"/>
      <c r="C215" s="1820" t="s">
        <v>1725</v>
      </c>
      <c r="D215" s="254" t="s">
        <v>149</v>
      </c>
      <c r="E215" s="255">
        <v>2</v>
      </c>
      <c r="F215" s="1382">
        <v>0</v>
      </c>
      <c r="G215" s="278">
        <f t="shared" si="16"/>
        <v>0</v>
      </c>
    </row>
    <row r="216" spans="2:7" x14ac:dyDescent="0.2">
      <c r="B216" s="292" t="s">
        <v>330</v>
      </c>
      <c r="C216" s="247" t="s">
        <v>244</v>
      </c>
      <c r="D216" s="202"/>
      <c r="E216" s="248"/>
      <c r="F216" s="249"/>
      <c r="G216" s="205"/>
    </row>
    <row r="217" spans="2:7" x14ac:dyDescent="0.2">
      <c r="B217" s="135"/>
      <c r="C217" s="247" t="s">
        <v>245</v>
      </c>
      <c r="D217" s="202"/>
      <c r="E217" s="248"/>
      <c r="F217" s="249">
        <v>0</v>
      </c>
      <c r="G217" s="205"/>
    </row>
    <row r="218" spans="2:7" ht="36" x14ac:dyDescent="0.2">
      <c r="B218" s="135"/>
      <c r="C218" s="262" t="s">
        <v>246</v>
      </c>
      <c r="D218" s="202" t="s">
        <v>149</v>
      </c>
      <c r="E218" s="248">
        <v>1</v>
      </c>
      <c r="F218" s="275">
        <v>0</v>
      </c>
      <c r="G218" s="276">
        <f t="shared" ref="G218:G220" si="17">E218*F218</f>
        <v>0</v>
      </c>
    </row>
    <row r="219" spans="2:7" x14ac:dyDescent="0.2">
      <c r="B219" s="135"/>
      <c r="C219" s="1814" t="s">
        <v>247</v>
      </c>
      <c r="D219" s="202" t="s">
        <v>149</v>
      </c>
      <c r="E219" s="248">
        <v>1</v>
      </c>
      <c r="F219" s="275">
        <v>0</v>
      </c>
      <c r="G219" s="276">
        <f t="shared" si="17"/>
        <v>0</v>
      </c>
    </row>
    <row r="220" spans="2:7" ht="24" x14ac:dyDescent="0.2">
      <c r="B220" s="135"/>
      <c r="C220" s="1821" t="s">
        <v>248</v>
      </c>
      <c r="D220" s="202" t="s">
        <v>149</v>
      </c>
      <c r="E220" s="248">
        <v>1</v>
      </c>
      <c r="F220" s="275">
        <v>0</v>
      </c>
      <c r="G220" s="276">
        <f t="shared" si="17"/>
        <v>0</v>
      </c>
    </row>
    <row r="221" spans="2:7" x14ac:dyDescent="0.2">
      <c r="B221" s="135"/>
      <c r="C221" s="247" t="s">
        <v>249</v>
      </c>
      <c r="D221" s="202"/>
      <c r="E221" s="248"/>
      <c r="F221" s="249">
        <v>0</v>
      </c>
      <c r="G221" s="205"/>
    </row>
    <row r="222" spans="2:7" ht="36" x14ac:dyDescent="0.2">
      <c r="B222" s="135"/>
      <c r="C222" s="262" t="s">
        <v>250</v>
      </c>
      <c r="D222" s="202" t="s">
        <v>149</v>
      </c>
      <c r="E222" s="248">
        <v>45</v>
      </c>
      <c r="F222" s="275">
        <v>0</v>
      </c>
      <c r="G222" s="276">
        <f t="shared" ref="G222:G224" si="18">E222*F222</f>
        <v>0</v>
      </c>
    </row>
    <row r="223" spans="2:7" x14ac:dyDescent="0.2">
      <c r="B223" s="135"/>
      <c r="C223" s="1814" t="s">
        <v>247</v>
      </c>
      <c r="D223" s="202" t="s">
        <v>149</v>
      </c>
      <c r="E223" s="248">
        <v>45</v>
      </c>
      <c r="F223" s="275">
        <v>0</v>
      </c>
      <c r="G223" s="276">
        <f t="shared" si="18"/>
        <v>0</v>
      </c>
    </row>
    <row r="224" spans="2:7" ht="24" x14ac:dyDescent="0.2">
      <c r="B224" s="135"/>
      <c r="C224" s="1815" t="s">
        <v>198</v>
      </c>
      <c r="D224" s="202" t="s">
        <v>149</v>
      </c>
      <c r="E224" s="248">
        <v>45</v>
      </c>
      <c r="F224" s="275">
        <v>0</v>
      </c>
      <c r="G224" s="276">
        <f t="shared" si="18"/>
        <v>0</v>
      </c>
    </row>
    <row r="225" spans="2:9" x14ac:dyDescent="0.2">
      <c r="B225" s="135"/>
      <c r="C225" s="247" t="s">
        <v>849</v>
      </c>
      <c r="D225" s="202"/>
      <c r="E225" s="248"/>
      <c r="F225" s="249">
        <v>0</v>
      </c>
      <c r="G225" s="205"/>
    </row>
    <row r="226" spans="2:9" ht="36" x14ac:dyDescent="0.3">
      <c r="B226" s="135"/>
      <c r="C226" s="262" t="s">
        <v>850</v>
      </c>
      <c r="D226" s="202" t="s">
        <v>149</v>
      </c>
      <c r="E226" s="248">
        <v>24</v>
      </c>
      <c r="F226" s="275">
        <v>0</v>
      </c>
      <c r="G226" s="276">
        <f t="shared" ref="G226:G228" si="19">E226*F226</f>
        <v>0</v>
      </c>
      <c r="I226" s="1422"/>
    </row>
    <row r="227" spans="2:9" ht="12.75" customHeight="1" x14ac:dyDescent="0.3">
      <c r="B227" s="135"/>
      <c r="C227" s="1814" t="s">
        <v>247</v>
      </c>
      <c r="D227" s="202" t="s">
        <v>149</v>
      </c>
      <c r="E227" s="248">
        <v>24</v>
      </c>
      <c r="F227" s="275">
        <v>0</v>
      </c>
      <c r="G227" s="276">
        <f t="shared" si="19"/>
        <v>0</v>
      </c>
      <c r="I227" s="1422"/>
    </row>
    <row r="228" spans="2:9" ht="12.75" customHeight="1" x14ac:dyDescent="0.3">
      <c r="B228" s="135"/>
      <c r="C228" s="1815" t="s">
        <v>198</v>
      </c>
      <c r="D228" s="202" t="s">
        <v>149</v>
      </c>
      <c r="E228" s="248">
        <v>24</v>
      </c>
      <c r="F228" s="275">
        <v>0</v>
      </c>
      <c r="G228" s="276">
        <f t="shared" si="19"/>
        <v>0</v>
      </c>
      <c r="I228" s="1422"/>
    </row>
    <row r="229" spans="2:9" ht="12.75" customHeight="1" x14ac:dyDescent="0.3">
      <c r="B229" s="135"/>
      <c r="C229" s="247" t="s">
        <v>826</v>
      </c>
      <c r="D229" s="202"/>
      <c r="E229" s="248"/>
      <c r="F229" s="249">
        <v>0</v>
      </c>
      <c r="G229" s="205"/>
      <c r="I229" s="1422"/>
    </row>
    <row r="230" spans="2:9" ht="36" x14ac:dyDescent="0.3">
      <c r="B230" s="135"/>
      <c r="C230" s="262" t="s">
        <v>827</v>
      </c>
      <c r="D230" s="202" t="s">
        <v>149</v>
      </c>
      <c r="E230" s="248">
        <v>2</v>
      </c>
      <c r="F230" s="275">
        <v>0</v>
      </c>
      <c r="G230" s="276">
        <f t="shared" ref="G230:G232" si="20">E230*F230</f>
        <v>0</v>
      </c>
      <c r="I230" s="1422"/>
    </row>
    <row r="231" spans="2:9" ht="12.75" customHeight="1" x14ac:dyDescent="0.3">
      <c r="B231" s="135"/>
      <c r="C231" s="1814" t="s">
        <v>247</v>
      </c>
      <c r="D231" s="202" t="s">
        <v>149</v>
      </c>
      <c r="E231" s="248">
        <v>2</v>
      </c>
      <c r="F231" s="275">
        <v>0</v>
      </c>
      <c r="G231" s="276">
        <f t="shared" si="20"/>
        <v>0</v>
      </c>
      <c r="I231" s="1422"/>
    </row>
    <row r="232" spans="2:9" ht="12.75" customHeight="1" x14ac:dyDescent="0.3">
      <c r="B232" s="135"/>
      <c r="C232" s="1821" t="s">
        <v>248</v>
      </c>
      <c r="D232" s="202" t="s">
        <v>149</v>
      </c>
      <c r="E232" s="248">
        <v>2</v>
      </c>
      <c r="F232" s="275">
        <v>0</v>
      </c>
      <c r="G232" s="276">
        <f t="shared" si="20"/>
        <v>0</v>
      </c>
      <c r="I232" s="1422"/>
    </row>
    <row r="233" spans="2:9" ht="12.75" customHeight="1" x14ac:dyDescent="0.3">
      <c r="B233" s="135"/>
      <c r="C233" s="247" t="s">
        <v>828</v>
      </c>
      <c r="D233" s="202"/>
      <c r="E233" s="248"/>
      <c r="F233" s="249">
        <v>0</v>
      </c>
      <c r="G233" s="205"/>
      <c r="I233" s="1422"/>
    </row>
    <row r="234" spans="2:9" ht="36" x14ac:dyDescent="0.3">
      <c r="B234" s="135"/>
      <c r="C234" s="262" t="s">
        <v>829</v>
      </c>
      <c r="D234" s="202" t="s">
        <v>149</v>
      </c>
      <c r="E234" s="248">
        <v>12</v>
      </c>
      <c r="F234" s="275">
        <v>0</v>
      </c>
      <c r="G234" s="276">
        <f t="shared" ref="G234:G238" si="21">E234*F234</f>
        <v>0</v>
      </c>
      <c r="I234" s="1422"/>
    </row>
    <row r="235" spans="2:9" ht="12.75" customHeight="1" x14ac:dyDescent="0.3">
      <c r="B235" s="135"/>
      <c r="C235" s="1814" t="s">
        <v>247</v>
      </c>
      <c r="D235" s="202" t="s">
        <v>149</v>
      </c>
      <c r="E235" s="248">
        <v>12</v>
      </c>
      <c r="F235" s="275">
        <v>0</v>
      </c>
      <c r="G235" s="276">
        <f t="shared" si="21"/>
        <v>0</v>
      </c>
      <c r="I235" s="1422"/>
    </row>
    <row r="236" spans="2:9" ht="12.75" customHeight="1" x14ac:dyDescent="0.3">
      <c r="B236" s="135"/>
      <c r="C236" s="1815" t="s">
        <v>198</v>
      </c>
      <c r="D236" s="202" t="s">
        <v>149</v>
      </c>
      <c r="E236" s="248">
        <v>12</v>
      </c>
      <c r="F236" s="275">
        <v>0</v>
      </c>
      <c r="G236" s="276">
        <f t="shared" si="21"/>
        <v>0</v>
      </c>
      <c r="I236" s="1422"/>
    </row>
    <row r="237" spans="2:9" ht="12.75" customHeight="1" x14ac:dyDescent="0.3">
      <c r="B237" s="655"/>
      <c r="C237" s="1831" t="s">
        <v>1726</v>
      </c>
      <c r="D237" s="1375" t="s">
        <v>149</v>
      </c>
      <c r="E237" s="1376">
        <v>4</v>
      </c>
      <c r="F237" s="275">
        <v>0</v>
      </c>
      <c r="G237" s="1378">
        <f t="shared" si="21"/>
        <v>0</v>
      </c>
      <c r="I237" s="1422"/>
    </row>
    <row r="238" spans="2:9" ht="12.75" customHeight="1" x14ac:dyDescent="0.3">
      <c r="B238" s="655"/>
      <c r="C238" s="1831" t="s">
        <v>1727</v>
      </c>
      <c r="D238" s="1375" t="s">
        <v>149</v>
      </c>
      <c r="E238" s="1376">
        <v>15</v>
      </c>
      <c r="F238" s="275">
        <v>0</v>
      </c>
      <c r="G238" s="1378">
        <f t="shared" si="21"/>
        <v>0</v>
      </c>
      <c r="I238" s="1422"/>
    </row>
    <row r="239" spans="2:9" s="136" customFormat="1" x14ac:dyDescent="0.2">
      <c r="B239" s="292" t="s">
        <v>230</v>
      </c>
      <c r="C239" s="280" t="s">
        <v>300</v>
      </c>
      <c r="D239" s="281"/>
      <c r="E239" s="282"/>
      <c r="F239" s="283"/>
      <c r="G239" s="284"/>
      <c r="H239" s="565"/>
    </row>
    <row r="240" spans="2:9" s="136" customFormat="1" ht="72" x14ac:dyDescent="0.2">
      <c r="B240" s="135"/>
      <c r="C240" s="285" t="s">
        <v>301</v>
      </c>
      <c r="D240" s="286" t="s">
        <v>149</v>
      </c>
      <c r="E240" s="287">
        <v>84</v>
      </c>
      <c r="F240" s="288">
        <v>0</v>
      </c>
      <c r="G240" s="289">
        <f t="shared" ref="G240" si="22">E240*F240</f>
        <v>0</v>
      </c>
      <c r="H240" s="565"/>
    </row>
    <row r="241" spans="2:9" s="136" customFormat="1" ht="25.5" customHeight="1" x14ac:dyDescent="0.3">
      <c r="B241" s="293" t="s">
        <v>17</v>
      </c>
      <c r="C241" s="294" t="s">
        <v>302</v>
      </c>
      <c r="D241" s="218"/>
      <c r="E241" s="203"/>
      <c r="F241" s="204"/>
      <c r="G241" s="290">
        <f>SUM(G94:G240)</f>
        <v>0</v>
      </c>
      <c r="H241" s="565"/>
      <c r="I241" s="1422"/>
    </row>
    <row r="242" spans="2:9" ht="12.75" customHeight="1" x14ac:dyDescent="0.3">
      <c r="I242" s="1422"/>
    </row>
    <row r="243" spans="2:9" ht="12.75" customHeight="1" x14ac:dyDescent="0.3">
      <c r="I243" s="1422"/>
    </row>
    <row r="244" spans="2:9" ht="12.75" customHeight="1" x14ac:dyDescent="0.3">
      <c r="I244" s="1422"/>
    </row>
    <row r="245" spans="2:9" ht="12.75" customHeight="1" x14ac:dyDescent="0.3">
      <c r="I245" s="1422"/>
    </row>
    <row r="246" spans="2:9" ht="12.75" customHeight="1" x14ac:dyDescent="0.3">
      <c r="I246" s="1422"/>
    </row>
  </sheetData>
  <mergeCells count="8">
    <mergeCell ref="B93:G93"/>
    <mergeCell ref="B105:B107"/>
    <mergeCell ref="C6:G6"/>
    <mergeCell ref="B42:G42"/>
    <mergeCell ref="B53:B55"/>
    <mergeCell ref="B68:B70"/>
    <mergeCell ref="B91:G91"/>
    <mergeCell ref="B92:G92"/>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8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CE5F-BF07-42C9-A42B-B653E70A4F95}">
  <sheetPr>
    <tabColor theme="0" tint="-0.14999847407452621"/>
  </sheetPr>
  <dimension ref="A2:L190"/>
  <sheetViews>
    <sheetView showZeros="0" topLeftCell="A59"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1809</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G78</f>
        <v>0</v>
      </c>
      <c r="H16" s="569"/>
    </row>
    <row r="17" spans="2:8" s="1792" customFormat="1" ht="18.75" customHeight="1" x14ac:dyDescent="0.25">
      <c r="B17" s="1793" t="s">
        <v>17</v>
      </c>
      <c r="C17" s="1794" t="s">
        <v>87</v>
      </c>
      <c r="D17" s="1795"/>
      <c r="E17" s="1796"/>
      <c r="F17" s="1797"/>
      <c r="G17" s="474">
        <f>G189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1954</v>
      </c>
      <c r="F24" s="467">
        <v>0</v>
      </c>
      <c r="G24" s="352">
        <f t="shared" ref="G24" si="0">E24*F24</f>
        <v>0</v>
      </c>
    </row>
    <row r="25" spans="2:8" x14ac:dyDescent="0.2">
      <c r="B25" s="129">
        <v>2</v>
      </c>
      <c r="C25" s="206" t="s">
        <v>96</v>
      </c>
      <c r="D25" s="207" t="s">
        <v>95</v>
      </c>
      <c r="E25" s="353">
        <f>E24</f>
        <v>1954</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6</v>
      </c>
      <c r="F30" s="467">
        <v>0</v>
      </c>
      <c r="G30" s="352">
        <f t="shared" si="1"/>
        <v>0</v>
      </c>
    </row>
    <row r="31" spans="2:8" ht="54" customHeight="1" x14ac:dyDescent="0.2">
      <c r="B31" s="129">
        <v>8</v>
      </c>
      <c r="C31" s="1822" t="s">
        <v>103</v>
      </c>
      <c r="D31" s="210" t="s">
        <v>98</v>
      </c>
      <c r="E31" s="353">
        <v>4</v>
      </c>
      <c r="F31" s="467">
        <v>0</v>
      </c>
      <c r="G31" s="352">
        <f t="shared" si="1"/>
        <v>0</v>
      </c>
    </row>
    <row r="32" spans="2:8" ht="36" x14ac:dyDescent="0.2">
      <c r="B32" s="129">
        <v>9</v>
      </c>
      <c r="C32" s="3165" t="s">
        <v>2590</v>
      </c>
      <c r="D32" s="210" t="s">
        <v>95</v>
      </c>
      <c r="E32" s="353">
        <v>2087</v>
      </c>
      <c r="F32" s="467">
        <v>0</v>
      </c>
      <c r="G32" s="352">
        <f t="shared" si="1"/>
        <v>0</v>
      </c>
      <c r="H32" s="571"/>
    </row>
    <row r="33" spans="2:12" ht="27.75" customHeight="1" x14ac:dyDescent="0.2">
      <c r="B33" s="129">
        <v>10</v>
      </c>
      <c r="C33" s="3165" t="s">
        <v>2591</v>
      </c>
      <c r="D33" s="210" t="s">
        <v>95</v>
      </c>
      <c r="E33" s="353">
        <v>2087</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2</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7.75" customHeight="1" x14ac:dyDescent="0.2">
      <c r="B43" s="131">
        <v>1</v>
      </c>
      <c r="C43" s="206" t="s">
        <v>111</v>
      </c>
      <c r="D43" s="207" t="s">
        <v>112</v>
      </c>
      <c r="E43" s="353">
        <f>(2087*1*1.4*0.07)</f>
        <v>204.52600000000001</v>
      </c>
      <c r="F43" s="467">
        <v>0</v>
      </c>
      <c r="G43" s="352">
        <f t="shared" ref="G43:G73" si="2">E43*F43</f>
        <v>0</v>
      </c>
      <c r="I43" s="132"/>
    </row>
    <row r="44" spans="2:12" ht="39" customHeight="1" x14ac:dyDescent="0.2">
      <c r="B44" s="131">
        <v>2</v>
      </c>
      <c r="C44" s="1362" t="s">
        <v>113</v>
      </c>
      <c r="D44" s="1363" t="s">
        <v>95</v>
      </c>
      <c r="E44" s="1359">
        <v>1191.8499999999999</v>
      </c>
      <c r="F44" s="467">
        <v>0</v>
      </c>
      <c r="G44" s="1361">
        <f t="shared" si="2"/>
        <v>0</v>
      </c>
      <c r="I44" s="132"/>
    </row>
    <row r="45" spans="2:12" ht="36" x14ac:dyDescent="0.2">
      <c r="B45" s="131">
        <v>3</v>
      </c>
      <c r="C45" s="206" t="s">
        <v>114</v>
      </c>
      <c r="D45" s="209" t="s">
        <v>112</v>
      </c>
      <c r="E45" s="353">
        <f>((2087*1*1.4)-E43)*0.1</f>
        <v>271.72739999999999</v>
      </c>
      <c r="F45" s="467">
        <v>0</v>
      </c>
      <c r="G45" s="352">
        <f t="shared" si="2"/>
        <v>0</v>
      </c>
      <c r="I45" s="133"/>
      <c r="K45" s="134"/>
      <c r="L45" s="134"/>
    </row>
    <row r="46" spans="2:12" ht="39.75" customHeight="1" x14ac:dyDescent="0.2">
      <c r="B46" s="131">
        <v>4</v>
      </c>
      <c r="C46" s="206" t="s">
        <v>115</v>
      </c>
      <c r="D46" s="209" t="s">
        <v>112</v>
      </c>
      <c r="E46" s="353">
        <f>((2087*1*1.4)-E43)*0.9</f>
        <v>2445.5466000000001</v>
      </c>
      <c r="F46" s="467">
        <v>0</v>
      </c>
      <c r="G46" s="352">
        <f t="shared" si="2"/>
        <v>0</v>
      </c>
      <c r="I46" s="133"/>
      <c r="J46" s="134"/>
    </row>
    <row r="47" spans="2:12" ht="29.25" customHeight="1" x14ac:dyDescent="0.2">
      <c r="B47" s="131">
        <v>5</v>
      </c>
      <c r="C47" s="311" t="s">
        <v>116</v>
      </c>
      <c r="D47" s="219" t="s">
        <v>117</v>
      </c>
      <c r="E47" s="471">
        <f>2087*1.4</f>
        <v>2921.7999999999997</v>
      </c>
      <c r="F47" s="467">
        <v>0</v>
      </c>
      <c r="G47" s="352">
        <f t="shared" si="2"/>
        <v>0</v>
      </c>
      <c r="I47" s="1364"/>
    </row>
    <row r="48" spans="2:12" ht="29.25" customHeight="1" x14ac:dyDescent="0.2">
      <c r="B48" s="131">
        <v>6</v>
      </c>
      <c r="C48" s="206" t="s">
        <v>118</v>
      </c>
      <c r="D48" s="209" t="s">
        <v>117</v>
      </c>
      <c r="E48" s="353">
        <f>2087*1</f>
        <v>2087</v>
      </c>
      <c r="F48" s="467">
        <v>0</v>
      </c>
      <c r="G48" s="352">
        <f t="shared" si="2"/>
        <v>0</v>
      </c>
      <c r="I48" s="1364"/>
    </row>
    <row r="49" spans="2:12" ht="27" customHeight="1" x14ac:dyDescent="0.2">
      <c r="B49" s="131">
        <v>7</v>
      </c>
      <c r="C49" s="206" t="s">
        <v>304</v>
      </c>
      <c r="D49" s="209" t="s">
        <v>112</v>
      </c>
      <c r="E49" s="353">
        <f>2087*1*0.3</f>
        <v>626.1</v>
      </c>
      <c r="F49" s="467">
        <v>0</v>
      </c>
      <c r="G49" s="352">
        <f t="shared" si="2"/>
        <v>0</v>
      </c>
      <c r="I49" s="133"/>
      <c r="J49" s="1365"/>
    </row>
    <row r="50" spans="2:12" ht="24" x14ac:dyDescent="0.2">
      <c r="B50" s="131">
        <v>8</v>
      </c>
      <c r="C50" s="206" t="s">
        <v>119</v>
      </c>
      <c r="D50" s="209" t="s">
        <v>112</v>
      </c>
      <c r="E50" s="353">
        <f>(2087*1*1.4)*0.157</f>
        <v>458.72259999999994</v>
      </c>
      <c r="F50" s="467">
        <v>0</v>
      </c>
      <c r="G50" s="352">
        <f t="shared" si="2"/>
        <v>0</v>
      </c>
      <c r="I50" s="134"/>
      <c r="K50" s="1365"/>
    </row>
    <row r="51" spans="2:12" ht="40.5" customHeight="1" x14ac:dyDescent="0.2">
      <c r="B51" s="131">
        <v>9</v>
      </c>
      <c r="C51" s="208" t="s">
        <v>120</v>
      </c>
      <c r="D51" s="209" t="s">
        <v>112</v>
      </c>
      <c r="E51" s="353">
        <f>((2087*0.8)*1*0.7)</f>
        <v>1168.72</v>
      </c>
      <c r="F51" s="467">
        <v>0</v>
      </c>
      <c r="G51" s="352">
        <f t="shared" si="2"/>
        <v>0</v>
      </c>
      <c r="I51" s="1365"/>
      <c r="J51" s="1365"/>
      <c r="K51" s="1365"/>
    </row>
    <row r="52" spans="2:12" s="130" customFormat="1" ht="39" customHeight="1" x14ac:dyDescent="0.2">
      <c r="B52" s="131">
        <v>10</v>
      </c>
      <c r="C52" s="314" t="s">
        <v>121</v>
      </c>
      <c r="D52" s="210" t="s">
        <v>112</v>
      </c>
      <c r="E52" s="353">
        <f>((2087*0.8)*1*0.4)</f>
        <v>667.84000000000015</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c r="L53" s="490"/>
    </row>
    <row r="54" spans="2:12" s="147" customFormat="1" ht="15" customHeight="1" x14ac:dyDescent="0.25">
      <c r="B54" s="3188"/>
      <c r="C54" s="308" t="s">
        <v>124</v>
      </c>
      <c r="D54" s="207" t="s">
        <v>95</v>
      </c>
      <c r="E54" s="353">
        <v>55</v>
      </c>
      <c r="F54" s="467">
        <v>0</v>
      </c>
      <c r="G54" s="352">
        <f t="shared" si="2"/>
        <v>0</v>
      </c>
      <c r="H54" s="572"/>
      <c r="I54" s="490"/>
      <c r="J54" s="490"/>
    </row>
    <row r="55" spans="2:12" s="147" customFormat="1" ht="15" customHeight="1" x14ac:dyDescent="0.25">
      <c r="B55" s="3189"/>
      <c r="C55" s="308" t="s">
        <v>305</v>
      </c>
      <c r="D55" s="207" t="s">
        <v>95</v>
      </c>
      <c r="E55" s="353">
        <v>25</v>
      </c>
      <c r="F55" s="467">
        <v>0</v>
      </c>
      <c r="G55" s="352">
        <f t="shared" si="2"/>
        <v>0</v>
      </c>
      <c r="H55" s="572"/>
    </row>
    <row r="56" spans="2:12" ht="25.5" customHeight="1" x14ac:dyDescent="0.2">
      <c r="B56" s="131">
        <v>12</v>
      </c>
      <c r="C56" s="206" t="s">
        <v>125</v>
      </c>
      <c r="D56" s="209" t="s">
        <v>95</v>
      </c>
      <c r="E56" s="353">
        <v>637</v>
      </c>
      <c r="F56" s="467">
        <v>0</v>
      </c>
      <c r="G56" s="352">
        <f t="shared" si="2"/>
        <v>0</v>
      </c>
      <c r="H56" s="571"/>
      <c r="I56" s="1365"/>
    </row>
    <row r="57" spans="2:12" ht="16.5" customHeight="1" x14ac:dyDescent="0.2">
      <c r="B57" s="131">
        <v>13</v>
      </c>
      <c r="C57" s="206" t="s">
        <v>126</v>
      </c>
      <c r="D57" s="207" t="s">
        <v>117</v>
      </c>
      <c r="E57" s="353">
        <f>E56*1.2</f>
        <v>764.4</v>
      </c>
      <c r="F57" s="467">
        <v>0</v>
      </c>
      <c r="G57" s="352">
        <f t="shared" si="2"/>
        <v>0</v>
      </c>
      <c r="H57" s="571"/>
    </row>
    <row r="58" spans="2:12" ht="41.25" customHeight="1" x14ac:dyDescent="0.2">
      <c r="B58" s="131">
        <v>14</v>
      </c>
      <c r="C58" s="206" t="s">
        <v>127</v>
      </c>
      <c r="D58" s="207" t="s">
        <v>117</v>
      </c>
      <c r="E58" s="353">
        <f>E57</f>
        <v>764.4</v>
      </c>
      <c r="F58" s="467">
        <v>0</v>
      </c>
      <c r="G58" s="352">
        <f t="shared" si="2"/>
        <v>0</v>
      </c>
      <c r="H58" s="571"/>
      <c r="I58" s="1365"/>
    </row>
    <row r="59" spans="2:12" ht="65.25" customHeight="1" x14ac:dyDescent="0.2">
      <c r="B59" s="131">
        <v>15</v>
      </c>
      <c r="C59" s="314" t="s">
        <v>706</v>
      </c>
      <c r="D59" s="209" t="s">
        <v>117</v>
      </c>
      <c r="E59" s="353">
        <v>238.3</v>
      </c>
      <c r="F59" s="467">
        <v>0</v>
      </c>
      <c r="G59" s="352">
        <f t="shared" si="2"/>
        <v>0</v>
      </c>
      <c r="H59" s="571"/>
      <c r="I59" s="1365"/>
      <c r="J59" s="1365"/>
    </row>
    <row r="60" spans="2:12" ht="51.75" customHeight="1" x14ac:dyDescent="0.2">
      <c r="B60" s="312" t="s">
        <v>576</v>
      </c>
      <c r="C60" s="208" t="s">
        <v>129</v>
      </c>
      <c r="D60" s="209" t="s">
        <v>117</v>
      </c>
      <c r="E60" s="353">
        <v>403.7</v>
      </c>
      <c r="F60" s="467">
        <v>0</v>
      </c>
      <c r="G60" s="352">
        <f t="shared" si="2"/>
        <v>0</v>
      </c>
      <c r="H60" s="571"/>
    </row>
    <row r="61" spans="2:12" ht="64.5" customHeight="1" x14ac:dyDescent="0.2">
      <c r="B61" s="312" t="s">
        <v>578</v>
      </c>
      <c r="C61" s="208" t="s">
        <v>708</v>
      </c>
      <c r="D61" s="209" t="s">
        <v>117</v>
      </c>
      <c r="E61" s="353">
        <v>403.7</v>
      </c>
      <c r="F61" s="467">
        <v>0</v>
      </c>
      <c r="G61" s="352">
        <f t="shared" si="2"/>
        <v>0</v>
      </c>
      <c r="H61" s="571"/>
      <c r="I61" s="1365"/>
    </row>
    <row r="62" spans="2:12" ht="76.5" customHeight="1" x14ac:dyDescent="0.2">
      <c r="B62" s="312" t="s">
        <v>580</v>
      </c>
      <c r="C62" s="208" t="s">
        <v>711</v>
      </c>
      <c r="D62" s="209" t="s">
        <v>117</v>
      </c>
      <c r="E62" s="353">
        <v>122.4</v>
      </c>
      <c r="F62" s="467">
        <v>0</v>
      </c>
      <c r="G62" s="352">
        <f>E62*F62</f>
        <v>0</v>
      </c>
      <c r="H62" s="571"/>
    </row>
    <row r="63" spans="2:12" ht="38.25" customHeight="1" x14ac:dyDescent="0.2">
      <c r="B63" s="131">
        <v>19</v>
      </c>
      <c r="C63" s="206" t="s">
        <v>132</v>
      </c>
      <c r="D63" s="207" t="s">
        <v>117</v>
      </c>
      <c r="E63" s="353">
        <v>54</v>
      </c>
      <c r="F63" s="467">
        <v>0</v>
      </c>
      <c r="G63" s="352">
        <f t="shared" si="2"/>
        <v>0</v>
      </c>
    </row>
    <row r="64" spans="2:12" ht="14.25" customHeight="1" x14ac:dyDescent="0.2">
      <c r="B64" s="131">
        <v>20</v>
      </c>
      <c r="C64" s="206" t="s">
        <v>134</v>
      </c>
      <c r="D64" s="209" t="s">
        <v>112</v>
      </c>
      <c r="E64" s="353">
        <v>2388.6</v>
      </c>
      <c r="F64" s="467">
        <v>0</v>
      </c>
      <c r="G64" s="352">
        <f t="shared" si="2"/>
        <v>0</v>
      </c>
      <c r="I64" s="1365"/>
    </row>
    <row r="65" spans="2:9" ht="15.75" customHeight="1" x14ac:dyDescent="0.2">
      <c r="B65" s="131">
        <v>21</v>
      </c>
      <c r="C65" s="206" t="s">
        <v>135</v>
      </c>
      <c r="D65" s="209" t="s">
        <v>112</v>
      </c>
      <c r="E65" s="353">
        <f>E64</f>
        <v>2388.6</v>
      </c>
      <c r="F65" s="467">
        <v>0</v>
      </c>
      <c r="G65" s="352">
        <f t="shared" si="2"/>
        <v>0</v>
      </c>
    </row>
    <row r="66" spans="2:9" ht="27.75" customHeight="1" x14ac:dyDescent="0.2">
      <c r="B66" s="131">
        <v>22</v>
      </c>
      <c r="C66" s="206" t="s">
        <v>136</v>
      </c>
      <c r="D66" s="209" t="s">
        <v>117</v>
      </c>
      <c r="E66" s="353">
        <v>764.4</v>
      </c>
      <c r="F66" s="467">
        <v>0</v>
      </c>
      <c r="G66" s="352">
        <f t="shared" si="2"/>
        <v>0</v>
      </c>
    </row>
    <row r="67" spans="2:9" ht="30" customHeight="1" x14ac:dyDescent="0.2">
      <c r="B67" s="131">
        <v>23</v>
      </c>
      <c r="C67" s="206" t="s">
        <v>138</v>
      </c>
      <c r="D67" s="207" t="s">
        <v>117</v>
      </c>
      <c r="E67" s="353">
        <v>439.7</v>
      </c>
      <c r="F67" s="467">
        <v>0</v>
      </c>
      <c r="G67" s="352">
        <f t="shared" si="2"/>
        <v>0</v>
      </c>
    </row>
    <row r="68" spans="2:9" s="130" customFormat="1" ht="51.75" customHeight="1" x14ac:dyDescent="0.2">
      <c r="B68" s="3187">
        <v>24</v>
      </c>
      <c r="C68" s="408" t="s">
        <v>139</v>
      </c>
      <c r="D68" s="221"/>
      <c r="E68" s="353"/>
      <c r="F68" s="467"/>
      <c r="G68" s="352"/>
      <c r="H68" s="565"/>
    </row>
    <row r="69" spans="2:9" s="130" customFormat="1" x14ac:dyDescent="0.2">
      <c r="B69" s="3188"/>
      <c r="C69" s="291" t="s">
        <v>140</v>
      </c>
      <c r="D69" s="221" t="s">
        <v>95</v>
      </c>
      <c r="E69" s="353">
        <v>9</v>
      </c>
      <c r="F69" s="467">
        <v>0</v>
      </c>
      <c r="G69" s="352">
        <f t="shared" si="2"/>
        <v>0</v>
      </c>
      <c r="H69" s="565"/>
    </row>
    <row r="70" spans="2:9" s="130" customFormat="1" x14ac:dyDescent="0.2">
      <c r="B70" s="2722"/>
      <c r="C70" s="291" t="s">
        <v>713</v>
      </c>
      <c r="D70" s="221" t="s">
        <v>95</v>
      </c>
      <c r="E70" s="353">
        <v>42</v>
      </c>
      <c r="F70" s="467">
        <v>0</v>
      </c>
      <c r="G70" s="352">
        <f t="shared" si="2"/>
        <v>0</v>
      </c>
      <c r="H70" s="565"/>
    </row>
    <row r="71" spans="2:9" ht="39.75" customHeight="1" x14ac:dyDescent="0.2">
      <c r="B71" s="131">
        <v>25</v>
      </c>
      <c r="C71" s="409" t="s">
        <v>142</v>
      </c>
      <c r="D71" s="207" t="s">
        <v>117</v>
      </c>
      <c r="E71" s="353">
        <v>23</v>
      </c>
      <c r="F71" s="467">
        <v>0</v>
      </c>
      <c r="G71" s="352">
        <f t="shared" si="2"/>
        <v>0</v>
      </c>
      <c r="I71" s="1372"/>
    </row>
    <row r="72" spans="2:9" ht="25.5" customHeight="1" x14ac:dyDescent="0.2">
      <c r="B72" s="131">
        <v>26</v>
      </c>
      <c r="C72" s="409" t="s">
        <v>143</v>
      </c>
      <c r="D72" s="207" t="s">
        <v>95</v>
      </c>
      <c r="E72" s="353">
        <v>78</v>
      </c>
      <c r="F72" s="467">
        <v>0</v>
      </c>
      <c r="G72" s="352">
        <f t="shared" si="2"/>
        <v>0</v>
      </c>
      <c r="H72" s="571"/>
    </row>
    <row r="73" spans="2:9" ht="25.5" customHeight="1" x14ac:dyDescent="0.2">
      <c r="B73" s="312" t="s">
        <v>598</v>
      </c>
      <c r="C73" s="409" t="s">
        <v>718</v>
      </c>
      <c r="D73" s="207" t="s">
        <v>95</v>
      </c>
      <c r="E73" s="353">
        <v>34</v>
      </c>
      <c r="F73" s="467">
        <v>0</v>
      </c>
      <c r="G73" s="352">
        <f t="shared" si="2"/>
        <v>0</v>
      </c>
      <c r="H73" s="571"/>
    </row>
    <row r="74" spans="2:9" ht="29.25" customHeight="1" x14ac:dyDescent="0.2">
      <c r="B74" s="411">
        <v>28</v>
      </c>
      <c r="C74" s="410" t="s">
        <v>151</v>
      </c>
      <c r="D74" s="222" t="s">
        <v>112</v>
      </c>
      <c r="E74" s="472">
        <v>6.5</v>
      </c>
      <c r="F74" s="467">
        <v>0</v>
      </c>
      <c r="G74" s="352">
        <f>E74*F74</f>
        <v>0</v>
      </c>
    </row>
    <row r="75" spans="2:9" ht="36.75" customHeight="1" x14ac:dyDescent="0.2">
      <c r="B75" s="131">
        <v>29</v>
      </c>
      <c r="C75" s="1366" t="s">
        <v>152</v>
      </c>
      <c r="D75" s="1367" t="s">
        <v>149</v>
      </c>
      <c r="E75" s="1359">
        <v>21</v>
      </c>
      <c r="F75" s="467">
        <v>0</v>
      </c>
      <c r="G75" s="1361">
        <f>E75*F75</f>
        <v>0</v>
      </c>
    </row>
    <row r="76" spans="2:9" ht="30" customHeight="1" x14ac:dyDescent="0.2">
      <c r="B76" s="411">
        <v>30</v>
      </c>
      <c r="C76" s="223" t="s">
        <v>153</v>
      </c>
      <c r="D76" s="222" t="s">
        <v>112</v>
      </c>
      <c r="E76" s="472">
        <v>6</v>
      </c>
      <c r="F76" s="467">
        <v>0</v>
      </c>
      <c r="G76" s="352">
        <f>E76*F76</f>
        <v>0</v>
      </c>
    </row>
    <row r="77" spans="2:9" ht="28.5" customHeight="1" x14ac:dyDescent="0.2">
      <c r="B77" s="131">
        <v>31</v>
      </c>
      <c r="C77" s="223" t="s">
        <v>155</v>
      </c>
      <c r="D77" s="222" t="s">
        <v>156</v>
      </c>
      <c r="E77" s="472">
        <v>15</v>
      </c>
      <c r="F77" s="467">
        <v>0</v>
      </c>
      <c r="G77" s="352">
        <f>E77*F77</f>
        <v>0</v>
      </c>
    </row>
    <row r="78" spans="2:9" s="147" customFormat="1" ht="21.75" customHeight="1" x14ac:dyDescent="0.25">
      <c r="B78" s="327" t="s">
        <v>12</v>
      </c>
      <c r="C78" s="214" t="s">
        <v>157</v>
      </c>
      <c r="D78" s="224"/>
      <c r="E78" s="215"/>
      <c r="F78" s="216"/>
      <c r="G78" s="290">
        <f>SUM(G43:G77)</f>
        <v>0</v>
      </c>
      <c r="H78" s="150"/>
    </row>
    <row r="79" spans="2:9" x14ac:dyDescent="0.2">
      <c r="B79" s="129"/>
      <c r="C79" s="197"/>
      <c r="D79" s="198"/>
      <c r="E79" s="353"/>
      <c r="F79" s="358"/>
      <c r="G79" s="350"/>
    </row>
    <row r="80" spans="2:9"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07" t="s">
        <v>163</v>
      </c>
      <c r="D91" s="226" t="s">
        <v>95</v>
      </c>
      <c r="E91" s="353">
        <v>347</v>
      </c>
      <c r="F91" s="467">
        <v>0</v>
      </c>
      <c r="G91" s="352">
        <f t="shared" ref="G91:G104" si="3">E91*F91</f>
        <v>0</v>
      </c>
      <c r="H91" s="150"/>
      <c r="I91" s="490"/>
    </row>
    <row r="92" spans="1:9" s="147" customFormat="1" ht="27" customHeight="1" x14ac:dyDescent="0.25">
      <c r="B92" s="148"/>
      <c r="C92" s="1807" t="s">
        <v>164</v>
      </c>
      <c r="D92" s="226" t="s">
        <v>95</v>
      </c>
      <c r="E92" s="353">
        <v>38</v>
      </c>
      <c r="F92" s="467">
        <v>0</v>
      </c>
      <c r="G92" s="352">
        <f t="shared" si="3"/>
        <v>0</v>
      </c>
      <c r="H92" s="150"/>
      <c r="I92" s="490"/>
    </row>
    <row r="93" spans="1:9" s="147" customFormat="1" ht="18.75" customHeight="1" x14ac:dyDescent="0.25">
      <c r="B93" s="148"/>
      <c r="C93" s="1807" t="s">
        <v>821</v>
      </c>
      <c r="D93" s="226" t="s">
        <v>95</v>
      </c>
      <c r="E93" s="353">
        <v>586</v>
      </c>
      <c r="F93" s="467">
        <v>0</v>
      </c>
      <c r="G93" s="352">
        <f t="shared" si="3"/>
        <v>0</v>
      </c>
      <c r="H93" s="150"/>
      <c r="I93" s="490"/>
    </row>
    <row r="94" spans="1:9" s="147" customFormat="1" ht="27" customHeight="1" x14ac:dyDescent="0.25">
      <c r="B94" s="148"/>
      <c r="C94" s="1807" t="s">
        <v>822</v>
      </c>
      <c r="D94" s="226" t="s">
        <v>95</v>
      </c>
      <c r="E94" s="353">
        <v>65</v>
      </c>
      <c r="F94" s="467">
        <v>0</v>
      </c>
      <c r="G94" s="352">
        <f t="shared" si="3"/>
        <v>0</v>
      </c>
      <c r="H94" s="150"/>
      <c r="I94" s="490"/>
    </row>
    <row r="95" spans="1:9" s="147" customFormat="1" ht="18.75" customHeight="1" x14ac:dyDescent="0.25">
      <c r="B95" s="148"/>
      <c r="C95" s="1807" t="s">
        <v>823</v>
      </c>
      <c r="D95" s="226" t="s">
        <v>95</v>
      </c>
      <c r="E95" s="353">
        <v>347</v>
      </c>
      <c r="F95" s="467">
        <v>0</v>
      </c>
      <c r="G95" s="352">
        <f t="shared" si="3"/>
        <v>0</v>
      </c>
      <c r="H95" s="150"/>
      <c r="I95" s="490"/>
    </row>
    <row r="96" spans="1:9" ht="27" customHeight="1" x14ac:dyDescent="0.2">
      <c r="B96" s="148"/>
      <c r="C96" s="1807" t="s">
        <v>824</v>
      </c>
      <c r="D96" s="226" t="s">
        <v>95</v>
      </c>
      <c r="E96" s="353">
        <v>39</v>
      </c>
      <c r="F96" s="467">
        <v>0</v>
      </c>
      <c r="G96" s="352">
        <f t="shared" si="3"/>
        <v>0</v>
      </c>
    </row>
    <row r="97" spans="2:9" s="147" customFormat="1" ht="18.75" customHeight="1" x14ac:dyDescent="0.25">
      <c r="B97" s="148"/>
      <c r="C97" s="1807" t="s">
        <v>1733</v>
      </c>
      <c r="D97" s="226" t="s">
        <v>95</v>
      </c>
      <c r="E97" s="353">
        <v>479</v>
      </c>
      <c r="F97" s="467">
        <v>0</v>
      </c>
      <c r="G97" s="352">
        <f t="shared" si="3"/>
        <v>0</v>
      </c>
      <c r="H97" s="150"/>
      <c r="I97" s="490"/>
    </row>
    <row r="98" spans="2:9" ht="27" customHeight="1" x14ac:dyDescent="0.2">
      <c r="B98" s="148"/>
      <c r="C98" s="1807" t="s">
        <v>1734</v>
      </c>
      <c r="D98" s="226" t="s">
        <v>95</v>
      </c>
      <c r="E98" s="353">
        <v>53</v>
      </c>
      <c r="F98" s="467">
        <v>0</v>
      </c>
      <c r="G98" s="352">
        <f t="shared" si="3"/>
        <v>0</v>
      </c>
    </row>
    <row r="99" spans="2:9" s="147" customFormat="1" ht="18.75" customHeight="1" x14ac:dyDescent="0.25">
      <c r="B99" s="148"/>
      <c r="C99" s="1807" t="s">
        <v>165</v>
      </c>
      <c r="D99" s="226" t="s">
        <v>95</v>
      </c>
      <c r="E99" s="353">
        <v>119</v>
      </c>
      <c r="F99" s="467">
        <v>0</v>
      </c>
      <c r="G99" s="352">
        <f t="shared" si="3"/>
        <v>0</v>
      </c>
      <c r="H99" s="150"/>
      <c r="I99" s="490"/>
    </row>
    <row r="100" spans="2:9" s="147" customFormat="1" ht="27" customHeight="1" x14ac:dyDescent="0.25">
      <c r="B100" s="148"/>
      <c r="C100" s="1807" t="s">
        <v>166</v>
      </c>
      <c r="D100" s="226" t="s">
        <v>95</v>
      </c>
      <c r="E100" s="353">
        <v>14</v>
      </c>
      <c r="F100" s="467">
        <v>0</v>
      </c>
      <c r="G100" s="352">
        <f t="shared" si="3"/>
        <v>0</v>
      </c>
      <c r="H100" s="150"/>
      <c r="I100" s="490"/>
    </row>
    <row r="101" spans="2:9" ht="39" customHeight="1" x14ac:dyDescent="0.2">
      <c r="B101" s="3181" t="s">
        <v>167</v>
      </c>
      <c r="C101" s="310" t="s">
        <v>168</v>
      </c>
      <c r="D101" s="221"/>
      <c r="E101" s="353"/>
      <c r="F101" s="467"/>
      <c r="G101" s="352"/>
      <c r="I101" s="1365"/>
    </row>
    <row r="102" spans="2:9" ht="12.75" customHeight="1" x14ac:dyDescent="0.2">
      <c r="B102" s="3182"/>
      <c r="C102" s="291" t="s">
        <v>169</v>
      </c>
      <c r="D102" s="221" t="s">
        <v>95</v>
      </c>
      <c r="E102" s="353">
        <v>25</v>
      </c>
      <c r="F102" s="467">
        <v>0</v>
      </c>
      <c r="G102" s="352">
        <f t="shared" ref="G102:G103" si="4">E102*F102</f>
        <v>0</v>
      </c>
    </row>
    <row r="103" spans="2:9" ht="12.75" customHeight="1" x14ac:dyDescent="0.2">
      <c r="B103" s="3182"/>
      <c r="C103" s="291" t="s">
        <v>170</v>
      </c>
      <c r="D103" s="221" t="s">
        <v>95</v>
      </c>
      <c r="E103" s="353">
        <v>25</v>
      </c>
      <c r="F103" s="467">
        <v>0</v>
      </c>
      <c r="G103" s="352">
        <f t="shared" si="4"/>
        <v>0</v>
      </c>
    </row>
    <row r="104" spans="2:9" ht="36" x14ac:dyDescent="0.2">
      <c r="B104" s="154">
        <v>2</v>
      </c>
      <c r="C104" s="227" t="s">
        <v>172</v>
      </c>
      <c r="D104" s="209" t="s">
        <v>95</v>
      </c>
      <c r="E104" s="348">
        <f>SUM(E91:E100)</f>
        <v>2087</v>
      </c>
      <c r="F104" s="467">
        <v>0</v>
      </c>
      <c r="G104" s="352">
        <f t="shared" si="3"/>
        <v>0</v>
      </c>
    </row>
    <row r="105" spans="2:9" s="147" customFormat="1" ht="36" x14ac:dyDescent="0.25">
      <c r="B105" s="309" t="s">
        <v>173</v>
      </c>
      <c r="C105" s="227" t="s">
        <v>174</v>
      </c>
      <c r="D105" s="209" t="s">
        <v>95</v>
      </c>
      <c r="E105" s="348">
        <f>SUM(E91:E100)</f>
        <v>2087</v>
      </c>
      <c r="F105" s="467">
        <v>0</v>
      </c>
      <c r="G105" s="352">
        <f>E105*F105</f>
        <v>0</v>
      </c>
      <c r="H105" s="150"/>
    </row>
    <row r="106" spans="2:9" s="147" customFormat="1" ht="24" x14ac:dyDescent="0.25">
      <c r="B106" s="309" t="s">
        <v>175</v>
      </c>
      <c r="C106" s="227" t="s">
        <v>176</v>
      </c>
      <c r="D106" s="209" t="s">
        <v>95</v>
      </c>
      <c r="E106" s="348">
        <f>SUM(E91:E100)</f>
        <v>2087</v>
      </c>
      <c r="F106" s="467">
        <v>0</v>
      </c>
      <c r="G106" s="352">
        <f>E106*F106</f>
        <v>0</v>
      </c>
      <c r="H106" s="150"/>
    </row>
    <row r="107" spans="2:9" ht="36" x14ac:dyDescent="0.2">
      <c r="B107" s="309" t="s">
        <v>177</v>
      </c>
      <c r="C107" s="227" t="s">
        <v>178</v>
      </c>
      <c r="D107" s="209" t="s">
        <v>95</v>
      </c>
      <c r="E107" s="348">
        <f>SUM(E91:E100)</f>
        <v>2087</v>
      </c>
      <c r="F107" s="467">
        <v>0</v>
      </c>
      <c r="G107" s="352">
        <f>E107*F107</f>
        <v>0</v>
      </c>
    </row>
    <row r="108" spans="2:9" s="147" customFormat="1" ht="24" x14ac:dyDescent="0.25">
      <c r="B108" s="153">
        <v>3</v>
      </c>
      <c r="C108" s="264" t="s">
        <v>179</v>
      </c>
      <c r="D108" s="231"/>
      <c r="E108" s="232"/>
      <c r="F108" s="233">
        <v>0</v>
      </c>
      <c r="G108" s="234"/>
      <c r="H108" s="150"/>
    </row>
    <row r="109" spans="2:9" s="147" customFormat="1" x14ac:dyDescent="0.25">
      <c r="B109" s="292" t="s">
        <v>180</v>
      </c>
      <c r="C109" s="1808" t="s">
        <v>181</v>
      </c>
      <c r="D109" s="231"/>
      <c r="E109" s="232"/>
      <c r="F109" s="233"/>
      <c r="G109" s="234"/>
      <c r="H109" s="150"/>
    </row>
    <row r="110" spans="2:9" s="136" customFormat="1" x14ac:dyDescent="0.2">
      <c r="B110" s="129"/>
      <c r="C110" s="1808" t="s">
        <v>182</v>
      </c>
      <c r="D110" s="231"/>
      <c r="E110" s="232"/>
      <c r="F110" s="233"/>
      <c r="G110" s="234"/>
      <c r="H110" s="565"/>
    </row>
    <row r="111" spans="2:9" s="136" customFormat="1" x14ac:dyDescent="0.2">
      <c r="B111" s="152"/>
      <c r="C111" s="1810" t="s">
        <v>183</v>
      </c>
      <c r="D111" s="236" t="s">
        <v>149</v>
      </c>
      <c r="E111" s="232">
        <v>8</v>
      </c>
      <c r="F111" s="271">
        <v>0</v>
      </c>
      <c r="G111" s="272">
        <f t="shared" ref="G111:G112" si="5">E111*F111</f>
        <v>0</v>
      </c>
      <c r="H111" s="565"/>
    </row>
    <row r="112" spans="2:9" s="136" customFormat="1" x14ac:dyDescent="0.2">
      <c r="B112" s="152"/>
      <c r="C112" s="1810" t="s">
        <v>184</v>
      </c>
      <c r="D112" s="236" t="s">
        <v>149</v>
      </c>
      <c r="E112" s="232">
        <v>6</v>
      </c>
      <c r="F112" s="271">
        <v>0</v>
      </c>
      <c r="G112" s="272">
        <f t="shared" si="5"/>
        <v>0</v>
      </c>
      <c r="H112" s="565"/>
    </row>
    <row r="113" spans="2:8" s="136" customFormat="1" x14ac:dyDescent="0.2">
      <c r="B113" s="129"/>
      <c r="C113" s="1808" t="s">
        <v>185</v>
      </c>
      <c r="D113" s="231"/>
      <c r="E113" s="232"/>
      <c r="F113" s="233"/>
      <c r="G113" s="234"/>
      <c r="H113" s="565"/>
    </row>
    <row r="114" spans="2:8" s="136" customFormat="1" x14ac:dyDescent="0.2">
      <c r="B114" s="152"/>
      <c r="C114" s="1810" t="s">
        <v>186</v>
      </c>
      <c r="D114" s="236" t="s">
        <v>149</v>
      </c>
      <c r="E114" s="232">
        <v>24</v>
      </c>
      <c r="F114" s="271">
        <v>0</v>
      </c>
      <c r="G114" s="272">
        <f t="shared" ref="G114:G115" si="6">E114*F114</f>
        <v>0</v>
      </c>
      <c r="H114" s="565"/>
    </row>
    <row r="115" spans="2:8" s="136" customFormat="1" x14ac:dyDescent="0.2">
      <c r="B115" s="152"/>
      <c r="C115" s="1810" t="s">
        <v>187</v>
      </c>
      <c r="D115" s="236" t="s">
        <v>149</v>
      </c>
      <c r="E115" s="232">
        <v>8</v>
      </c>
      <c r="F115" s="271">
        <v>0</v>
      </c>
      <c r="G115" s="272">
        <f t="shared" si="6"/>
        <v>0</v>
      </c>
      <c r="H115" s="565"/>
    </row>
    <row r="116" spans="2:8" s="136" customFormat="1" x14ac:dyDescent="0.2">
      <c r="B116" s="292" t="s">
        <v>188</v>
      </c>
      <c r="C116" s="238" t="s">
        <v>189</v>
      </c>
      <c r="D116" s="239"/>
      <c r="E116" s="240"/>
      <c r="F116" s="241">
        <v>0</v>
      </c>
      <c r="G116" s="242"/>
      <c r="H116" s="565"/>
    </row>
    <row r="117" spans="2:8" s="136" customFormat="1" x14ac:dyDescent="0.2">
      <c r="B117" s="135"/>
      <c r="C117" s="238" t="s">
        <v>840</v>
      </c>
      <c r="D117" s="239"/>
      <c r="E117" s="240"/>
      <c r="F117" s="241">
        <v>0</v>
      </c>
      <c r="G117" s="242"/>
      <c r="H117" s="565"/>
    </row>
    <row r="118" spans="2:8" s="136" customFormat="1" x14ac:dyDescent="0.2">
      <c r="B118" s="135"/>
      <c r="C118" s="243" t="s">
        <v>841</v>
      </c>
      <c r="D118" s="239" t="s">
        <v>149</v>
      </c>
      <c r="E118" s="240">
        <v>1</v>
      </c>
      <c r="F118" s="273">
        <v>0</v>
      </c>
      <c r="G118" s="274">
        <f t="shared" ref="G118:G127" si="7">E118*F118</f>
        <v>0</v>
      </c>
      <c r="H118" s="565"/>
    </row>
    <row r="119" spans="2:8" s="136" customFormat="1" ht="36" x14ac:dyDescent="0.2">
      <c r="B119" s="135"/>
      <c r="C119" s="244" t="s">
        <v>285</v>
      </c>
      <c r="D119" s="239" t="s">
        <v>149</v>
      </c>
      <c r="E119" s="240">
        <v>1</v>
      </c>
      <c r="F119" s="273">
        <v>0</v>
      </c>
      <c r="G119" s="274">
        <f t="shared" si="7"/>
        <v>0</v>
      </c>
      <c r="H119" s="565"/>
    </row>
    <row r="120" spans="2:8" s="136" customFormat="1" x14ac:dyDescent="0.2">
      <c r="B120" s="135"/>
      <c r="C120" s="244" t="s">
        <v>193</v>
      </c>
      <c r="D120" s="239" t="s">
        <v>149</v>
      </c>
      <c r="E120" s="240">
        <v>1</v>
      </c>
      <c r="F120" s="273">
        <v>0</v>
      </c>
      <c r="G120" s="274">
        <f t="shared" si="7"/>
        <v>0</v>
      </c>
      <c r="H120" s="565"/>
    </row>
    <row r="121" spans="2:8" s="136" customFormat="1" x14ac:dyDescent="0.2">
      <c r="B121" s="135"/>
      <c r="C121" s="244" t="s">
        <v>194</v>
      </c>
      <c r="D121" s="239" t="s">
        <v>149</v>
      </c>
      <c r="E121" s="240">
        <v>1</v>
      </c>
      <c r="F121" s="273">
        <v>0</v>
      </c>
      <c r="G121" s="274">
        <f t="shared" si="7"/>
        <v>0</v>
      </c>
      <c r="H121" s="565"/>
    </row>
    <row r="122" spans="2:8" s="136" customFormat="1" x14ac:dyDescent="0.2">
      <c r="B122" s="135"/>
      <c r="C122" s="1828" t="s">
        <v>239</v>
      </c>
      <c r="D122" s="239" t="s">
        <v>149</v>
      </c>
      <c r="E122" s="240">
        <v>2</v>
      </c>
      <c r="F122" s="273">
        <v>0</v>
      </c>
      <c r="G122" s="274">
        <f t="shared" si="7"/>
        <v>0</v>
      </c>
      <c r="H122" s="565"/>
    </row>
    <row r="123" spans="2:8" s="136" customFormat="1" x14ac:dyDescent="0.2">
      <c r="B123" s="135"/>
      <c r="C123" s="1811" t="s">
        <v>240</v>
      </c>
      <c r="D123" s="239" t="s">
        <v>149</v>
      </c>
      <c r="E123" s="240">
        <v>2</v>
      </c>
      <c r="F123" s="273">
        <v>0</v>
      </c>
      <c r="G123" s="274">
        <f t="shared" si="7"/>
        <v>0</v>
      </c>
      <c r="H123" s="565"/>
    </row>
    <row r="124" spans="2:8" s="136" customFormat="1" x14ac:dyDescent="0.2">
      <c r="B124" s="135"/>
      <c r="C124" s="1811" t="s">
        <v>241</v>
      </c>
      <c r="D124" s="239" t="s">
        <v>149</v>
      </c>
      <c r="E124" s="240">
        <v>2</v>
      </c>
      <c r="F124" s="273">
        <v>0</v>
      </c>
      <c r="G124" s="274">
        <f t="shared" si="7"/>
        <v>0</v>
      </c>
      <c r="H124" s="565"/>
    </row>
    <row r="125" spans="2:8" s="136" customFormat="1" x14ac:dyDescent="0.2">
      <c r="B125" s="135"/>
      <c r="C125" s="1811" t="s">
        <v>242</v>
      </c>
      <c r="D125" s="239" t="s">
        <v>149</v>
      </c>
      <c r="E125" s="240">
        <v>2</v>
      </c>
      <c r="F125" s="273">
        <v>0</v>
      </c>
      <c r="G125" s="274">
        <f t="shared" si="7"/>
        <v>0</v>
      </c>
      <c r="H125" s="565"/>
    </row>
    <row r="126" spans="2:8" s="136" customFormat="1" x14ac:dyDescent="0.2">
      <c r="B126" s="135"/>
      <c r="C126" s="1811" t="s">
        <v>197</v>
      </c>
      <c r="D126" s="239" t="s">
        <v>149</v>
      </c>
      <c r="E126" s="240">
        <v>1</v>
      </c>
      <c r="F126" s="273">
        <v>0</v>
      </c>
      <c r="G126" s="274">
        <f t="shared" si="7"/>
        <v>0</v>
      </c>
      <c r="H126" s="565"/>
    </row>
    <row r="127" spans="2:8" s="136" customFormat="1" x14ac:dyDescent="0.2">
      <c r="B127" s="135"/>
      <c r="C127" s="1812" t="s">
        <v>198</v>
      </c>
      <c r="D127" s="239" t="s">
        <v>149</v>
      </c>
      <c r="E127" s="240">
        <v>1</v>
      </c>
      <c r="F127" s="273">
        <v>0</v>
      </c>
      <c r="G127" s="274">
        <f t="shared" si="7"/>
        <v>0</v>
      </c>
      <c r="H127" s="565"/>
    </row>
    <row r="128" spans="2:8" s="136" customFormat="1" x14ac:dyDescent="0.2">
      <c r="B128" s="292" t="s">
        <v>199</v>
      </c>
      <c r="C128" s="253" t="s">
        <v>205</v>
      </c>
      <c r="D128" s="254"/>
      <c r="E128" s="255"/>
      <c r="F128" s="256"/>
      <c r="G128" s="257"/>
      <c r="H128" s="565"/>
    </row>
    <row r="129" spans="2:8" s="136" customFormat="1" x14ac:dyDescent="0.2">
      <c r="B129" s="135"/>
      <c r="C129" s="253" t="s">
        <v>1794</v>
      </c>
      <c r="D129" s="254"/>
      <c r="E129" s="255"/>
      <c r="F129" s="256">
        <v>0</v>
      </c>
      <c r="G129" s="257"/>
      <c r="H129" s="565"/>
    </row>
    <row r="130" spans="2:8" s="136" customFormat="1" x14ac:dyDescent="0.2">
      <c r="B130" s="135"/>
      <c r="C130" s="258" t="s">
        <v>841</v>
      </c>
      <c r="D130" s="254" t="s">
        <v>149</v>
      </c>
      <c r="E130" s="255">
        <v>3</v>
      </c>
      <c r="F130" s="277">
        <v>0</v>
      </c>
      <c r="G130" s="278">
        <f t="shared" ref="G130:G146" si="8">E130*F130</f>
        <v>0</v>
      </c>
      <c r="H130" s="565"/>
    </row>
    <row r="131" spans="2:8" s="136" customFormat="1" x14ac:dyDescent="0.2">
      <c r="B131" s="135"/>
      <c r="C131" s="258" t="s">
        <v>213</v>
      </c>
      <c r="D131" s="254" t="s">
        <v>149</v>
      </c>
      <c r="E131" s="255">
        <v>6</v>
      </c>
      <c r="F131" s="277">
        <v>0</v>
      </c>
      <c r="G131" s="278">
        <f t="shared" si="8"/>
        <v>0</v>
      </c>
      <c r="H131" s="565"/>
    </row>
    <row r="132" spans="2:8" s="136" customFormat="1" x14ac:dyDescent="0.2">
      <c r="B132" s="135"/>
      <c r="C132" s="259" t="s">
        <v>843</v>
      </c>
      <c r="D132" s="254" t="s">
        <v>149</v>
      </c>
      <c r="E132" s="255">
        <v>3</v>
      </c>
      <c r="F132" s="277">
        <v>0</v>
      </c>
      <c r="G132" s="278">
        <f t="shared" si="8"/>
        <v>0</v>
      </c>
      <c r="H132" s="565"/>
    </row>
    <row r="133" spans="2:8" s="136" customFormat="1" x14ac:dyDescent="0.2">
      <c r="B133" s="135"/>
      <c r="C133" s="259" t="s">
        <v>210</v>
      </c>
      <c r="D133" s="254" t="s">
        <v>149</v>
      </c>
      <c r="E133" s="255">
        <v>3</v>
      </c>
      <c r="F133" s="277">
        <v>0</v>
      </c>
      <c r="G133" s="278">
        <f t="shared" si="8"/>
        <v>0</v>
      </c>
      <c r="H133" s="565"/>
    </row>
    <row r="134" spans="2:8" s="136" customFormat="1" x14ac:dyDescent="0.2">
      <c r="B134" s="135"/>
      <c r="C134" s="259" t="s">
        <v>211</v>
      </c>
      <c r="D134" s="254" t="s">
        <v>149</v>
      </c>
      <c r="E134" s="255">
        <v>3</v>
      </c>
      <c r="F134" s="277">
        <v>0</v>
      </c>
      <c r="G134" s="278">
        <f t="shared" si="8"/>
        <v>0</v>
      </c>
      <c r="H134" s="565"/>
    </row>
    <row r="135" spans="2:8" s="136" customFormat="1" x14ac:dyDescent="0.2">
      <c r="B135" s="135"/>
      <c r="C135" s="259" t="s">
        <v>212</v>
      </c>
      <c r="D135" s="254" t="s">
        <v>149</v>
      </c>
      <c r="E135" s="255">
        <v>3</v>
      </c>
      <c r="F135" s="277">
        <v>0</v>
      </c>
      <c r="G135" s="278">
        <f t="shared" si="8"/>
        <v>0</v>
      </c>
      <c r="H135" s="565"/>
    </row>
    <row r="136" spans="2:8" s="136" customFormat="1" x14ac:dyDescent="0.2">
      <c r="B136" s="135"/>
      <c r="C136" s="259" t="s">
        <v>213</v>
      </c>
      <c r="D136" s="254" t="s">
        <v>149</v>
      </c>
      <c r="E136" s="255">
        <v>3</v>
      </c>
      <c r="F136" s="277">
        <v>0</v>
      </c>
      <c r="G136" s="278">
        <f t="shared" si="8"/>
        <v>0</v>
      </c>
      <c r="H136" s="565"/>
    </row>
    <row r="137" spans="2:8" s="136" customFormat="1" x14ac:dyDescent="0.2">
      <c r="B137" s="135"/>
      <c r="C137" s="259" t="s">
        <v>214</v>
      </c>
      <c r="D137" s="254" t="s">
        <v>149</v>
      </c>
      <c r="E137" s="255">
        <v>3</v>
      </c>
      <c r="F137" s="277">
        <v>0</v>
      </c>
      <c r="G137" s="278">
        <f t="shared" si="8"/>
        <v>0</v>
      </c>
      <c r="H137" s="565"/>
    </row>
    <row r="138" spans="2:8" s="136" customFormat="1" x14ac:dyDescent="0.2">
      <c r="B138" s="135"/>
      <c r="C138" s="259" t="s">
        <v>215</v>
      </c>
      <c r="D138" s="254" t="s">
        <v>149</v>
      </c>
      <c r="E138" s="255">
        <v>3</v>
      </c>
      <c r="F138" s="277">
        <v>0</v>
      </c>
      <c r="G138" s="278">
        <f t="shared" si="8"/>
        <v>0</v>
      </c>
      <c r="H138" s="565"/>
    </row>
    <row r="139" spans="2:8" s="136" customFormat="1" x14ac:dyDescent="0.2">
      <c r="B139" s="135"/>
      <c r="C139" s="1816" t="s">
        <v>216</v>
      </c>
      <c r="D139" s="254" t="s">
        <v>149</v>
      </c>
      <c r="E139" s="255">
        <v>3</v>
      </c>
      <c r="F139" s="277">
        <v>0</v>
      </c>
      <c r="G139" s="278">
        <f t="shared" si="8"/>
        <v>0</v>
      </c>
      <c r="H139" s="565"/>
    </row>
    <row r="140" spans="2:8" s="136" customFormat="1" x14ac:dyDescent="0.2">
      <c r="B140" s="135"/>
      <c r="C140" s="1816" t="s">
        <v>329</v>
      </c>
      <c r="D140" s="254" t="s">
        <v>149</v>
      </c>
      <c r="E140" s="255">
        <v>3</v>
      </c>
      <c r="F140" s="277">
        <v>0</v>
      </c>
      <c r="G140" s="278">
        <f t="shared" si="8"/>
        <v>0</v>
      </c>
      <c r="H140" s="565"/>
    </row>
    <row r="141" spans="2:8" s="136" customFormat="1" x14ac:dyDescent="0.2">
      <c r="B141" s="135"/>
      <c r="C141" s="1816" t="s">
        <v>239</v>
      </c>
      <c r="D141" s="254" t="s">
        <v>149</v>
      </c>
      <c r="E141" s="255">
        <v>6</v>
      </c>
      <c r="F141" s="277">
        <v>0</v>
      </c>
      <c r="G141" s="278">
        <f t="shared" si="8"/>
        <v>0</v>
      </c>
      <c r="H141" s="565"/>
    </row>
    <row r="142" spans="2:8" s="136" customFormat="1" x14ac:dyDescent="0.2">
      <c r="B142" s="135"/>
      <c r="C142" s="1816" t="s">
        <v>241</v>
      </c>
      <c r="D142" s="254" t="s">
        <v>149</v>
      </c>
      <c r="E142" s="255">
        <v>6</v>
      </c>
      <c r="F142" s="277">
        <v>0</v>
      </c>
      <c r="G142" s="278">
        <f t="shared" si="8"/>
        <v>0</v>
      </c>
      <c r="H142" s="565"/>
    </row>
    <row r="143" spans="2:8" s="136" customFormat="1" x14ac:dyDescent="0.2">
      <c r="B143" s="135"/>
      <c r="C143" s="1816" t="s">
        <v>242</v>
      </c>
      <c r="D143" s="254" t="s">
        <v>149</v>
      </c>
      <c r="E143" s="255">
        <v>6</v>
      </c>
      <c r="F143" s="277">
        <v>0</v>
      </c>
      <c r="G143" s="278">
        <f t="shared" si="8"/>
        <v>0</v>
      </c>
      <c r="H143" s="565"/>
    </row>
    <row r="144" spans="2:8" s="136" customFormat="1" x14ac:dyDescent="0.2">
      <c r="B144" s="135"/>
      <c r="C144" s="1816" t="s">
        <v>219</v>
      </c>
      <c r="D144" s="254" t="s">
        <v>149</v>
      </c>
      <c r="E144" s="255">
        <v>3</v>
      </c>
      <c r="F144" s="277">
        <v>0</v>
      </c>
      <c r="G144" s="278">
        <f t="shared" si="8"/>
        <v>0</v>
      </c>
      <c r="H144" s="565"/>
    </row>
    <row r="145" spans="2:8" s="136" customFormat="1" x14ac:dyDescent="0.2">
      <c r="B145" s="135"/>
      <c r="C145" s="1816" t="s">
        <v>227</v>
      </c>
      <c r="D145" s="254" t="s">
        <v>149</v>
      </c>
      <c r="E145" s="255">
        <v>9</v>
      </c>
      <c r="F145" s="277">
        <v>0</v>
      </c>
      <c r="G145" s="278">
        <f t="shared" si="8"/>
        <v>0</v>
      </c>
      <c r="H145" s="565"/>
    </row>
    <row r="146" spans="2:8" s="136" customFormat="1" x14ac:dyDescent="0.2">
      <c r="B146" s="135"/>
      <c r="C146" s="1817" t="s">
        <v>198</v>
      </c>
      <c r="D146" s="254" t="s">
        <v>149</v>
      </c>
      <c r="E146" s="255">
        <v>3</v>
      </c>
      <c r="F146" s="277">
        <v>0</v>
      </c>
      <c r="G146" s="278">
        <f t="shared" si="8"/>
        <v>0</v>
      </c>
      <c r="H146" s="565"/>
    </row>
    <row r="147" spans="2:8" s="136" customFormat="1" x14ac:dyDescent="0.2">
      <c r="B147" s="292" t="s">
        <v>204</v>
      </c>
      <c r="C147" s="253" t="s">
        <v>231</v>
      </c>
      <c r="D147" s="254"/>
      <c r="E147" s="255"/>
      <c r="F147" s="256"/>
      <c r="G147" s="257"/>
      <c r="H147" s="565"/>
    </row>
    <row r="148" spans="2:8" s="136" customFormat="1" x14ac:dyDescent="0.2">
      <c r="B148" s="135"/>
      <c r="C148" s="253" t="s">
        <v>232</v>
      </c>
      <c r="D148" s="254"/>
      <c r="E148" s="255"/>
      <c r="F148" s="256">
        <v>0</v>
      </c>
      <c r="G148" s="257"/>
      <c r="H148" s="565"/>
    </row>
    <row r="149" spans="2:8" s="136" customFormat="1" ht="24" x14ac:dyDescent="0.2">
      <c r="B149" s="135"/>
      <c r="C149" s="258" t="s">
        <v>233</v>
      </c>
      <c r="D149" s="254" t="s">
        <v>149</v>
      </c>
      <c r="E149" s="255">
        <v>1</v>
      </c>
      <c r="F149" s="277">
        <v>0</v>
      </c>
      <c r="G149" s="278">
        <f t="shared" ref="G149:G153" si="9">E149*F149</f>
        <v>0</v>
      </c>
      <c r="H149" s="565"/>
    </row>
    <row r="150" spans="2:8" s="136" customFormat="1" x14ac:dyDescent="0.2">
      <c r="B150" s="135"/>
      <c r="C150" s="1816" t="s">
        <v>195</v>
      </c>
      <c r="D150" s="254" t="s">
        <v>149</v>
      </c>
      <c r="E150" s="255">
        <v>3</v>
      </c>
      <c r="F150" s="277">
        <v>0</v>
      </c>
      <c r="G150" s="278">
        <f t="shared" si="9"/>
        <v>0</v>
      </c>
      <c r="H150" s="565"/>
    </row>
    <row r="151" spans="2:8" s="136" customFormat="1" x14ac:dyDescent="0.2">
      <c r="B151" s="135"/>
      <c r="C151" s="1816" t="s">
        <v>218</v>
      </c>
      <c r="D151" s="254" t="s">
        <v>149</v>
      </c>
      <c r="E151" s="255">
        <v>3</v>
      </c>
      <c r="F151" s="277">
        <v>0</v>
      </c>
      <c r="G151" s="278">
        <f t="shared" si="9"/>
        <v>0</v>
      </c>
      <c r="H151" s="565"/>
    </row>
    <row r="152" spans="2:8" s="136" customFormat="1" x14ac:dyDescent="0.2">
      <c r="B152" s="135"/>
      <c r="C152" s="1816" t="s">
        <v>227</v>
      </c>
      <c r="D152" s="254" t="s">
        <v>149</v>
      </c>
      <c r="E152" s="255">
        <v>1</v>
      </c>
      <c r="F152" s="277">
        <v>0</v>
      </c>
      <c r="G152" s="278">
        <f t="shared" si="9"/>
        <v>0</v>
      </c>
      <c r="H152" s="565"/>
    </row>
    <row r="153" spans="2:8" s="136" customFormat="1" x14ac:dyDescent="0.2">
      <c r="B153" s="135"/>
      <c r="C153" s="1817" t="s">
        <v>198</v>
      </c>
      <c r="D153" s="254" t="s">
        <v>149</v>
      </c>
      <c r="E153" s="255">
        <v>1</v>
      </c>
      <c r="F153" s="277">
        <v>0</v>
      </c>
      <c r="G153" s="278">
        <f t="shared" si="9"/>
        <v>0</v>
      </c>
      <c r="H153" s="565"/>
    </row>
    <row r="154" spans="2:8" s="136" customFormat="1" x14ac:dyDescent="0.2">
      <c r="B154" s="135"/>
      <c r="C154" s="253" t="s">
        <v>1776</v>
      </c>
      <c r="D154" s="254"/>
      <c r="E154" s="255"/>
      <c r="F154" s="256">
        <v>0</v>
      </c>
      <c r="G154" s="257"/>
      <c r="H154" s="565"/>
    </row>
    <row r="155" spans="2:8" s="136" customFormat="1" ht="24" x14ac:dyDescent="0.2">
      <c r="B155" s="135"/>
      <c r="C155" s="258" t="s">
        <v>1679</v>
      </c>
      <c r="D155" s="254" t="s">
        <v>149</v>
      </c>
      <c r="E155" s="255">
        <v>1</v>
      </c>
      <c r="F155" s="277">
        <v>0</v>
      </c>
      <c r="G155" s="278">
        <f t="shared" ref="G155:G159" si="10">E155*F155</f>
        <v>0</v>
      </c>
      <c r="H155" s="565"/>
    </row>
    <row r="156" spans="2:8" s="136" customFormat="1" x14ac:dyDescent="0.2">
      <c r="B156" s="135"/>
      <c r="C156" s="1819" t="s">
        <v>239</v>
      </c>
      <c r="D156" s="254" t="s">
        <v>149</v>
      </c>
      <c r="E156" s="255">
        <v>3</v>
      </c>
      <c r="F156" s="277">
        <v>0</v>
      </c>
      <c r="G156" s="278">
        <f t="shared" si="10"/>
        <v>0</v>
      </c>
      <c r="H156" s="565"/>
    </row>
    <row r="157" spans="2:8" s="136" customFormat="1" x14ac:dyDescent="0.2">
      <c r="B157" s="135"/>
      <c r="C157" s="1819" t="s">
        <v>1761</v>
      </c>
      <c r="D157" s="254" t="s">
        <v>149</v>
      </c>
      <c r="E157" s="255">
        <v>3</v>
      </c>
      <c r="F157" s="277">
        <v>0</v>
      </c>
      <c r="G157" s="278">
        <f t="shared" si="10"/>
        <v>0</v>
      </c>
      <c r="H157" s="565"/>
    </row>
    <row r="158" spans="2:8" s="136" customFormat="1" x14ac:dyDescent="0.2">
      <c r="B158" s="135"/>
      <c r="C158" s="1819" t="s">
        <v>227</v>
      </c>
      <c r="D158" s="254" t="s">
        <v>149</v>
      </c>
      <c r="E158" s="255">
        <v>1</v>
      </c>
      <c r="F158" s="277">
        <v>0</v>
      </c>
      <c r="G158" s="278">
        <f t="shared" si="10"/>
        <v>0</v>
      </c>
      <c r="H158" s="565"/>
    </row>
    <row r="159" spans="2:8" s="136" customFormat="1" x14ac:dyDescent="0.2">
      <c r="B159" s="135"/>
      <c r="C159" s="1820" t="s">
        <v>1725</v>
      </c>
      <c r="D159" s="254" t="s">
        <v>149</v>
      </c>
      <c r="E159" s="255">
        <v>1</v>
      </c>
      <c r="F159" s="277">
        <v>0</v>
      </c>
      <c r="G159" s="278">
        <f t="shared" si="10"/>
        <v>0</v>
      </c>
      <c r="H159" s="565"/>
    </row>
    <row r="160" spans="2:8" s="136" customFormat="1" x14ac:dyDescent="0.2">
      <c r="B160" s="135"/>
      <c r="C160" s="253" t="s">
        <v>845</v>
      </c>
      <c r="D160" s="254"/>
      <c r="E160" s="255"/>
      <c r="F160" s="256">
        <v>0</v>
      </c>
      <c r="G160" s="257"/>
      <c r="H160" s="565"/>
    </row>
    <row r="161" spans="2:9" s="136" customFormat="1" ht="24" x14ac:dyDescent="0.2">
      <c r="B161" s="135"/>
      <c r="C161" s="258" t="s">
        <v>1679</v>
      </c>
      <c r="D161" s="254" t="s">
        <v>149</v>
      </c>
      <c r="E161" s="255">
        <v>2</v>
      </c>
      <c r="F161" s="277">
        <v>0</v>
      </c>
      <c r="G161" s="278">
        <f t="shared" ref="G161:G167" si="11">E161*F161</f>
        <v>0</v>
      </c>
      <c r="H161" s="565"/>
    </row>
    <row r="162" spans="2:9" s="136" customFormat="1" x14ac:dyDescent="0.2">
      <c r="B162" s="135"/>
      <c r="C162" s="1816" t="s">
        <v>239</v>
      </c>
      <c r="D162" s="254" t="s">
        <v>149</v>
      </c>
      <c r="E162" s="255">
        <v>6</v>
      </c>
      <c r="F162" s="277">
        <v>0</v>
      </c>
      <c r="G162" s="278">
        <f t="shared" si="11"/>
        <v>0</v>
      </c>
      <c r="H162" s="565"/>
    </row>
    <row r="163" spans="2:9" s="136" customFormat="1" x14ac:dyDescent="0.2">
      <c r="B163" s="135"/>
      <c r="C163" s="1816" t="s">
        <v>240</v>
      </c>
      <c r="D163" s="254" t="s">
        <v>149</v>
      </c>
      <c r="E163" s="255">
        <v>6</v>
      </c>
      <c r="F163" s="277">
        <v>0</v>
      </c>
      <c r="G163" s="278">
        <f t="shared" si="11"/>
        <v>0</v>
      </c>
      <c r="H163" s="565"/>
    </row>
    <row r="164" spans="2:9" s="136" customFormat="1" x14ac:dyDescent="0.2">
      <c r="B164" s="135"/>
      <c r="C164" s="1816" t="s">
        <v>241</v>
      </c>
      <c r="D164" s="254" t="s">
        <v>149</v>
      </c>
      <c r="E164" s="255">
        <v>6</v>
      </c>
      <c r="F164" s="277">
        <v>0</v>
      </c>
      <c r="G164" s="278">
        <f t="shared" si="11"/>
        <v>0</v>
      </c>
      <c r="H164" s="565"/>
    </row>
    <row r="165" spans="2:9" s="136" customFormat="1" x14ac:dyDescent="0.2">
      <c r="B165" s="135"/>
      <c r="C165" s="1816" t="s">
        <v>242</v>
      </c>
      <c r="D165" s="254" t="s">
        <v>149</v>
      </c>
      <c r="E165" s="255">
        <v>6</v>
      </c>
      <c r="F165" s="277">
        <v>0</v>
      </c>
      <c r="G165" s="278">
        <f t="shared" si="11"/>
        <v>0</v>
      </c>
      <c r="H165" s="565"/>
    </row>
    <row r="166" spans="2:9" s="136" customFormat="1" x14ac:dyDescent="0.2">
      <c r="B166" s="135"/>
      <c r="C166" s="1816" t="s">
        <v>227</v>
      </c>
      <c r="D166" s="254" t="s">
        <v>149</v>
      </c>
      <c r="E166" s="255">
        <v>2</v>
      </c>
      <c r="F166" s="277">
        <v>0</v>
      </c>
      <c r="G166" s="278">
        <f t="shared" si="11"/>
        <v>0</v>
      </c>
      <c r="H166" s="565"/>
    </row>
    <row r="167" spans="2:9" s="136" customFormat="1" x14ac:dyDescent="0.2">
      <c r="B167" s="135"/>
      <c r="C167" s="1817" t="s">
        <v>198</v>
      </c>
      <c r="D167" s="254" t="s">
        <v>149</v>
      </c>
      <c r="E167" s="255">
        <v>2</v>
      </c>
      <c r="F167" s="277">
        <v>0</v>
      </c>
      <c r="G167" s="278">
        <f t="shared" si="11"/>
        <v>0</v>
      </c>
      <c r="H167" s="565"/>
    </row>
    <row r="168" spans="2:9" s="136" customFormat="1" x14ac:dyDescent="0.2">
      <c r="B168" s="292" t="s">
        <v>220</v>
      </c>
      <c r="C168" s="247" t="s">
        <v>244</v>
      </c>
      <c r="D168" s="202"/>
      <c r="E168" s="248"/>
      <c r="F168" s="249"/>
      <c r="G168" s="205"/>
      <c r="H168" s="565"/>
    </row>
    <row r="169" spans="2:9" s="136" customFormat="1" x14ac:dyDescent="0.2">
      <c r="B169" s="135"/>
      <c r="C169" s="247" t="s">
        <v>1789</v>
      </c>
      <c r="D169" s="202"/>
      <c r="E169" s="248"/>
      <c r="F169" s="249">
        <v>0</v>
      </c>
      <c r="G169" s="205"/>
      <c r="H169" s="565"/>
    </row>
    <row r="170" spans="2:9" s="136" customFormat="1" ht="36" x14ac:dyDescent="0.3">
      <c r="B170" s="135"/>
      <c r="C170" s="262" t="s">
        <v>1790</v>
      </c>
      <c r="D170" s="202" t="s">
        <v>149</v>
      </c>
      <c r="E170" s="248">
        <v>1</v>
      </c>
      <c r="F170" s="275">
        <v>0</v>
      </c>
      <c r="G170" s="276">
        <f t="shared" ref="G170:G172" si="12">E170*F170</f>
        <v>0</v>
      </c>
      <c r="H170" s="565"/>
      <c r="I170" s="1422"/>
    </row>
    <row r="171" spans="2:9" s="136" customFormat="1" ht="12.75" customHeight="1" x14ac:dyDescent="0.3">
      <c r="B171" s="135"/>
      <c r="C171" s="1814" t="s">
        <v>247</v>
      </c>
      <c r="D171" s="202" t="s">
        <v>149</v>
      </c>
      <c r="E171" s="248">
        <v>1</v>
      </c>
      <c r="F171" s="275">
        <v>0</v>
      </c>
      <c r="G171" s="276">
        <f t="shared" si="12"/>
        <v>0</v>
      </c>
      <c r="H171" s="565"/>
      <c r="I171" s="1422"/>
    </row>
    <row r="172" spans="2:9" s="136" customFormat="1" ht="12.75" customHeight="1" x14ac:dyDescent="0.3">
      <c r="B172" s="135"/>
      <c r="C172" s="1821" t="s">
        <v>248</v>
      </c>
      <c r="D172" s="202" t="s">
        <v>149</v>
      </c>
      <c r="E172" s="248">
        <v>1</v>
      </c>
      <c r="F172" s="275">
        <v>0</v>
      </c>
      <c r="G172" s="276">
        <f t="shared" si="12"/>
        <v>0</v>
      </c>
      <c r="H172" s="565"/>
      <c r="I172" s="1422"/>
    </row>
    <row r="173" spans="2:9" s="136" customFormat="1" ht="12.75" customHeight="1" x14ac:dyDescent="0.3">
      <c r="B173" s="135"/>
      <c r="C173" s="247" t="s">
        <v>249</v>
      </c>
      <c r="D173" s="202"/>
      <c r="E173" s="248"/>
      <c r="F173" s="249">
        <v>0</v>
      </c>
      <c r="G173" s="205"/>
      <c r="H173" s="565"/>
      <c r="I173" s="1422"/>
    </row>
    <row r="174" spans="2:9" s="136" customFormat="1" ht="36" x14ac:dyDescent="0.3">
      <c r="B174" s="135"/>
      <c r="C174" s="262" t="s">
        <v>250</v>
      </c>
      <c r="D174" s="202" t="s">
        <v>149</v>
      </c>
      <c r="E174" s="248">
        <v>5</v>
      </c>
      <c r="F174" s="275">
        <v>0</v>
      </c>
      <c r="G174" s="276">
        <f t="shared" ref="G174:G176" si="13">E174*F174</f>
        <v>0</v>
      </c>
      <c r="H174" s="565"/>
      <c r="I174" s="1422"/>
    </row>
    <row r="175" spans="2:9" s="136" customFormat="1" ht="12.75" customHeight="1" x14ac:dyDescent="0.3">
      <c r="B175" s="135"/>
      <c r="C175" s="1814" t="s">
        <v>247</v>
      </c>
      <c r="D175" s="202" t="s">
        <v>149</v>
      </c>
      <c r="E175" s="248">
        <v>5</v>
      </c>
      <c r="F175" s="275">
        <v>0</v>
      </c>
      <c r="G175" s="276">
        <f t="shared" si="13"/>
        <v>0</v>
      </c>
      <c r="H175" s="565"/>
      <c r="I175" s="1422"/>
    </row>
    <row r="176" spans="2:9" s="136" customFormat="1" ht="12.75" customHeight="1" x14ac:dyDescent="0.3">
      <c r="B176" s="135"/>
      <c r="C176" s="1815" t="s">
        <v>198</v>
      </c>
      <c r="D176" s="202" t="s">
        <v>149</v>
      </c>
      <c r="E176" s="248">
        <v>5</v>
      </c>
      <c r="F176" s="275">
        <v>0</v>
      </c>
      <c r="G176" s="276">
        <f t="shared" si="13"/>
        <v>0</v>
      </c>
      <c r="H176" s="565"/>
      <c r="I176" s="1422"/>
    </row>
    <row r="177" spans="2:9" s="136" customFormat="1" ht="12.75" customHeight="1" x14ac:dyDescent="0.3">
      <c r="B177" s="135"/>
      <c r="C177" s="247" t="s">
        <v>826</v>
      </c>
      <c r="D177" s="202"/>
      <c r="E177" s="248"/>
      <c r="F177" s="249">
        <v>0</v>
      </c>
      <c r="G177" s="205"/>
      <c r="H177" s="565"/>
      <c r="I177" s="1422"/>
    </row>
    <row r="178" spans="2:9" ht="36" x14ac:dyDescent="0.3">
      <c r="B178" s="135"/>
      <c r="C178" s="262" t="s">
        <v>827</v>
      </c>
      <c r="D178" s="202" t="s">
        <v>149</v>
      </c>
      <c r="E178" s="248">
        <v>1</v>
      </c>
      <c r="F178" s="275">
        <v>0</v>
      </c>
      <c r="G178" s="276">
        <f t="shared" ref="G178:G180" si="14">E178*F178</f>
        <v>0</v>
      </c>
      <c r="I178" s="1422"/>
    </row>
    <row r="179" spans="2:9" s="136" customFormat="1" ht="12.75" customHeight="1" x14ac:dyDescent="0.3">
      <c r="B179" s="135"/>
      <c r="C179" s="1814" t="s">
        <v>247</v>
      </c>
      <c r="D179" s="202" t="s">
        <v>149</v>
      </c>
      <c r="E179" s="248">
        <v>1</v>
      </c>
      <c r="F179" s="275">
        <v>0</v>
      </c>
      <c r="G179" s="276">
        <f t="shared" si="14"/>
        <v>0</v>
      </c>
      <c r="H179" s="565"/>
      <c r="I179" s="1422"/>
    </row>
    <row r="180" spans="2:9" s="136" customFormat="1" ht="12.75" customHeight="1" x14ac:dyDescent="0.3">
      <c r="B180" s="135"/>
      <c r="C180" s="1821" t="s">
        <v>248</v>
      </c>
      <c r="D180" s="202" t="s">
        <v>149</v>
      </c>
      <c r="E180" s="248">
        <v>1</v>
      </c>
      <c r="F180" s="275">
        <v>0</v>
      </c>
      <c r="G180" s="276">
        <f t="shared" si="14"/>
        <v>0</v>
      </c>
      <c r="H180" s="565"/>
      <c r="I180" s="1422"/>
    </row>
    <row r="181" spans="2:9" s="136" customFormat="1" ht="12.75" customHeight="1" x14ac:dyDescent="0.3">
      <c r="B181" s="135"/>
      <c r="C181" s="247" t="s">
        <v>828</v>
      </c>
      <c r="D181" s="202"/>
      <c r="E181" s="248"/>
      <c r="F181" s="249">
        <v>0</v>
      </c>
      <c r="G181" s="205"/>
      <c r="H181" s="565"/>
      <c r="I181" s="1422"/>
    </row>
    <row r="182" spans="2:9" s="136" customFormat="1" ht="36" x14ac:dyDescent="0.3">
      <c r="B182" s="135"/>
      <c r="C182" s="262" t="s">
        <v>829</v>
      </c>
      <c r="D182" s="202" t="s">
        <v>149</v>
      </c>
      <c r="E182" s="248">
        <v>14</v>
      </c>
      <c r="F182" s="275">
        <v>0</v>
      </c>
      <c r="G182" s="276">
        <f t="shared" ref="G182:G186" si="15">E182*F182</f>
        <v>0</v>
      </c>
      <c r="H182" s="565"/>
      <c r="I182" s="1422"/>
    </row>
    <row r="183" spans="2:9" s="136" customFormat="1" ht="12.75" customHeight="1" x14ac:dyDescent="0.3">
      <c r="B183" s="135"/>
      <c r="C183" s="1814" t="s">
        <v>247</v>
      </c>
      <c r="D183" s="202" t="s">
        <v>149</v>
      </c>
      <c r="E183" s="248">
        <v>14</v>
      </c>
      <c r="F183" s="275">
        <v>0</v>
      </c>
      <c r="G183" s="276">
        <f t="shared" si="15"/>
        <v>0</v>
      </c>
      <c r="H183" s="565"/>
      <c r="I183" s="1422"/>
    </row>
    <row r="184" spans="2:9" s="136" customFormat="1" ht="12.75" customHeight="1" x14ac:dyDescent="0.3">
      <c r="B184" s="135"/>
      <c r="C184" s="1815" t="s">
        <v>198</v>
      </c>
      <c r="D184" s="202" t="s">
        <v>149</v>
      </c>
      <c r="E184" s="248">
        <v>14</v>
      </c>
      <c r="F184" s="275">
        <v>0</v>
      </c>
      <c r="G184" s="276">
        <f t="shared" si="15"/>
        <v>0</v>
      </c>
      <c r="H184" s="565"/>
      <c r="I184" s="1422"/>
    </row>
    <row r="185" spans="2:9" s="136" customFormat="1" ht="12.75" customHeight="1" x14ac:dyDescent="0.3">
      <c r="B185" s="135"/>
      <c r="C185" s="1818" t="s">
        <v>1726</v>
      </c>
      <c r="D185" s="202" t="s">
        <v>149</v>
      </c>
      <c r="E185" s="248">
        <v>4</v>
      </c>
      <c r="F185" s="275">
        <v>0</v>
      </c>
      <c r="G185" s="276">
        <f t="shared" si="15"/>
        <v>0</v>
      </c>
      <c r="H185" s="565"/>
      <c r="I185" s="1422"/>
    </row>
    <row r="186" spans="2:9" s="136" customFormat="1" ht="12.75" customHeight="1" x14ac:dyDescent="0.3">
      <c r="B186" s="135"/>
      <c r="C186" s="1818" t="s">
        <v>1727</v>
      </c>
      <c r="D186" s="202" t="s">
        <v>149</v>
      </c>
      <c r="E186" s="248">
        <v>12</v>
      </c>
      <c r="F186" s="275">
        <v>0</v>
      </c>
      <c r="G186" s="276">
        <f t="shared" si="15"/>
        <v>0</v>
      </c>
      <c r="H186" s="565"/>
      <c r="I186" s="1422"/>
    </row>
    <row r="187" spans="2:9" s="136" customFormat="1" x14ac:dyDescent="0.2">
      <c r="B187" s="292" t="s">
        <v>330</v>
      </c>
      <c r="C187" s="280" t="s">
        <v>300</v>
      </c>
      <c r="D187" s="281"/>
      <c r="E187" s="282"/>
      <c r="F187" s="283"/>
      <c r="G187" s="284"/>
      <c r="H187" s="565"/>
    </row>
    <row r="188" spans="2:9" s="136" customFormat="1" ht="60" x14ac:dyDescent="0.2">
      <c r="B188" s="135"/>
      <c r="C188" s="285" t="s">
        <v>301</v>
      </c>
      <c r="D188" s="286" t="s">
        <v>149</v>
      </c>
      <c r="E188" s="287">
        <v>21</v>
      </c>
      <c r="F188" s="288">
        <v>0</v>
      </c>
      <c r="G188" s="289">
        <f t="shared" ref="G188" si="16">E188*F188</f>
        <v>0</v>
      </c>
      <c r="H188" s="565"/>
    </row>
    <row r="189" spans="2:9" s="136" customFormat="1" ht="25.5" customHeight="1" x14ac:dyDescent="0.3">
      <c r="B189" s="293" t="s">
        <v>17</v>
      </c>
      <c r="C189" s="294" t="s">
        <v>302</v>
      </c>
      <c r="D189" s="218"/>
      <c r="E189" s="203"/>
      <c r="F189" s="204"/>
      <c r="G189" s="290">
        <f>SUM(G90:G188)</f>
        <v>0</v>
      </c>
      <c r="H189" s="565"/>
      <c r="I189" s="1422"/>
    </row>
    <row r="190" spans="2:9" ht="12.75" customHeight="1" x14ac:dyDescent="0.3">
      <c r="I190" s="1422"/>
    </row>
  </sheetData>
  <mergeCells count="7">
    <mergeCell ref="B101:B103"/>
    <mergeCell ref="B42:G42"/>
    <mergeCell ref="B53:B55"/>
    <mergeCell ref="B68:B69"/>
    <mergeCell ref="B87:G87"/>
    <mergeCell ref="B88:G88"/>
    <mergeCell ref="B89:G89"/>
  </mergeCells>
  <pageMargins left="0.7" right="0.7" top="0.75" bottom="0.75" header="0.3" footer="0.3"/>
  <pageSetup paperSize="9" scale="85" orientation="portrait" r:id="rId1"/>
  <headerFooter alignWithMargins="0">
    <oddFooter>&amp;C&amp;8&amp;P/&amp;N</oddFooter>
  </headerFooter>
  <rowBreaks count="4" manualBreakCount="4">
    <brk id="19" max="16383" man="1"/>
    <brk id="38" max="16383" man="1"/>
    <brk id="79" max="16383" man="1"/>
    <brk id="186"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F6417-D1DB-4D17-9806-7AAF1D931E03}">
  <sheetPr>
    <tabColor theme="0" tint="-0.14999847407452621"/>
  </sheetPr>
  <dimension ref="A2:L230"/>
  <sheetViews>
    <sheetView showZeros="0" topLeftCell="A60"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5.5" x14ac:dyDescent="0.2">
      <c r="B6" s="1776" t="s">
        <v>80</v>
      </c>
      <c r="C6" s="1827" t="s">
        <v>1810</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G78</f>
        <v>0</v>
      </c>
      <c r="H16" s="569"/>
    </row>
    <row r="17" spans="2:8" s="1792" customFormat="1" ht="18.75" customHeight="1" x14ac:dyDescent="0.25">
      <c r="B17" s="1793" t="s">
        <v>17</v>
      </c>
      <c r="C17" s="1794" t="s">
        <v>87</v>
      </c>
      <c r="D17" s="1795"/>
      <c r="E17" s="1796"/>
      <c r="F17" s="1797"/>
      <c r="G17" s="474">
        <f>G229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2014</v>
      </c>
      <c r="F24" s="467">
        <v>0</v>
      </c>
      <c r="G24" s="352">
        <f t="shared" ref="G24" si="0">E24*F24</f>
        <v>0</v>
      </c>
    </row>
    <row r="25" spans="2:8" x14ac:dyDescent="0.2">
      <c r="B25" s="129">
        <v>2</v>
      </c>
      <c r="C25" s="206" t="s">
        <v>96</v>
      </c>
      <c r="D25" s="207" t="s">
        <v>95</v>
      </c>
      <c r="E25" s="353">
        <f>E24</f>
        <v>2014</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19</v>
      </c>
      <c r="F30" s="467">
        <v>0</v>
      </c>
      <c r="G30" s="352">
        <f t="shared" si="1"/>
        <v>0</v>
      </c>
    </row>
    <row r="31" spans="2:8" ht="54" customHeight="1" x14ac:dyDescent="0.2">
      <c r="B31" s="129">
        <v>8</v>
      </c>
      <c r="C31" s="1822" t="s">
        <v>103</v>
      </c>
      <c r="D31" s="210" t="s">
        <v>98</v>
      </c>
      <c r="E31" s="353">
        <v>18</v>
      </c>
      <c r="F31" s="467">
        <v>0</v>
      </c>
      <c r="G31" s="352">
        <f t="shared" si="1"/>
        <v>0</v>
      </c>
    </row>
    <row r="32" spans="2:8" ht="36" x14ac:dyDescent="0.2">
      <c r="B32" s="129">
        <v>9</v>
      </c>
      <c r="C32" s="3165" t="s">
        <v>2590</v>
      </c>
      <c r="D32" s="210" t="s">
        <v>95</v>
      </c>
      <c r="E32" s="353">
        <v>2565</v>
      </c>
      <c r="F32" s="467">
        <v>0</v>
      </c>
      <c r="G32" s="352">
        <f t="shared" si="1"/>
        <v>0</v>
      </c>
      <c r="H32" s="571"/>
    </row>
    <row r="33" spans="2:12" ht="27.75" customHeight="1" x14ac:dyDescent="0.2">
      <c r="B33" s="129">
        <v>10</v>
      </c>
      <c r="C33" s="3165" t="s">
        <v>2591</v>
      </c>
      <c r="D33" s="210" t="s">
        <v>95</v>
      </c>
      <c r="E33" s="353">
        <v>2565</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4</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4" x14ac:dyDescent="0.2">
      <c r="B43" s="131">
        <v>1</v>
      </c>
      <c r="C43" s="206" t="s">
        <v>111</v>
      </c>
      <c r="D43" s="207" t="s">
        <v>112</v>
      </c>
      <c r="E43" s="353">
        <f>(2565*1*1.4*0.07)</f>
        <v>251.37</v>
      </c>
      <c r="F43" s="467">
        <v>0</v>
      </c>
      <c r="G43" s="352">
        <f t="shared" ref="G43:G73" si="2">E43*F43</f>
        <v>0</v>
      </c>
      <c r="I43" s="132"/>
    </row>
    <row r="44" spans="2:12" ht="36" x14ac:dyDescent="0.2">
      <c r="B44" s="131">
        <v>2</v>
      </c>
      <c r="C44" s="206" t="s">
        <v>113</v>
      </c>
      <c r="D44" s="207" t="s">
        <v>95</v>
      </c>
      <c r="E44" s="353">
        <f>0.6*2565</f>
        <v>1539</v>
      </c>
      <c r="F44" s="467">
        <v>0</v>
      </c>
      <c r="G44" s="352">
        <f t="shared" si="2"/>
        <v>0</v>
      </c>
      <c r="I44" s="132"/>
    </row>
    <row r="45" spans="2:12" ht="36" x14ac:dyDescent="0.2">
      <c r="B45" s="131">
        <v>3</v>
      </c>
      <c r="C45" s="206" t="s">
        <v>114</v>
      </c>
      <c r="D45" s="209" t="s">
        <v>112</v>
      </c>
      <c r="E45" s="353">
        <f>((2565*1*1.4)-E43)*0.1</f>
        <v>333.96299999999997</v>
      </c>
      <c r="F45" s="467">
        <v>0</v>
      </c>
      <c r="G45" s="352">
        <f t="shared" si="2"/>
        <v>0</v>
      </c>
      <c r="I45" s="133"/>
      <c r="K45" s="134"/>
      <c r="L45" s="134"/>
    </row>
    <row r="46" spans="2:12" ht="36" x14ac:dyDescent="0.2">
      <c r="B46" s="131">
        <v>4</v>
      </c>
      <c r="C46" s="206" t="s">
        <v>115</v>
      </c>
      <c r="D46" s="209" t="s">
        <v>112</v>
      </c>
      <c r="E46" s="353">
        <f>((2565*1*1.4)-E43)*0.9</f>
        <v>3005.6669999999999</v>
      </c>
      <c r="F46" s="467">
        <v>0</v>
      </c>
      <c r="G46" s="352">
        <f t="shared" si="2"/>
        <v>0</v>
      </c>
      <c r="I46" s="133"/>
      <c r="J46" s="134"/>
    </row>
    <row r="47" spans="2:12" ht="24" x14ac:dyDescent="0.2">
      <c r="B47" s="131">
        <v>5</v>
      </c>
      <c r="C47" s="311" t="s">
        <v>116</v>
      </c>
      <c r="D47" s="219" t="s">
        <v>117</v>
      </c>
      <c r="E47" s="471">
        <f>2565*1.4</f>
        <v>3590.9999999999995</v>
      </c>
      <c r="F47" s="467">
        <v>0</v>
      </c>
      <c r="G47" s="352">
        <f t="shared" si="2"/>
        <v>0</v>
      </c>
      <c r="I47" s="1364"/>
    </row>
    <row r="48" spans="2:12" ht="36" x14ac:dyDescent="0.2">
      <c r="B48" s="131">
        <v>6</v>
      </c>
      <c r="C48" s="206" t="s">
        <v>118</v>
      </c>
      <c r="D48" s="209" t="s">
        <v>117</v>
      </c>
      <c r="E48" s="353">
        <f>2565*1</f>
        <v>2565</v>
      </c>
      <c r="F48" s="467">
        <v>0</v>
      </c>
      <c r="G48" s="352">
        <f t="shared" si="2"/>
        <v>0</v>
      </c>
      <c r="I48" s="1364"/>
    </row>
    <row r="49" spans="2:12" ht="24" x14ac:dyDescent="0.2">
      <c r="B49" s="131">
        <v>7</v>
      </c>
      <c r="C49" s="206" t="s">
        <v>304</v>
      </c>
      <c r="D49" s="209" t="s">
        <v>112</v>
      </c>
      <c r="E49" s="353">
        <v>692</v>
      </c>
      <c r="F49" s="467">
        <v>0</v>
      </c>
      <c r="G49" s="352">
        <f t="shared" si="2"/>
        <v>0</v>
      </c>
      <c r="I49" s="133"/>
      <c r="J49" s="1365"/>
    </row>
    <row r="50" spans="2:12" ht="24" x14ac:dyDescent="0.2">
      <c r="B50" s="131">
        <v>8</v>
      </c>
      <c r="C50" s="206" t="s">
        <v>119</v>
      </c>
      <c r="D50" s="209" t="s">
        <v>112</v>
      </c>
      <c r="E50" s="353">
        <v>2974.6</v>
      </c>
      <c r="F50" s="467">
        <v>0</v>
      </c>
      <c r="G50" s="352">
        <f t="shared" si="2"/>
        <v>0</v>
      </c>
      <c r="I50" s="134"/>
      <c r="K50" s="1365"/>
    </row>
    <row r="51" spans="2:12" ht="36" x14ac:dyDescent="0.2">
      <c r="B51" s="131">
        <v>9</v>
      </c>
      <c r="C51" s="208" t="s">
        <v>120</v>
      </c>
      <c r="D51" s="209" t="s">
        <v>112</v>
      </c>
      <c r="E51" s="353">
        <v>340.6</v>
      </c>
      <c r="F51" s="467">
        <v>0</v>
      </c>
      <c r="G51" s="352">
        <f t="shared" si="2"/>
        <v>0</v>
      </c>
      <c r="I51" s="1365"/>
      <c r="J51" s="1365"/>
      <c r="K51" s="1365"/>
    </row>
    <row r="52" spans="2:12" s="130" customFormat="1" ht="36" x14ac:dyDescent="0.2">
      <c r="B52" s="131">
        <v>10</v>
      </c>
      <c r="C52" s="314" t="s">
        <v>121</v>
      </c>
      <c r="D52" s="210" t="s">
        <v>112</v>
      </c>
      <c r="E52" s="353">
        <v>275.8</v>
      </c>
      <c r="F52" s="467">
        <v>0</v>
      </c>
      <c r="G52" s="352">
        <f t="shared" si="2"/>
        <v>0</v>
      </c>
      <c r="H52" s="565"/>
      <c r="I52" s="1263"/>
      <c r="J52" s="1263"/>
      <c r="K52" s="1263"/>
      <c r="L52" s="1263"/>
    </row>
    <row r="53" spans="2:12" s="147" customFormat="1" ht="48" x14ac:dyDescent="0.25">
      <c r="B53" s="3187">
        <v>11</v>
      </c>
      <c r="C53" s="308" t="s">
        <v>122</v>
      </c>
      <c r="D53" s="210"/>
      <c r="E53" s="353"/>
      <c r="F53" s="467"/>
      <c r="G53" s="352"/>
      <c r="H53" s="572"/>
      <c r="I53" s="490"/>
      <c r="J53" s="490"/>
      <c r="L53" s="490"/>
    </row>
    <row r="54" spans="2:12" s="147" customFormat="1" x14ac:dyDescent="0.25">
      <c r="B54" s="3188"/>
      <c r="C54" s="308" t="s">
        <v>124</v>
      </c>
      <c r="D54" s="207" t="s">
        <v>95</v>
      </c>
      <c r="E54" s="353">
        <v>75</v>
      </c>
      <c r="F54" s="467">
        <v>0</v>
      </c>
      <c r="G54" s="352">
        <f t="shared" si="2"/>
        <v>0</v>
      </c>
      <c r="H54" s="572"/>
      <c r="I54" s="490"/>
      <c r="J54" s="490"/>
    </row>
    <row r="55" spans="2:12" s="147" customFormat="1" x14ac:dyDescent="0.25">
      <c r="B55" s="3189"/>
      <c r="C55" s="308" t="s">
        <v>305</v>
      </c>
      <c r="D55" s="207" t="s">
        <v>95</v>
      </c>
      <c r="E55" s="353">
        <v>45</v>
      </c>
      <c r="F55" s="467">
        <v>0</v>
      </c>
      <c r="G55" s="352">
        <f t="shared" si="2"/>
        <v>0</v>
      </c>
      <c r="H55" s="572"/>
      <c r="I55" s="490"/>
    </row>
    <row r="56" spans="2:12" ht="24" x14ac:dyDescent="0.2">
      <c r="B56" s="131">
        <v>12</v>
      </c>
      <c r="C56" s="206" t="s">
        <v>125</v>
      </c>
      <c r="D56" s="209" t="s">
        <v>95</v>
      </c>
      <c r="E56" s="353">
        <v>465.4</v>
      </c>
      <c r="F56" s="467">
        <v>0</v>
      </c>
      <c r="G56" s="352">
        <f t="shared" si="2"/>
        <v>0</v>
      </c>
      <c r="H56" s="571"/>
      <c r="I56" s="1365"/>
    </row>
    <row r="57" spans="2:12" ht="24" x14ac:dyDescent="0.2">
      <c r="B57" s="131">
        <v>13</v>
      </c>
      <c r="C57" s="206" t="s">
        <v>126</v>
      </c>
      <c r="D57" s="207" t="s">
        <v>117</v>
      </c>
      <c r="E57" s="353">
        <v>478.2</v>
      </c>
      <c r="F57" s="467">
        <v>0</v>
      </c>
      <c r="G57" s="352">
        <f t="shared" si="2"/>
        <v>0</v>
      </c>
      <c r="H57" s="571"/>
    </row>
    <row r="58" spans="2:12" ht="48" x14ac:dyDescent="0.2">
      <c r="B58" s="131">
        <v>14</v>
      </c>
      <c r="C58" s="206" t="s">
        <v>127</v>
      </c>
      <c r="D58" s="207" t="s">
        <v>117</v>
      </c>
      <c r="E58" s="353">
        <f>E57</f>
        <v>478.2</v>
      </c>
      <c r="F58" s="467">
        <v>0</v>
      </c>
      <c r="G58" s="352">
        <f t="shared" si="2"/>
        <v>0</v>
      </c>
      <c r="H58" s="571"/>
      <c r="I58" s="1365"/>
    </row>
    <row r="59" spans="2:12" ht="60" x14ac:dyDescent="0.2">
      <c r="B59" s="131">
        <v>15</v>
      </c>
      <c r="C59" s="314" t="s">
        <v>706</v>
      </c>
      <c r="D59" s="209" t="s">
        <v>117</v>
      </c>
      <c r="E59" s="353">
        <v>186.5</v>
      </c>
      <c r="F59" s="467">
        <v>0</v>
      </c>
      <c r="G59" s="352">
        <f t="shared" si="2"/>
        <v>0</v>
      </c>
      <c r="H59" s="571"/>
      <c r="I59" s="1365"/>
      <c r="J59" s="1365"/>
    </row>
    <row r="60" spans="2:12" ht="48" x14ac:dyDescent="0.2">
      <c r="B60" s="312" t="s">
        <v>128</v>
      </c>
      <c r="C60" s="208" t="s">
        <v>129</v>
      </c>
      <c r="D60" s="209" t="s">
        <v>117</v>
      </c>
      <c r="E60" s="353">
        <v>167.2</v>
      </c>
      <c r="F60" s="467">
        <v>0</v>
      </c>
      <c r="G60" s="352">
        <f t="shared" si="2"/>
        <v>0</v>
      </c>
      <c r="H60" s="571"/>
    </row>
    <row r="61" spans="2:12" ht="60" x14ac:dyDescent="0.2">
      <c r="B61" s="312" t="s">
        <v>707</v>
      </c>
      <c r="C61" s="208" t="s">
        <v>708</v>
      </c>
      <c r="D61" s="209" t="s">
        <v>117</v>
      </c>
      <c r="E61" s="353">
        <v>167.2</v>
      </c>
      <c r="F61" s="467">
        <v>0</v>
      </c>
      <c r="G61" s="352">
        <f t="shared" si="2"/>
        <v>0</v>
      </c>
      <c r="H61" s="571"/>
      <c r="I61" s="1365"/>
    </row>
    <row r="62" spans="2:12" ht="72" x14ac:dyDescent="0.2">
      <c r="B62" s="312" t="s">
        <v>710</v>
      </c>
      <c r="C62" s="208" t="s">
        <v>711</v>
      </c>
      <c r="D62" s="209" t="s">
        <v>117</v>
      </c>
      <c r="E62" s="353">
        <v>124.5</v>
      </c>
      <c r="F62" s="467">
        <v>0</v>
      </c>
      <c r="G62" s="352">
        <f>E62*F62</f>
        <v>0</v>
      </c>
      <c r="H62" s="571"/>
    </row>
    <row r="63" spans="2:12" ht="36" x14ac:dyDescent="0.2">
      <c r="B63" s="131">
        <v>16</v>
      </c>
      <c r="C63" s="206" t="s">
        <v>132</v>
      </c>
      <c r="D63" s="207" t="s">
        <v>117</v>
      </c>
      <c r="E63" s="353">
        <v>67.5</v>
      </c>
      <c r="F63" s="467">
        <v>0</v>
      </c>
      <c r="G63" s="352">
        <f t="shared" si="2"/>
        <v>0</v>
      </c>
    </row>
    <row r="64" spans="2:12" x14ac:dyDescent="0.2">
      <c r="B64" s="131">
        <v>18</v>
      </c>
      <c r="C64" s="206" t="s">
        <v>134</v>
      </c>
      <c r="D64" s="209" t="s">
        <v>112</v>
      </c>
      <c r="E64" s="353">
        <v>1308.4000000000001</v>
      </c>
      <c r="F64" s="467">
        <v>0</v>
      </c>
      <c r="G64" s="352">
        <f t="shared" si="2"/>
        <v>0</v>
      </c>
      <c r="I64" s="1365"/>
    </row>
    <row r="65" spans="2:9" x14ac:dyDescent="0.2">
      <c r="B65" s="131">
        <v>19</v>
      </c>
      <c r="C65" s="206" t="s">
        <v>135</v>
      </c>
      <c r="D65" s="209" t="s">
        <v>112</v>
      </c>
      <c r="E65" s="353">
        <f>E64</f>
        <v>1308.4000000000001</v>
      </c>
      <c r="F65" s="467">
        <v>0</v>
      </c>
      <c r="G65" s="352">
        <f t="shared" si="2"/>
        <v>0</v>
      </c>
    </row>
    <row r="66" spans="2:9" ht="24" x14ac:dyDescent="0.2">
      <c r="B66" s="131">
        <v>20</v>
      </c>
      <c r="C66" s="206" t="s">
        <v>136</v>
      </c>
      <c r="D66" s="209" t="s">
        <v>117</v>
      </c>
      <c r="E66" s="353">
        <v>478.2</v>
      </c>
      <c r="F66" s="467">
        <v>0</v>
      </c>
      <c r="G66" s="352">
        <f t="shared" si="2"/>
        <v>0</v>
      </c>
    </row>
    <row r="67" spans="2:9" ht="24" x14ac:dyDescent="0.2">
      <c r="B67" s="131">
        <v>21</v>
      </c>
      <c r="C67" s="206" t="s">
        <v>138</v>
      </c>
      <c r="D67" s="207" t="s">
        <v>117</v>
      </c>
      <c r="E67" s="353">
        <v>644.5</v>
      </c>
      <c r="F67" s="467">
        <v>0</v>
      </c>
      <c r="G67" s="352">
        <f t="shared" si="2"/>
        <v>0</v>
      </c>
    </row>
    <row r="68" spans="2:9" s="130" customFormat="1" ht="48" x14ac:dyDescent="0.2">
      <c r="B68" s="3187">
        <v>22</v>
      </c>
      <c r="C68" s="408" t="s">
        <v>139</v>
      </c>
      <c r="D68" s="221"/>
      <c r="E68" s="353"/>
      <c r="F68" s="467"/>
      <c r="G68" s="352"/>
      <c r="H68" s="565"/>
    </row>
    <row r="69" spans="2:9" s="130" customFormat="1" x14ac:dyDescent="0.2">
      <c r="B69" s="3188"/>
      <c r="C69" s="291" t="s">
        <v>140</v>
      </c>
      <c r="D69" s="221" t="s">
        <v>95</v>
      </c>
      <c r="E69" s="353">
        <v>43</v>
      </c>
      <c r="F69" s="467">
        <v>0</v>
      </c>
      <c r="G69" s="352">
        <f t="shared" si="2"/>
        <v>0</v>
      </c>
      <c r="H69" s="565"/>
    </row>
    <row r="70" spans="2:9" s="130" customFormat="1" x14ac:dyDescent="0.2">
      <c r="B70" s="2722"/>
      <c r="C70" s="291" t="s">
        <v>713</v>
      </c>
      <c r="D70" s="221" t="s">
        <v>95</v>
      </c>
      <c r="E70" s="353">
        <v>126</v>
      </c>
      <c r="F70" s="467">
        <v>0</v>
      </c>
      <c r="G70" s="352">
        <f t="shared" si="2"/>
        <v>0</v>
      </c>
      <c r="H70" s="565"/>
    </row>
    <row r="71" spans="2:9" ht="48" x14ac:dyDescent="0.2">
      <c r="B71" s="131">
        <v>24</v>
      </c>
      <c r="C71" s="409" t="s">
        <v>142</v>
      </c>
      <c r="D71" s="207" t="s">
        <v>117</v>
      </c>
      <c r="E71" s="353">
        <v>36.5</v>
      </c>
      <c r="F71" s="467">
        <v>0</v>
      </c>
      <c r="G71" s="352">
        <f t="shared" si="2"/>
        <v>0</v>
      </c>
      <c r="I71" s="1372"/>
    </row>
    <row r="72" spans="2:9" ht="24" x14ac:dyDescent="0.2">
      <c r="B72" s="131">
        <v>25</v>
      </c>
      <c r="C72" s="409" t="s">
        <v>143</v>
      </c>
      <c r="D72" s="207" t="s">
        <v>95</v>
      </c>
      <c r="E72" s="353">
        <v>124</v>
      </c>
      <c r="F72" s="467">
        <v>0</v>
      </c>
      <c r="G72" s="352">
        <f t="shared" si="2"/>
        <v>0</v>
      </c>
      <c r="H72" s="571"/>
    </row>
    <row r="73" spans="2:9" ht="24" x14ac:dyDescent="0.2">
      <c r="B73" s="312" t="s">
        <v>717</v>
      </c>
      <c r="C73" s="409" t="s">
        <v>718</v>
      </c>
      <c r="D73" s="207" t="s">
        <v>95</v>
      </c>
      <c r="E73" s="353">
        <v>56</v>
      </c>
      <c r="F73" s="467">
        <v>0</v>
      </c>
      <c r="G73" s="352">
        <f t="shared" si="2"/>
        <v>0</v>
      </c>
      <c r="H73" s="571"/>
    </row>
    <row r="74" spans="2:9" ht="36" x14ac:dyDescent="0.2">
      <c r="B74" s="411">
        <v>30</v>
      </c>
      <c r="C74" s="410" t="s">
        <v>151</v>
      </c>
      <c r="D74" s="222" t="s">
        <v>112</v>
      </c>
      <c r="E74" s="472">
        <v>8</v>
      </c>
      <c r="F74" s="467">
        <v>0</v>
      </c>
      <c r="G74" s="352">
        <f>E74*F74</f>
        <v>0</v>
      </c>
    </row>
    <row r="75" spans="2:9" ht="36" x14ac:dyDescent="0.2">
      <c r="B75" s="131">
        <v>31</v>
      </c>
      <c r="C75" s="1366" t="s">
        <v>152</v>
      </c>
      <c r="D75" s="1367" t="s">
        <v>149</v>
      </c>
      <c r="E75" s="1359">
        <v>50</v>
      </c>
      <c r="F75" s="467">
        <v>0</v>
      </c>
      <c r="G75" s="1361">
        <f>E75*F75</f>
        <v>0</v>
      </c>
    </row>
    <row r="76" spans="2:9" ht="36" x14ac:dyDescent="0.2">
      <c r="B76" s="411">
        <v>32</v>
      </c>
      <c r="C76" s="223" t="s">
        <v>153</v>
      </c>
      <c r="D76" s="222" t="s">
        <v>112</v>
      </c>
      <c r="E76" s="472">
        <v>13</v>
      </c>
      <c r="F76" s="467">
        <v>0</v>
      </c>
      <c r="G76" s="352">
        <f>E76*F76</f>
        <v>0</v>
      </c>
    </row>
    <row r="77" spans="2:9" ht="24" x14ac:dyDescent="0.2">
      <c r="B77" s="131">
        <v>33</v>
      </c>
      <c r="C77" s="223" t="s">
        <v>155</v>
      </c>
      <c r="D77" s="222" t="s">
        <v>156</v>
      </c>
      <c r="E77" s="472">
        <v>15</v>
      </c>
      <c r="F77" s="467">
        <v>0</v>
      </c>
      <c r="G77" s="352">
        <f>E77*F77</f>
        <v>0</v>
      </c>
    </row>
    <row r="78" spans="2:9" s="147" customFormat="1" ht="21.75" customHeight="1" x14ac:dyDescent="0.25">
      <c r="B78" s="327" t="s">
        <v>12</v>
      </c>
      <c r="C78" s="214" t="s">
        <v>157</v>
      </c>
      <c r="D78" s="224"/>
      <c r="E78" s="215"/>
      <c r="F78" s="216"/>
      <c r="G78" s="290">
        <f>SUM(G43:G77)</f>
        <v>0</v>
      </c>
      <c r="H78" s="150"/>
    </row>
    <row r="79" spans="2:9" x14ac:dyDescent="0.2">
      <c r="B79" s="129"/>
      <c r="C79" s="197"/>
      <c r="D79" s="198"/>
      <c r="E79" s="353"/>
      <c r="F79" s="358"/>
      <c r="G79" s="350"/>
    </row>
    <row r="80" spans="2:9"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23" t="s">
        <v>1720</v>
      </c>
      <c r="D91" s="1367" t="s">
        <v>95</v>
      </c>
      <c r="E91" s="1359">
        <v>811</v>
      </c>
      <c r="F91" s="1360">
        <v>0</v>
      </c>
      <c r="G91" s="1361">
        <f t="shared" ref="G91:G103" si="3">E91*F91</f>
        <v>0</v>
      </c>
      <c r="H91" s="150"/>
      <c r="I91" s="490"/>
    </row>
    <row r="92" spans="1:9" s="147" customFormat="1" ht="27" customHeight="1" x14ac:dyDescent="0.25">
      <c r="B92" s="148"/>
      <c r="C92" s="1823" t="s">
        <v>1721</v>
      </c>
      <c r="D92" s="1367" t="s">
        <v>95</v>
      </c>
      <c r="E92" s="1359">
        <v>90</v>
      </c>
      <c r="F92" s="1360">
        <v>0</v>
      </c>
      <c r="G92" s="1361">
        <f t="shared" si="3"/>
        <v>0</v>
      </c>
      <c r="H92" s="150"/>
      <c r="I92" s="490"/>
    </row>
    <row r="93" spans="1:9" s="147" customFormat="1" ht="18.75" customHeight="1" x14ac:dyDescent="0.25">
      <c r="B93" s="148"/>
      <c r="C93" s="1807" t="s">
        <v>821</v>
      </c>
      <c r="D93" s="226" t="s">
        <v>95</v>
      </c>
      <c r="E93" s="353">
        <v>896</v>
      </c>
      <c r="F93" s="1360">
        <v>0</v>
      </c>
      <c r="G93" s="352">
        <f t="shared" si="3"/>
        <v>0</v>
      </c>
      <c r="H93" s="150"/>
      <c r="I93" s="490"/>
    </row>
    <row r="94" spans="1:9" s="147" customFormat="1" ht="27" customHeight="1" x14ac:dyDescent="0.25">
      <c r="B94" s="148"/>
      <c r="C94" s="1807" t="s">
        <v>822</v>
      </c>
      <c r="D94" s="226" t="s">
        <v>95</v>
      </c>
      <c r="E94" s="353">
        <v>100</v>
      </c>
      <c r="F94" s="1360">
        <v>0</v>
      </c>
      <c r="G94" s="352">
        <f t="shared" si="3"/>
        <v>0</v>
      </c>
      <c r="H94" s="150"/>
      <c r="I94" s="490"/>
    </row>
    <row r="95" spans="1:9" s="147" customFormat="1" ht="18.75" customHeight="1" x14ac:dyDescent="0.25">
      <c r="B95" s="148"/>
      <c r="C95" s="1807" t="s">
        <v>1733</v>
      </c>
      <c r="D95" s="226" t="s">
        <v>95</v>
      </c>
      <c r="E95" s="353">
        <v>105</v>
      </c>
      <c r="F95" s="1360">
        <v>0</v>
      </c>
      <c r="G95" s="352">
        <f t="shared" si="3"/>
        <v>0</v>
      </c>
      <c r="H95" s="150"/>
      <c r="I95" s="490"/>
    </row>
    <row r="96" spans="1:9" s="147" customFormat="1" ht="27" customHeight="1" x14ac:dyDescent="0.25">
      <c r="B96" s="148"/>
      <c r="C96" s="1807" t="s">
        <v>1734</v>
      </c>
      <c r="D96" s="226" t="s">
        <v>95</v>
      </c>
      <c r="E96" s="353">
        <v>12</v>
      </c>
      <c r="F96" s="1360">
        <v>0</v>
      </c>
      <c r="G96" s="352">
        <f t="shared" si="3"/>
        <v>0</v>
      </c>
      <c r="H96" s="150"/>
      <c r="I96" s="490"/>
    </row>
    <row r="97" spans="2:9" s="147" customFormat="1" ht="18.75" customHeight="1" x14ac:dyDescent="0.25">
      <c r="B97" s="148"/>
      <c r="C97" s="1807" t="s">
        <v>165</v>
      </c>
      <c r="D97" s="226" t="s">
        <v>95</v>
      </c>
      <c r="E97" s="353">
        <v>496</v>
      </c>
      <c r="F97" s="1360">
        <v>0</v>
      </c>
      <c r="G97" s="352">
        <f t="shared" si="3"/>
        <v>0</v>
      </c>
      <c r="H97" s="150"/>
      <c r="I97" s="490"/>
    </row>
    <row r="98" spans="2:9" s="147" customFormat="1" ht="27" customHeight="1" x14ac:dyDescent="0.25">
      <c r="B98" s="148"/>
      <c r="C98" s="1807" t="s">
        <v>166</v>
      </c>
      <c r="D98" s="226" t="s">
        <v>95</v>
      </c>
      <c r="E98" s="353">
        <v>55</v>
      </c>
      <c r="F98" s="1360">
        <v>0</v>
      </c>
      <c r="G98" s="352">
        <f t="shared" si="3"/>
        <v>0</v>
      </c>
      <c r="H98" s="150"/>
      <c r="I98" s="490"/>
    </row>
    <row r="99" spans="2:9" ht="41.25" customHeight="1" x14ac:dyDescent="0.2">
      <c r="B99" s="3181" t="s">
        <v>167</v>
      </c>
      <c r="C99" s="310" t="s">
        <v>168</v>
      </c>
      <c r="D99" s="221"/>
      <c r="E99" s="353"/>
      <c r="F99" s="467"/>
      <c r="G99" s="352"/>
      <c r="I99" s="1365"/>
    </row>
    <row r="100" spans="2:9" ht="12.75" customHeight="1" x14ac:dyDescent="0.2">
      <c r="B100" s="3182"/>
      <c r="C100" s="291" t="s">
        <v>169</v>
      </c>
      <c r="D100" s="221" t="s">
        <v>95</v>
      </c>
      <c r="E100" s="353">
        <v>20</v>
      </c>
      <c r="F100" s="467">
        <v>0</v>
      </c>
      <c r="G100" s="352">
        <f t="shared" ref="G100:G102" si="4">E100*F100</f>
        <v>0</v>
      </c>
    </row>
    <row r="101" spans="2:9" ht="12.75" customHeight="1" x14ac:dyDescent="0.2">
      <c r="B101" s="3182"/>
      <c r="C101" s="291" t="s">
        <v>170</v>
      </c>
      <c r="D101" s="221" t="s">
        <v>95</v>
      </c>
      <c r="E101" s="353">
        <v>20</v>
      </c>
      <c r="F101" s="467">
        <v>0</v>
      </c>
      <c r="G101" s="352">
        <f t="shared" si="4"/>
        <v>0</v>
      </c>
    </row>
    <row r="102" spans="2:9" ht="60" x14ac:dyDescent="0.2">
      <c r="B102" s="1373" t="s">
        <v>622</v>
      </c>
      <c r="C102" s="310" t="s">
        <v>1768</v>
      </c>
      <c r="D102" s="221" t="s">
        <v>95</v>
      </c>
      <c r="E102" s="353">
        <v>28</v>
      </c>
      <c r="F102" s="467">
        <v>0</v>
      </c>
      <c r="G102" s="352">
        <f t="shared" si="4"/>
        <v>0</v>
      </c>
    </row>
    <row r="103" spans="2:9" ht="36" x14ac:dyDescent="0.2">
      <c r="B103" s="154">
        <v>2</v>
      </c>
      <c r="C103" s="227" t="s">
        <v>172</v>
      </c>
      <c r="D103" s="209" t="s">
        <v>95</v>
      </c>
      <c r="E103" s="348">
        <f>SUM(E91:E98)</f>
        <v>2565</v>
      </c>
      <c r="F103" s="467">
        <v>0</v>
      </c>
      <c r="G103" s="352">
        <f t="shared" si="3"/>
        <v>0</v>
      </c>
    </row>
    <row r="104" spans="2:9" ht="36" x14ac:dyDescent="0.2">
      <c r="B104" s="309" t="s">
        <v>173</v>
      </c>
      <c r="C104" s="227" t="s">
        <v>174</v>
      </c>
      <c r="D104" s="209" t="s">
        <v>95</v>
      </c>
      <c r="E104" s="348">
        <f>SUM(E91:E98)</f>
        <v>2565</v>
      </c>
      <c r="F104" s="467">
        <v>0</v>
      </c>
      <c r="G104" s="352">
        <f>E104*F104</f>
        <v>0</v>
      </c>
    </row>
    <row r="105" spans="2:9" ht="24" x14ac:dyDescent="0.2">
      <c r="B105" s="309" t="s">
        <v>175</v>
      </c>
      <c r="C105" s="227" t="s">
        <v>176</v>
      </c>
      <c r="D105" s="209" t="s">
        <v>95</v>
      </c>
      <c r="E105" s="348">
        <f>SUM(E91:E98)</f>
        <v>2565</v>
      </c>
      <c r="F105" s="467">
        <v>0</v>
      </c>
      <c r="G105" s="352">
        <f>E105*F105</f>
        <v>0</v>
      </c>
    </row>
    <row r="106" spans="2:9" s="147" customFormat="1" ht="36" x14ac:dyDescent="0.25">
      <c r="B106" s="309" t="s">
        <v>177</v>
      </c>
      <c r="C106" s="227" t="s">
        <v>178</v>
      </c>
      <c r="D106" s="209" t="s">
        <v>95</v>
      </c>
      <c r="E106" s="348">
        <f>SUM(E91:E98)</f>
        <v>2565</v>
      </c>
      <c r="F106" s="467">
        <v>0</v>
      </c>
      <c r="G106" s="352">
        <f>E106*F106</f>
        <v>0</v>
      </c>
      <c r="H106" s="150"/>
    </row>
    <row r="107" spans="2:9" s="147" customFormat="1" ht="24" x14ac:dyDescent="0.25">
      <c r="B107" s="153">
        <v>3</v>
      </c>
      <c r="C107" s="264" t="s">
        <v>179</v>
      </c>
      <c r="D107" s="231"/>
      <c r="E107" s="232"/>
      <c r="F107" s="233">
        <v>0</v>
      </c>
      <c r="G107" s="234"/>
      <c r="H107" s="150"/>
    </row>
    <row r="108" spans="2:9" x14ac:dyDescent="0.2">
      <c r="B108" s="292" t="s">
        <v>180</v>
      </c>
      <c r="C108" s="1808" t="s">
        <v>181</v>
      </c>
      <c r="D108" s="231"/>
      <c r="E108" s="232"/>
      <c r="F108" s="233"/>
      <c r="G108" s="234"/>
    </row>
    <row r="109" spans="2:9" s="147" customFormat="1" x14ac:dyDescent="0.25">
      <c r="B109" s="129"/>
      <c r="C109" s="1808" t="s">
        <v>182</v>
      </c>
      <c r="D109" s="231"/>
      <c r="E109" s="232"/>
      <c r="F109" s="233">
        <v>0</v>
      </c>
      <c r="G109" s="234"/>
      <c r="H109" s="150"/>
    </row>
    <row r="110" spans="2:9" s="147" customFormat="1" x14ac:dyDescent="0.25">
      <c r="B110" s="152"/>
      <c r="C110" s="1826" t="s">
        <v>183</v>
      </c>
      <c r="D110" s="236" t="s">
        <v>149</v>
      </c>
      <c r="E110" s="232">
        <v>22</v>
      </c>
      <c r="F110" s="271">
        <v>0</v>
      </c>
      <c r="G110" s="272">
        <f t="shared" ref="G110:G111" si="5">E110*F110</f>
        <v>0</v>
      </c>
      <c r="H110" s="150"/>
    </row>
    <row r="111" spans="2:9" s="136" customFormat="1" x14ac:dyDescent="0.2">
      <c r="B111" s="152"/>
      <c r="C111" s="1826" t="s">
        <v>184</v>
      </c>
      <c r="D111" s="236" t="s">
        <v>149</v>
      </c>
      <c r="E111" s="232">
        <v>10</v>
      </c>
      <c r="F111" s="271">
        <v>0</v>
      </c>
      <c r="G111" s="272">
        <f t="shared" si="5"/>
        <v>0</v>
      </c>
      <c r="H111" s="565"/>
    </row>
    <row r="112" spans="2:9" s="136" customFormat="1" x14ac:dyDescent="0.2">
      <c r="B112" s="129"/>
      <c r="C112" s="1808" t="s">
        <v>185</v>
      </c>
      <c r="D112" s="231"/>
      <c r="E112" s="232"/>
      <c r="F112" s="233"/>
      <c r="G112" s="234"/>
      <c r="H112" s="565"/>
    </row>
    <row r="113" spans="2:8" s="136" customFormat="1" x14ac:dyDescent="0.2">
      <c r="B113" s="152"/>
      <c r="C113" s="1810" t="s">
        <v>186</v>
      </c>
      <c r="D113" s="236" t="s">
        <v>149</v>
      </c>
      <c r="E113" s="232">
        <v>14</v>
      </c>
      <c r="F113" s="271">
        <v>0</v>
      </c>
      <c r="G113" s="272">
        <f t="shared" ref="G113:G114" si="6">E113*F113</f>
        <v>0</v>
      </c>
      <c r="H113" s="565"/>
    </row>
    <row r="114" spans="2:8" s="136" customFormat="1" x14ac:dyDescent="0.2">
      <c r="B114" s="152"/>
      <c r="C114" s="1810" t="s">
        <v>187</v>
      </c>
      <c r="D114" s="236" t="s">
        <v>149</v>
      </c>
      <c r="E114" s="232">
        <v>6</v>
      </c>
      <c r="F114" s="271">
        <v>0</v>
      </c>
      <c r="G114" s="272">
        <f t="shared" si="6"/>
        <v>0</v>
      </c>
      <c r="H114" s="565"/>
    </row>
    <row r="115" spans="2:8" s="136" customFormat="1" x14ac:dyDescent="0.2">
      <c r="B115" s="292" t="s">
        <v>188</v>
      </c>
      <c r="C115" s="238" t="s">
        <v>189</v>
      </c>
      <c r="D115" s="239"/>
      <c r="E115" s="240"/>
      <c r="F115" s="241">
        <v>0</v>
      </c>
      <c r="G115" s="242"/>
      <c r="H115" s="565"/>
    </row>
    <row r="116" spans="2:8" s="136" customFormat="1" x14ac:dyDescent="0.2">
      <c r="B116" s="135"/>
      <c r="C116" s="238" t="s">
        <v>190</v>
      </c>
      <c r="D116" s="239"/>
      <c r="E116" s="240"/>
      <c r="F116" s="241">
        <v>0</v>
      </c>
      <c r="G116" s="242"/>
      <c r="H116" s="565"/>
    </row>
    <row r="117" spans="2:8" s="136" customFormat="1" x14ac:dyDescent="0.2">
      <c r="B117" s="135"/>
      <c r="C117" s="243" t="s">
        <v>191</v>
      </c>
      <c r="D117" s="239" t="s">
        <v>149</v>
      </c>
      <c r="E117" s="240">
        <v>4</v>
      </c>
      <c r="F117" s="273">
        <v>0</v>
      </c>
      <c r="G117" s="274">
        <f t="shared" ref="G117:G124" si="7">E117*F117</f>
        <v>0</v>
      </c>
      <c r="H117" s="565"/>
    </row>
    <row r="118" spans="2:8" s="136" customFormat="1" ht="36" x14ac:dyDescent="0.2">
      <c r="B118" s="135"/>
      <c r="C118" s="244" t="s">
        <v>192</v>
      </c>
      <c r="D118" s="239" t="s">
        <v>149</v>
      </c>
      <c r="E118" s="240">
        <v>4</v>
      </c>
      <c r="F118" s="273">
        <v>0</v>
      </c>
      <c r="G118" s="274">
        <f t="shared" si="7"/>
        <v>0</v>
      </c>
      <c r="H118" s="565"/>
    </row>
    <row r="119" spans="2:8" s="136" customFormat="1" x14ac:dyDescent="0.2">
      <c r="B119" s="135"/>
      <c r="C119" s="244" t="s">
        <v>193</v>
      </c>
      <c r="D119" s="239" t="s">
        <v>149</v>
      </c>
      <c r="E119" s="240">
        <v>4</v>
      </c>
      <c r="F119" s="273">
        <v>0</v>
      </c>
      <c r="G119" s="274">
        <f t="shared" si="7"/>
        <v>0</v>
      </c>
      <c r="H119" s="565"/>
    </row>
    <row r="120" spans="2:8" s="136" customFormat="1" x14ac:dyDescent="0.2">
      <c r="B120" s="135"/>
      <c r="C120" s="244" t="s">
        <v>194</v>
      </c>
      <c r="D120" s="239" t="s">
        <v>149</v>
      </c>
      <c r="E120" s="240">
        <v>4</v>
      </c>
      <c r="F120" s="273">
        <v>0</v>
      </c>
      <c r="G120" s="274">
        <f t="shared" si="7"/>
        <v>0</v>
      </c>
      <c r="H120" s="565"/>
    </row>
    <row r="121" spans="2:8" s="136" customFormat="1" x14ac:dyDescent="0.2">
      <c r="B121" s="135"/>
      <c r="C121" s="244" t="s">
        <v>195</v>
      </c>
      <c r="D121" s="239" t="s">
        <v>149</v>
      </c>
      <c r="E121" s="240">
        <v>8</v>
      </c>
      <c r="F121" s="273">
        <v>0</v>
      </c>
      <c r="G121" s="274">
        <f t="shared" si="7"/>
        <v>0</v>
      </c>
      <c r="H121" s="565"/>
    </row>
    <row r="122" spans="2:8" s="136" customFormat="1" x14ac:dyDescent="0.2">
      <c r="B122" s="135"/>
      <c r="C122" s="244" t="s">
        <v>1722</v>
      </c>
      <c r="D122" s="239" t="s">
        <v>149</v>
      </c>
      <c r="E122" s="240">
        <v>8</v>
      </c>
      <c r="F122" s="273">
        <v>0</v>
      </c>
      <c r="G122" s="274">
        <f t="shared" si="7"/>
        <v>0</v>
      </c>
      <c r="H122" s="565"/>
    </row>
    <row r="123" spans="2:8" s="136" customFormat="1" x14ac:dyDescent="0.2">
      <c r="B123" s="135"/>
      <c r="C123" s="244" t="s">
        <v>197</v>
      </c>
      <c r="D123" s="239" t="s">
        <v>149</v>
      </c>
      <c r="E123" s="240">
        <v>4</v>
      </c>
      <c r="F123" s="273">
        <v>0</v>
      </c>
      <c r="G123" s="274">
        <f t="shared" si="7"/>
        <v>0</v>
      </c>
      <c r="H123" s="565"/>
    </row>
    <row r="124" spans="2:8" s="136" customFormat="1" x14ac:dyDescent="0.2">
      <c r="B124" s="135"/>
      <c r="C124" s="244" t="s">
        <v>198</v>
      </c>
      <c r="D124" s="239" t="s">
        <v>149</v>
      </c>
      <c r="E124" s="240">
        <v>4</v>
      </c>
      <c r="F124" s="273">
        <v>0</v>
      </c>
      <c r="G124" s="274">
        <f t="shared" si="7"/>
        <v>0</v>
      </c>
      <c r="H124" s="565"/>
    </row>
    <row r="125" spans="2:8" s="136" customFormat="1" x14ac:dyDescent="0.2">
      <c r="B125" s="135"/>
      <c r="C125" s="238" t="s">
        <v>840</v>
      </c>
      <c r="D125" s="239"/>
      <c r="E125" s="240"/>
      <c r="F125" s="273"/>
      <c r="G125" s="242"/>
      <c r="H125" s="565"/>
    </row>
    <row r="126" spans="2:8" s="136" customFormat="1" x14ac:dyDescent="0.2">
      <c r="B126" s="135"/>
      <c r="C126" s="243" t="s">
        <v>841</v>
      </c>
      <c r="D126" s="239" t="s">
        <v>149</v>
      </c>
      <c r="E126" s="240">
        <v>2</v>
      </c>
      <c r="F126" s="273">
        <v>0</v>
      </c>
      <c r="G126" s="274">
        <f t="shared" ref="G126:G135" si="8">E126*F126</f>
        <v>0</v>
      </c>
      <c r="H126" s="565"/>
    </row>
    <row r="127" spans="2:8" s="136" customFormat="1" ht="36" x14ac:dyDescent="0.2">
      <c r="B127" s="135"/>
      <c r="C127" s="244" t="s">
        <v>285</v>
      </c>
      <c r="D127" s="239" t="s">
        <v>149</v>
      </c>
      <c r="E127" s="240">
        <v>2</v>
      </c>
      <c r="F127" s="273">
        <v>0</v>
      </c>
      <c r="G127" s="274">
        <f t="shared" si="8"/>
        <v>0</v>
      </c>
      <c r="H127" s="565"/>
    </row>
    <row r="128" spans="2:8" s="136" customFormat="1" x14ac:dyDescent="0.2">
      <c r="B128" s="135"/>
      <c r="C128" s="244" t="s">
        <v>193</v>
      </c>
      <c r="D128" s="239" t="s">
        <v>149</v>
      </c>
      <c r="E128" s="240">
        <v>2</v>
      </c>
      <c r="F128" s="273">
        <v>0</v>
      </c>
      <c r="G128" s="274">
        <f t="shared" si="8"/>
        <v>0</v>
      </c>
      <c r="H128" s="565"/>
    </row>
    <row r="129" spans="2:8" s="136" customFormat="1" x14ac:dyDescent="0.2">
      <c r="B129" s="135"/>
      <c r="C129" s="244" t="s">
        <v>194</v>
      </c>
      <c r="D129" s="239" t="s">
        <v>149</v>
      </c>
      <c r="E129" s="240">
        <v>2</v>
      </c>
      <c r="F129" s="273">
        <v>0</v>
      </c>
      <c r="G129" s="274">
        <f t="shared" si="8"/>
        <v>0</v>
      </c>
      <c r="H129" s="565"/>
    </row>
    <row r="130" spans="2:8" s="136" customFormat="1" x14ac:dyDescent="0.2">
      <c r="B130" s="135"/>
      <c r="C130" s="1811" t="s">
        <v>239</v>
      </c>
      <c r="D130" s="239" t="s">
        <v>149</v>
      </c>
      <c r="E130" s="240">
        <v>4</v>
      </c>
      <c r="F130" s="273">
        <v>0</v>
      </c>
      <c r="G130" s="274">
        <f t="shared" si="8"/>
        <v>0</v>
      </c>
      <c r="H130" s="565"/>
    </row>
    <row r="131" spans="2:8" s="136" customFormat="1" x14ac:dyDescent="0.2">
      <c r="B131" s="135"/>
      <c r="C131" s="1811" t="s">
        <v>240</v>
      </c>
      <c r="D131" s="239" t="s">
        <v>149</v>
      </c>
      <c r="E131" s="240">
        <v>4</v>
      </c>
      <c r="F131" s="273">
        <v>0</v>
      </c>
      <c r="G131" s="274">
        <f t="shared" si="8"/>
        <v>0</v>
      </c>
      <c r="H131" s="565"/>
    </row>
    <row r="132" spans="2:8" s="136" customFormat="1" x14ac:dyDescent="0.2">
      <c r="B132" s="135"/>
      <c r="C132" s="1811" t="s">
        <v>241</v>
      </c>
      <c r="D132" s="239" t="s">
        <v>149</v>
      </c>
      <c r="E132" s="240">
        <v>4</v>
      </c>
      <c r="F132" s="273">
        <v>0</v>
      </c>
      <c r="G132" s="274">
        <f t="shared" si="8"/>
        <v>0</v>
      </c>
      <c r="H132" s="565"/>
    </row>
    <row r="133" spans="2:8" s="136" customFormat="1" x14ac:dyDescent="0.2">
      <c r="B133" s="135"/>
      <c r="C133" s="1811" t="s">
        <v>242</v>
      </c>
      <c r="D133" s="239" t="s">
        <v>149</v>
      </c>
      <c r="E133" s="240">
        <v>4</v>
      </c>
      <c r="F133" s="273">
        <v>0</v>
      </c>
      <c r="G133" s="274">
        <f t="shared" si="8"/>
        <v>0</v>
      </c>
      <c r="H133" s="565"/>
    </row>
    <row r="134" spans="2:8" s="136" customFormat="1" x14ac:dyDescent="0.2">
      <c r="B134" s="135"/>
      <c r="C134" s="1811" t="s">
        <v>197</v>
      </c>
      <c r="D134" s="239" t="s">
        <v>149</v>
      </c>
      <c r="E134" s="240">
        <v>2</v>
      </c>
      <c r="F134" s="273">
        <v>0</v>
      </c>
      <c r="G134" s="274">
        <f t="shared" si="8"/>
        <v>0</v>
      </c>
      <c r="H134" s="565"/>
    </row>
    <row r="135" spans="2:8" s="136" customFormat="1" x14ac:dyDescent="0.2">
      <c r="B135" s="135"/>
      <c r="C135" s="1812" t="s">
        <v>198</v>
      </c>
      <c r="D135" s="239" t="s">
        <v>149</v>
      </c>
      <c r="E135" s="240">
        <v>2</v>
      </c>
      <c r="F135" s="273">
        <v>0</v>
      </c>
      <c r="G135" s="274">
        <f t="shared" si="8"/>
        <v>0</v>
      </c>
      <c r="H135" s="565"/>
    </row>
    <row r="136" spans="2:8" s="136" customFormat="1" x14ac:dyDescent="0.2">
      <c r="B136" s="292" t="s">
        <v>199</v>
      </c>
      <c r="C136" s="247" t="s">
        <v>200</v>
      </c>
      <c r="D136" s="202"/>
      <c r="E136" s="248"/>
      <c r="F136" s="249"/>
      <c r="G136" s="205"/>
      <c r="H136" s="565"/>
    </row>
    <row r="137" spans="2:8" s="136" customFormat="1" x14ac:dyDescent="0.2">
      <c r="B137" s="292"/>
      <c r="C137" s="247" t="s">
        <v>1769</v>
      </c>
      <c r="D137" s="202"/>
      <c r="E137" s="248"/>
      <c r="F137" s="249">
        <v>0</v>
      </c>
      <c r="G137" s="205"/>
      <c r="H137" s="565"/>
    </row>
    <row r="138" spans="2:8" s="136" customFormat="1" ht="25.5" customHeight="1" x14ac:dyDescent="0.2">
      <c r="B138" s="135"/>
      <c r="C138" s="250" t="s">
        <v>202</v>
      </c>
      <c r="D138" s="202" t="s">
        <v>149</v>
      </c>
      <c r="E138" s="248">
        <v>2</v>
      </c>
      <c r="F138" s="275">
        <v>0</v>
      </c>
      <c r="G138" s="276">
        <f t="shared" ref="G138:G142" si="9">E138*F138</f>
        <v>0</v>
      </c>
      <c r="H138" s="565"/>
    </row>
    <row r="139" spans="2:8" s="136" customFormat="1" x14ac:dyDescent="0.2">
      <c r="B139" s="135"/>
      <c r="C139" s="1813" t="s">
        <v>1723</v>
      </c>
      <c r="D139" s="202" t="s">
        <v>149</v>
      </c>
      <c r="E139" s="248">
        <v>4</v>
      </c>
      <c r="F139" s="275">
        <v>0</v>
      </c>
      <c r="G139" s="276">
        <f t="shared" si="9"/>
        <v>0</v>
      </c>
      <c r="H139" s="565"/>
    </row>
    <row r="140" spans="2:8" s="136" customFormat="1" x14ac:dyDescent="0.2">
      <c r="B140" s="135"/>
      <c r="C140" s="1813" t="s">
        <v>1770</v>
      </c>
      <c r="D140" s="202" t="s">
        <v>149</v>
      </c>
      <c r="E140" s="248">
        <v>4</v>
      </c>
      <c r="F140" s="275">
        <v>0</v>
      </c>
      <c r="G140" s="276">
        <f t="shared" si="9"/>
        <v>0</v>
      </c>
      <c r="H140" s="565"/>
    </row>
    <row r="141" spans="2:8" s="136" customFormat="1" x14ac:dyDescent="0.2">
      <c r="B141" s="135"/>
      <c r="C141" s="1814" t="s">
        <v>203</v>
      </c>
      <c r="D141" s="202" t="s">
        <v>149</v>
      </c>
      <c r="E141" s="248">
        <v>2</v>
      </c>
      <c r="F141" s="275">
        <v>0</v>
      </c>
      <c r="G141" s="276">
        <f t="shared" si="9"/>
        <v>0</v>
      </c>
      <c r="H141" s="565"/>
    </row>
    <row r="142" spans="2:8" s="136" customFormat="1" x14ac:dyDescent="0.2">
      <c r="B142" s="135"/>
      <c r="C142" s="1815" t="s">
        <v>198</v>
      </c>
      <c r="D142" s="202" t="s">
        <v>149</v>
      </c>
      <c r="E142" s="248">
        <v>2</v>
      </c>
      <c r="F142" s="275">
        <v>0</v>
      </c>
      <c r="G142" s="276">
        <f t="shared" si="9"/>
        <v>0</v>
      </c>
      <c r="H142" s="565"/>
    </row>
    <row r="143" spans="2:8" s="136" customFormat="1" x14ac:dyDescent="0.2">
      <c r="B143" s="292" t="s">
        <v>204</v>
      </c>
      <c r="C143" s="253" t="s">
        <v>205</v>
      </c>
      <c r="D143" s="254"/>
      <c r="E143" s="255"/>
      <c r="F143" s="256"/>
      <c r="G143" s="257"/>
      <c r="H143" s="565"/>
    </row>
    <row r="144" spans="2:8" s="136" customFormat="1" x14ac:dyDescent="0.2">
      <c r="B144" s="135"/>
      <c r="C144" s="253" t="s">
        <v>206</v>
      </c>
      <c r="D144" s="254"/>
      <c r="E144" s="255"/>
      <c r="F144" s="256">
        <v>0</v>
      </c>
      <c r="G144" s="257"/>
      <c r="H144" s="565"/>
    </row>
    <row r="145" spans="2:8" s="136" customFormat="1" x14ac:dyDescent="0.2">
      <c r="B145" s="135"/>
      <c r="C145" s="258" t="s">
        <v>207</v>
      </c>
      <c r="D145" s="254" t="s">
        <v>149</v>
      </c>
      <c r="E145" s="255">
        <v>1</v>
      </c>
      <c r="F145" s="277">
        <v>0</v>
      </c>
      <c r="G145" s="278">
        <f t="shared" ref="G145:G160" si="10">E145*F145</f>
        <v>0</v>
      </c>
      <c r="H145" s="565"/>
    </row>
    <row r="146" spans="2:8" s="136" customFormat="1" x14ac:dyDescent="0.2">
      <c r="B146" s="135"/>
      <c r="C146" s="258" t="s">
        <v>208</v>
      </c>
      <c r="D146" s="254" t="s">
        <v>149</v>
      </c>
      <c r="E146" s="255">
        <v>2</v>
      </c>
      <c r="F146" s="277">
        <v>0</v>
      </c>
      <c r="G146" s="278">
        <f t="shared" si="10"/>
        <v>0</v>
      </c>
      <c r="H146" s="565"/>
    </row>
    <row r="147" spans="2:8" s="136" customFormat="1" x14ac:dyDescent="0.2">
      <c r="B147" s="135"/>
      <c r="C147" s="259" t="s">
        <v>209</v>
      </c>
      <c r="D147" s="254" t="s">
        <v>149</v>
      </c>
      <c r="E147" s="255">
        <v>1</v>
      </c>
      <c r="F147" s="277">
        <v>0</v>
      </c>
      <c r="G147" s="278">
        <f t="shared" si="10"/>
        <v>0</v>
      </c>
      <c r="H147" s="565"/>
    </row>
    <row r="148" spans="2:8" s="136" customFormat="1" x14ac:dyDescent="0.2">
      <c r="B148" s="135"/>
      <c r="C148" s="259" t="s">
        <v>210</v>
      </c>
      <c r="D148" s="254" t="s">
        <v>149</v>
      </c>
      <c r="E148" s="255">
        <v>1</v>
      </c>
      <c r="F148" s="277">
        <v>0</v>
      </c>
      <c r="G148" s="278">
        <f t="shared" si="10"/>
        <v>0</v>
      </c>
      <c r="H148" s="565"/>
    </row>
    <row r="149" spans="2:8" s="136" customFormat="1" x14ac:dyDescent="0.2">
      <c r="B149" s="135"/>
      <c r="C149" s="259" t="s">
        <v>211</v>
      </c>
      <c r="D149" s="254" t="s">
        <v>149</v>
      </c>
      <c r="E149" s="255">
        <v>1</v>
      </c>
      <c r="F149" s="277">
        <v>0</v>
      </c>
      <c r="G149" s="278">
        <f t="shared" si="10"/>
        <v>0</v>
      </c>
      <c r="H149" s="565"/>
    </row>
    <row r="150" spans="2:8" s="136" customFormat="1" x14ac:dyDescent="0.2">
      <c r="B150" s="135"/>
      <c r="C150" s="259" t="s">
        <v>212</v>
      </c>
      <c r="D150" s="254" t="s">
        <v>149</v>
      </c>
      <c r="E150" s="255">
        <v>1</v>
      </c>
      <c r="F150" s="277">
        <v>0</v>
      </c>
      <c r="G150" s="278">
        <f t="shared" si="10"/>
        <v>0</v>
      </c>
      <c r="H150" s="565"/>
    </row>
    <row r="151" spans="2:8" s="136" customFormat="1" x14ac:dyDescent="0.2">
      <c r="B151" s="135"/>
      <c r="C151" s="259" t="s">
        <v>213</v>
      </c>
      <c r="D151" s="254" t="s">
        <v>149</v>
      </c>
      <c r="E151" s="255">
        <v>1</v>
      </c>
      <c r="F151" s="277">
        <v>0</v>
      </c>
      <c r="G151" s="278">
        <f t="shared" si="10"/>
        <v>0</v>
      </c>
      <c r="H151" s="565"/>
    </row>
    <row r="152" spans="2:8" s="136" customFormat="1" x14ac:dyDescent="0.2">
      <c r="B152" s="135"/>
      <c r="C152" s="259" t="s">
        <v>214</v>
      </c>
      <c r="D152" s="254" t="s">
        <v>149</v>
      </c>
      <c r="E152" s="255">
        <v>1</v>
      </c>
      <c r="F152" s="277">
        <v>0</v>
      </c>
      <c r="G152" s="278">
        <f t="shared" si="10"/>
        <v>0</v>
      </c>
      <c r="H152" s="565"/>
    </row>
    <row r="153" spans="2:8" s="136" customFormat="1" x14ac:dyDescent="0.2">
      <c r="B153" s="135"/>
      <c r="C153" s="259" t="s">
        <v>215</v>
      </c>
      <c r="D153" s="254" t="s">
        <v>149</v>
      </c>
      <c r="E153" s="255">
        <v>1</v>
      </c>
      <c r="F153" s="277">
        <v>0</v>
      </c>
      <c r="G153" s="278">
        <f t="shared" si="10"/>
        <v>0</v>
      </c>
      <c r="H153" s="565"/>
    </row>
    <row r="154" spans="2:8" s="136" customFormat="1" x14ac:dyDescent="0.2">
      <c r="B154" s="135"/>
      <c r="C154" s="1816" t="s">
        <v>216</v>
      </c>
      <c r="D154" s="254" t="s">
        <v>149</v>
      </c>
      <c r="E154" s="255">
        <v>1</v>
      </c>
      <c r="F154" s="277">
        <v>0</v>
      </c>
      <c r="G154" s="278">
        <f t="shared" si="10"/>
        <v>0</v>
      </c>
      <c r="H154" s="565"/>
    </row>
    <row r="155" spans="2:8" s="136" customFormat="1" x14ac:dyDescent="0.2">
      <c r="B155" s="135"/>
      <c r="C155" s="1816" t="s">
        <v>217</v>
      </c>
      <c r="D155" s="254" t="s">
        <v>149</v>
      </c>
      <c r="E155" s="255">
        <v>1</v>
      </c>
      <c r="F155" s="277">
        <v>0</v>
      </c>
      <c r="G155" s="278">
        <f t="shared" si="10"/>
        <v>0</v>
      </c>
      <c r="H155" s="565"/>
    </row>
    <row r="156" spans="2:8" s="136" customFormat="1" x14ac:dyDescent="0.2">
      <c r="B156" s="135"/>
      <c r="C156" s="1819" t="s">
        <v>195</v>
      </c>
      <c r="D156" s="254" t="s">
        <v>149</v>
      </c>
      <c r="E156" s="255">
        <v>2</v>
      </c>
      <c r="F156" s="277">
        <v>0</v>
      </c>
      <c r="G156" s="278">
        <f t="shared" si="10"/>
        <v>0</v>
      </c>
      <c r="H156" s="565"/>
    </row>
    <row r="157" spans="2:8" s="136" customFormat="1" x14ac:dyDescent="0.2">
      <c r="B157" s="135"/>
      <c r="C157" s="1819" t="s">
        <v>1723</v>
      </c>
      <c r="D157" s="254" t="s">
        <v>149</v>
      </c>
      <c r="E157" s="255">
        <v>2</v>
      </c>
      <c r="F157" s="277">
        <v>0</v>
      </c>
      <c r="G157" s="278">
        <f t="shared" si="10"/>
        <v>0</v>
      </c>
      <c r="H157" s="565"/>
    </row>
    <row r="158" spans="2:8" s="136" customFormat="1" x14ac:dyDescent="0.2">
      <c r="B158" s="135"/>
      <c r="C158" s="1819" t="s">
        <v>219</v>
      </c>
      <c r="D158" s="254" t="s">
        <v>149</v>
      </c>
      <c r="E158" s="255">
        <v>1</v>
      </c>
      <c r="F158" s="277">
        <v>0</v>
      </c>
      <c r="G158" s="278">
        <f t="shared" si="10"/>
        <v>0</v>
      </c>
      <c r="H158" s="565"/>
    </row>
    <row r="159" spans="2:8" s="136" customFormat="1" x14ac:dyDescent="0.2">
      <c r="B159" s="135"/>
      <c r="C159" s="1816" t="s">
        <v>227</v>
      </c>
      <c r="D159" s="254" t="s">
        <v>149</v>
      </c>
      <c r="E159" s="255">
        <v>3</v>
      </c>
      <c r="F159" s="277">
        <v>0</v>
      </c>
      <c r="G159" s="278">
        <f t="shared" si="10"/>
        <v>0</v>
      </c>
      <c r="H159" s="565"/>
    </row>
    <row r="160" spans="2:8" s="136" customFormat="1" x14ac:dyDescent="0.2">
      <c r="B160" s="135"/>
      <c r="C160" s="1817" t="s">
        <v>198</v>
      </c>
      <c r="D160" s="254" t="s">
        <v>149</v>
      </c>
      <c r="E160" s="255">
        <v>1</v>
      </c>
      <c r="F160" s="277">
        <v>0</v>
      </c>
      <c r="G160" s="278">
        <f t="shared" si="10"/>
        <v>0</v>
      </c>
      <c r="H160" s="565"/>
    </row>
    <row r="161" spans="2:8" s="136" customFormat="1" x14ac:dyDescent="0.2">
      <c r="B161" s="292" t="s">
        <v>220</v>
      </c>
      <c r="C161" s="238" t="s">
        <v>221</v>
      </c>
      <c r="D161" s="239"/>
      <c r="E161" s="240"/>
      <c r="F161" s="241"/>
      <c r="G161" s="242"/>
      <c r="H161" s="565"/>
    </row>
    <row r="162" spans="2:8" s="136" customFormat="1" x14ac:dyDescent="0.2">
      <c r="B162" s="135"/>
      <c r="C162" s="238" t="s">
        <v>222</v>
      </c>
      <c r="D162" s="239"/>
      <c r="E162" s="240"/>
      <c r="F162" s="241">
        <v>0</v>
      </c>
      <c r="G162" s="242"/>
      <c r="H162" s="565"/>
    </row>
    <row r="163" spans="2:8" s="136" customFormat="1" x14ac:dyDescent="0.2">
      <c r="B163" s="135"/>
      <c r="C163" s="243" t="s">
        <v>207</v>
      </c>
      <c r="D163" s="239" t="s">
        <v>149</v>
      </c>
      <c r="E163" s="240">
        <v>4</v>
      </c>
      <c r="F163" s="273">
        <v>0</v>
      </c>
      <c r="G163" s="274">
        <f t="shared" ref="G163:G174" si="11">E163*F163</f>
        <v>0</v>
      </c>
      <c r="H163" s="565"/>
    </row>
    <row r="164" spans="2:8" s="136" customFormat="1" ht="24" x14ac:dyDescent="0.2">
      <c r="B164" s="135"/>
      <c r="C164" s="244" t="s">
        <v>223</v>
      </c>
      <c r="D164" s="239" t="s">
        <v>149</v>
      </c>
      <c r="E164" s="240">
        <v>4</v>
      </c>
      <c r="F164" s="273">
        <v>0</v>
      </c>
      <c r="G164" s="274">
        <f t="shared" si="11"/>
        <v>0</v>
      </c>
      <c r="H164" s="565"/>
    </row>
    <row r="165" spans="2:8" s="136" customFormat="1" x14ac:dyDescent="0.2">
      <c r="B165" s="135"/>
      <c r="C165" s="244" t="s">
        <v>213</v>
      </c>
      <c r="D165" s="239" t="s">
        <v>149</v>
      </c>
      <c r="E165" s="240">
        <v>4</v>
      </c>
      <c r="F165" s="273">
        <v>0</v>
      </c>
      <c r="G165" s="274">
        <f t="shared" si="11"/>
        <v>0</v>
      </c>
      <c r="H165" s="565"/>
    </row>
    <row r="166" spans="2:8" s="136" customFormat="1" x14ac:dyDescent="0.2">
      <c r="B166" s="135"/>
      <c r="C166" s="244" t="s">
        <v>224</v>
      </c>
      <c r="D166" s="239" t="s">
        <v>149</v>
      </c>
      <c r="E166" s="240">
        <v>4</v>
      </c>
      <c r="F166" s="273">
        <v>0</v>
      </c>
      <c r="G166" s="274">
        <f t="shared" si="11"/>
        <v>0</v>
      </c>
      <c r="H166" s="565"/>
    </row>
    <row r="167" spans="2:8" s="136" customFormat="1" x14ac:dyDescent="0.2">
      <c r="B167" s="135"/>
      <c r="C167" s="244" t="s">
        <v>225</v>
      </c>
      <c r="D167" s="239" t="s">
        <v>149</v>
      </c>
      <c r="E167" s="240">
        <v>4</v>
      </c>
      <c r="F167" s="273">
        <v>0</v>
      </c>
      <c r="G167" s="274">
        <f t="shared" si="11"/>
        <v>0</v>
      </c>
      <c r="H167" s="565"/>
    </row>
    <row r="168" spans="2:8" s="136" customFormat="1" x14ac:dyDescent="0.2">
      <c r="B168" s="135"/>
      <c r="C168" s="1811" t="s">
        <v>226</v>
      </c>
      <c r="D168" s="239" t="s">
        <v>149</v>
      </c>
      <c r="E168" s="240">
        <v>4</v>
      </c>
      <c r="F168" s="273">
        <v>0</v>
      </c>
      <c r="G168" s="274">
        <f t="shared" si="11"/>
        <v>0</v>
      </c>
      <c r="H168" s="565"/>
    </row>
    <row r="169" spans="2:8" s="136" customFormat="1" x14ac:dyDescent="0.2">
      <c r="B169" s="135"/>
      <c r="C169" s="1811" t="s">
        <v>217</v>
      </c>
      <c r="D169" s="239" t="s">
        <v>149</v>
      </c>
      <c r="E169" s="240">
        <v>4</v>
      </c>
      <c r="F169" s="273">
        <v>0</v>
      </c>
      <c r="G169" s="274">
        <f t="shared" si="11"/>
        <v>0</v>
      </c>
      <c r="H169" s="565"/>
    </row>
    <row r="170" spans="2:8" s="136" customFormat="1" x14ac:dyDescent="0.2">
      <c r="B170" s="135"/>
      <c r="C170" s="1828" t="s">
        <v>195</v>
      </c>
      <c r="D170" s="239" t="s">
        <v>149</v>
      </c>
      <c r="E170" s="240">
        <v>8</v>
      </c>
      <c r="F170" s="273">
        <v>0</v>
      </c>
      <c r="G170" s="274">
        <f t="shared" si="11"/>
        <v>0</v>
      </c>
      <c r="H170" s="565"/>
    </row>
    <row r="171" spans="2:8" s="136" customFormat="1" x14ac:dyDescent="0.2">
      <c r="B171" s="135"/>
      <c r="C171" s="1828" t="s">
        <v>1723</v>
      </c>
      <c r="D171" s="239" t="s">
        <v>149</v>
      </c>
      <c r="E171" s="240">
        <v>8</v>
      </c>
      <c r="F171" s="273">
        <v>0</v>
      </c>
      <c r="G171" s="274">
        <f t="shared" si="11"/>
        <v>0</v>
      </c>
      <c r="H171" s="565"/>
    </row>
    <row r="172" spans="2:8" s="136" customFormat="1" x14ac:dyDescent="0.2">
      <c r="B172" s="135"/>
      <c r="C172" s="1811" t="s">
        <v>227</v>
      </c>
      <c r="D172" s="239" t="s">
        <v>149</v>
      </c>
      <c r="E172" s="240">
        <v>4</v>
      </c>
      <c r="F172" s="273">
        <v>0</v>
      </c>
      <c r="G172" s="274">
        <f t="shared" si="11"/>
        <v>0</v>
      </c>
      <c r="H172" s="565"/>
    </row>
    <row r="173" spans="2:8" s="136" customFormat="1" x14ac:dyDescent="0.2">
      <c r="B173" s="135"/>
      <c r="C173" s="1812" t="s">
        <v>198</v>
      </c>
      <c r="D173" s="239" t="s">
        <v>149</v>
      </c>
      <c r="E173" s="240">
        <v>4</v>
      </c>
      <c r="F173" s="273">
        <v>0</v>
      </c>
      <c r="G173" s="274">
        <f t="shared" si="11"/>
        <v>0</v>
      </c>
      <c r="H173" s="565"/>
    </row>
    <row r="174" spans="2:8" s="136" customFormat="1" ht="24" x14ac:dyDescent="0.2">
      <c r="B174" s="309" t="s">
        <v>228</v>
      </c>
      <c r="C174" s="238" t="s">
        <v>229</v>
      </c>
      <c r="D174" s="239" t="s">
        <v>149</v>
      </c>
      <c r="E174" s="240">
        <v>4</v>
      </c>
      <c r="F174" s="273">
        <v>0</v>
      </c>
      <c r="G174" s="274">
        <f t="shared" si="11"/>
        <v>0</v>
      </c>
      <c r="H174" s="565"/>
    </row>
    <row r="175" spans="2:8" s="136" customFormat="1" x14ac:dyDescent="0.2">
      <c r="B175" s="292" t="s">
        <v>330</v>
      </c>
      <c r="C175" s="253" t="s">
        <v>231</v>
      </c>
      <c r="D175" s="254"/>
      <c r="E175" s="255"/>
      <c r="F175" s="256"/>
      <c r="G175" s="257"/>
      <c r="H175" s="565"/>
    </row>
    <row r="176" spans="2:8" s="136" customFormat="1" x14ac:dyDescent="0.2">
      <c r="B176" s="135"/>
      <c r="C176" s="253" t="s">
        <v>1724</v>
      </c>
      <c r="D176" s="254"/>
      <c r="E176" s="255"/>
      <c r="F176" s="256">
        <v>0</v>
      </c>
      <c r="G176" s="257"/>
      <c r="H176" s="565"/>
    </row>
    <row r="177" spans="2:8" s="136" customFormat="1" ht="24" x14ac:dyDescent="0.2">
      <c r="B177" s="135"/>
      <c r="C177" s="258" t="s">
        <v>1097</v>
      </c>
      <c r="D177" s="254" t="s">
        <v>149</v>
      </c>
      <c r="E177" s="255">
        <v>1</v>
      </c>
      <c r="F177" s="277">
        <v>0</v>
      </c>
      <c r="G177" s="278">
        <f t="shared" ref="G177:G182" si="12">E177*F177</f>
        <v>0</v>
      </c>
      <c r="H177" s="565"/>
    </row>
    <row r="178" spans="2:8" s="136" customFormat="1" x14ac:dyDescent="0.2">
      <c r="B178" s="135"/>
      <c r="C178" s="1816" t="s">
        <v>354</v>
      </c>
      <c r="D178" s="254" t="s">
        <v>149</v>
      </c>
      <c r="E178" s="255">
        <v>2</v>
      </c>
      <c r="F178" s="277">
        <v>0</v>
      </c>
      <c r="G178" s="278">
        <f t="shared" si="12"/>
        <v>0</v>
      </c>
      <c r="H178" s="565"/>
    </row>
    <row r="179" spans="2:8" s="136" customFormat="1" x14ac:dyDescent="0.2">
      <c r="B179" s="135"/>
      <c r="C179" s="1816" t="s">
        <v>195</v>
      </c>
      <c r="D179" s="254" t="s">
        <v>149</v>
      </c>
      <c r="E179" s="255">
        <v>1</v>
      </c>
      <c r="F179" s="277">
        <v>0</v>
      </c>
      <c r="G179" s="278">
        <f t="shared" si="12"/>
        <v>0</v>
      </c>
      <c r="H179" s="565"/>
    </row>
    <row r="180" spans="2:8" x14ac:dyDescent="0.2">
      <c r="B180" s="135"/>
      <c r="C180" s="1816" t="s">
        <v>218</v>
      </c>
      <c r="D180" s="254" t="s">
        <v>149</v>
      </c>
      <c r="E180" s="255">
        <v>1</v>
      </c>
      <c r="F180" s="277">
        <v>0</v>
      </c>
      <c r="G180" s="278">
        <f t="shared" si="12"/>
        <v>0</v>
      </c>
    </row>
    <row r="181" spans="2:8" s="136" customFormat="1" x14ac:dyDescent="0.2">
      <c r="B181" s="135"/>
      <c r="C181" s="1816" t="s">
        <v>227</v>
      </c>
      <c r="D181" s="254" t="s">
        <v>149</v>
      </c>
      <c r="E181" s="255">
        <v>1</v>
      </c>
      <c r="F181" s="277">
        <v>0</v>
      </c>
      <c r="G181" s="278">
        <f t="shared" si="12"/>
        <v>0</v>
      </c>
      <c r="H181" s="565"/>
    </row>
    <row r="182" spans="2:8" s="136" customFormat="1" x14ac:dyDescent="0.2">
      <c r="B182" s="135"/>
      <c r="C182" s="1817" t="s">
        <v>198</v>
      </c>
      <c r="D182" s="254" t="s">
        <v>149</v>
      </c>
      <c r="E182" s="255">
        <v>1</v>
      </c>
      <c r="F182" s="277">
        <v>0</v>
      </c>
      <c r="G182" s="278">
        <f t="shared" si="12"/>
        <v>0</v>
      </c>
      <c r="H182" s="565"/>
    </row>
    <row r="183" spans="2:8" s="136" customFormat="1" x14ac:dyDescent="0.2">
      <c r="B183" s="135"/>
      <c r="C183" s="253" t="s">
        <v>1747</v>
      </c>
      <c r="D183" s="254"/>
      <c r="E183" s="255"/>
      <c r="F183" s="256">
        <v>0</v>
      </c>
      <c r="G183" s="257"/>
      <c r="H183" s="565"/>
    </row>
    <row r="184" spans="2:8" s="136" customFormat="1" ht="24" x14ac:dyDescent="0.2">
      <c r="B184" s="135"/>
      <c r="C184" s="258" t="s">
        <v>1266</v>
      </c>
      <c r="D184" s="254" t="s">
        <v>149</v>
      </c>
      <c r="E184" s="255">
        <v>1</v>
      </c>
      <c r="F184" s="277">
        <v>0</v>
      </c>
      <c r="G184" s="278">
        <f t="shared" ref="G184:G191" si="13">E184*F184</f>
        <v>0</v>
      </c>
      <c r="H184" s="565"/>
    </row>
    <row r="185" spans="2:8" s="136" customFormat="1" x14ac:dyDescent="0.2">
      <c r="B185" s="135"/>
      <c r="C185" s="1816" t="s">
        <v>354</v>
      </c>
      <c r="D185" s="254" t="s">
        <v>149</v>
      </c>
      <c r="E185" s="255">
        <v>2</v>
      </c>
      <c r="F185" s="277">
        <v>0</v>
      </c>
      <c r="G185" s="278">
        <f t="shared" si="13"/>
        <v>0</v>
      </c>
      <c r="H185" s="565"/>
    </row>
    <row r="186" spans="2:8" s="136" customFormat="1" x14ac:dyDescent="0.2">
      <c r="B186" s="135"/>
      <c r="C186" s="1816" t="s">
        <v>239</v>
      </c>
      <c r="D186" s="254" t="s">
        <v>149</v>
      </c>
      <c r="E186" s="255">
        <v>1</v>
      </c>
      <c r="F186" s="277">
        <v>0</v>
      </c>
      <c r="G186" s="278">
        <f t="shared" si="13"/>
        <v>0</v>
      </c>
      <c r="H186" s="565"/>
    </row>
    <row r="187" spans="2:8" s="136" customFormat="1" x14ac:dyDescent="0.2">
      <c r="B187" s="135"/>
      <c r="C187" s="1816" t="s">
        <v>240</v>
      </c>
      <c r="D187" s="254" t="s">
        <v>149</v>
      </c>
      <c r="E187" s="255">
        <v>1</v>
      </c>
      <c r="F187" s="277">
        <v>0</v>
      </c>
      <c r="G187" s="278">
        <f t="shared" si="13"/>
        <v>0</v>
      </c>
      <c r="H187" s="565"/>
    </row>
    <row r="188" spans="2:8" s="136" customFormat="1" x14ac:dyDescent="0.2">
      <c r="B188" s="135"/>
      <c r="C188" s="1816" t="s">
        <v>241</v>
      </c>
      <c r="D188" s="254" t="s">
        <v>149</v>
      </c>
      <c r="E188" s="255">
        <v>1</v>
      </c>
      <c r="F188" s="277">
        <v>0</v>
      </c>
      <c r="G188" s="278">
        <f t="shared" si="13"/>
        <v>0</v>
      </c>
      <c r="H188" s="565"/>
    </row>
    <row r="189" spans="2:8" s="136" customFormat="1" x14ac:dyDescent="0.2">
      <c r="B189" s="135"/>
      <c r="C189" s="1816" t="s">
        <v>242</v>
      </c>
      <c r="D189" s="254" t="s">
        <v>149</v>
      </c>
      <c r="E189" s="255">
        <v>1</v>
      </c>
      <c r="F189" s="277">
        <v>0</v>
      </c>
      <c r="G189" s="278">
        <f t="shared" si="13"/>
        <v>0</v>
      </c>
      <c r="H189" s="565"/>
    </row>
    <row r="190" spans="2:8" s="136" customFormat="1" x14ac:dyDescent="0.2">
      <c r="B190" s="135"/>
      <c r="C190" s="1816" t="s">
        <v>227</v>
      </c>
      <c r="D190" s="254" t="s">
        <v>149</v>
      </c>
      <c r="E190" s="255">
        <v>1</v>
      </c>
      <c r="F190" s="277">
        <v>0</v>
      </c>
      <c r="G190" s="278">
        <f t="shared" si="13"/>
        <v>0</v>
      </c>
      <c r="H190" s="565"/>
    </row>
    <row r="191" spans="2:8" s="136" customFormat="1" x14ac:dyDescent="0.2">
      <c r="B191" s="135"/>
      <c r="C191" s="1817" t="s">
        <v>198</v>
      </c>
      <c r="D191" s="254" t="s">
        <v>149</v>
      </c>
      <c r="E191" s="255">
        <v>1</v>
      </c>
      <c r="F191" s="277">
        <v>0</v>
      </c>
      <c r="G191" s="278">
        <f t="shared" si="13"/>
        <v>0</v>
      </c>
      <c r="H191" s="565"/>
    </row>
    <row r="192" spans="2:8" s="136" customFormat="1" x14ac:dyDescent="0.2">
      <c r="B192" s="135"/>
      <c r="C192" s="253" t="s">
        <v>232</v>
      </c>
      <c r="D192" s="254"/>
      <c r="E192" s="255"/>
      <c r="F192" s="256">
        <v>0</v>
      </c>
      <c r="G192" s="257"/>
      <c r="H192" s="565"/>
    </row>
    <row r="193" spans="2:8" s="136" customFormat="1" ht="24" x14ac:dyDescent="0.2">
      <c r="B193" s="135"/>
      <c r="C193" s="258" t="s">
        <v>233</v>
      </c>
      <c r="D193" s="254" t="s">
        <v>149</v>
      </c>
      <c r="E193" s="255">
        <v>1</v>
      </c>
      <c r="F193" s="277">
        <v>0</v>
      </c>
      <c r="G193" s="278">
        <f t="shared" ref="G193:G197" si="14">E193*F193</f>
        <v>0</v>
      </c>
      <c r="H193" s="565"/>
    </row>
    <row r="194" spans="2:8" s="136" customFormat="1" x14ac:dyDescent="0.2">
      <c r="B194" s="135"/>
      <c r="C194" s="1816" t="s">
        <v>195</v>
      </c>
      <c r="D194" s="254" t="s">
        <v>149</v>
      </c>
      <c r="E194" s="255">
        <v>3</v>
      </c>
      <c r="F194" s="277">
        <v>0</v>
      </c>
      <c r="G194" s="278">
        <f t="shared" si="14"/>
        <v>0</v>
      </c>
      <c r="H194" s="565"/>
    </row>
    <row r="195" spans="2:8" s="136" customFormat="1" x14ac:dyDescent="0.2">
      <c r="B195" s="135"/>
      <c r="C195" s="1816" t="s">
        <v>218</v>
      </c>
      <c r="D195" s="254" t="s">
        <v>149</v>
      </c>
      <c r="E195" s="255">
        <v>3</v>
      </c>
      <c r="F195" s="277">
        <v>0</v>
      </c>
      <c r="G195" s="278">
        <f t="shared" si="14"/>
        <v>0</v>
      </c>
      <c r="H195" s="565"/>
    </row>
    <row r="196" spans="2:8" s="136" customFormat="1" x14ac:dyDescent="0.2">
      <c r="B196" s="135"/>
      <c r="C196" s="1816" t="s">
        <v>227</v>
      </c>
      <c r="D196" s="254" t="s">
        <v>149</v>
      </c>
      <c r="E196" s="255">
        <v>1</v>
      </c>
      <c r="F196" s="277">
        <v>0</v>
      </c>
      <c r="G196" s="278">
        <f t="shared" si="14"/>
        <v>0</v>
      </c>
      <c r="H196" s="565"/>
    </row>
    <row r="197" spans="2:8" s="136" customFormat="1" x14ac:dyDescent="0.2">
      <c r="B197" s="135"/>
      <c r="C197" s="1817" t="s">
        <v>198</v>
      </c>
      <c r="D197" s="254" t="s">
        <v>149</v>
      </c>
      <c r="E197" s="255">
        <v>1</v>
      </c>
      <c r="F197" s="277">
        <v>0</v>
      </c>
      <c r="G197" s="278">
        <f t="shared" si="14"/>
        <v>0</v>
      </c>
      <c r="H197" s="565"/>
    </row>
    <row r="198" spans="2:8" s="136" customFormat="1" x14ac:dyDescent="0.2">
      <c r="B198" s="135"/>
      <c r="C198" s="253" t="s">
        <v>237</v>
      </c>
      <c r="D198" s="254"/>
      <c r="E198" s="255"/>
      <c r="F198" s="256">
        <v>0</v>
      </c>
      <c r="G198" s="257"/>
      <c r="H198" s="565"/>
    </row>
    <row r="199" spans="2:8" s="136" customFormat="1" ht="24" x14ac:dyDescent="0.2">
      <c r="B199" s="135"/>
      <c r="C199" s="258" t="s">
        <v>238</v>
      </c>
      <c r="D199" s="254" t="s">
        <v>149</v>
      </c>
      <c r="E199" s="255">
        <v>3</v>
      </c>
      <c r="F199" s="277">
        <v>0</v>
      </c>
      <c r="G199" s="278">
        <f t="shared" ref="G199:G207" si="15">E199*F199</f>
        <v>0</v>
      </c>
      <c r="H199" s="565"/>
    </row>
    <row r="200" spans="2:8" s="136" customFormat="1" x14ac:dyDescent="0.2">
      <c r="B200" s="135"/>
      <c r="C200" s="1816" t="s">
        <v>195</v>
      </c>
      <c r="D200" s="254" t="s">
        <v>149</v>
      </c>
      <c r="E200" s="255">
        <v>6</v>
      </c>
      <c r="F200" s="277">
        <v>0</v>
      </c>
      <c r="G200" s="278">
        <f t="shared" si="15"/>
        <v>0</v>
      </c>
      <c r="H200" s="565"/>
    </row>
    <row r="201" spans="2:8" s="136" customFormat="1" x14ac:dyDescent="0.2">
      <c r="B201" s="135"/>
      <c r="C201" s="1816" t="s">
        <v>239</v>
      </c>
      <c r="D201" s="254" t="s">
        <v>149</v>
      </c>
      <c r="E201" s="255">
        <v>3</v>
      </c>
      <c r="F201" s="277">
        <v>0</v>
      </c>
      <c r="G201" s="278">
        <f t="shared" si="15"/>
        <v>0</v>
      </c>
      <c r="H201" s="565"/>
    </row>
    <row r="202" spans="2:8" s="136" customFormat="1" x14ac:dyDescent="0.2">
      <c r="B202" s="135"/>
      <c r="C202" s="1816" t="s">
        <v>218</v>
      </c>
      <c r="D202" s="254" t="s">
        <v>149</v>
      </c>
      <c r="E202" s="255">
        <v>6</v>
      </c>
      <c r="F202" s="277">
        <v>0</v>
      </c>
      <c r="G202" s="278">
        <f t="shared" si="15"/>
        <v>0</v>
      </c>
      <c r="H202" s="565"/>
    </row>
    <row r="203" spans="2:8" s="136" customFormat="1" x14ac:dyDescent="0.2">
      <c r="B203" s="135"/>
      <c r="C203" s="1816" t="s">
        <v>240</v>
      </c>
      <c r="D203" s="254" t="s">
        <v>149</v>
      </c>
      <c r="E203" s="255">
        <v>3</v>
      </c>
      <c r="F203" s="277">
        <v>0</v>
      </c>
      <c r="G203" s="278">
        <f t="shared" si="15"/>
        <v>0</v>
      </c>
      <c r="H203" s="565"/>
    </row>
    <row r="204" spans="2:8" s="136" customFormat="1" x14ac:dyDescent="0.2">
      <c r="B204" s="135"/>
      <c r="C204" s="1816" t="s">
        <v>241</v>
      </c>
      <c r="D204" s="254" t="s">
        <v>149</v>
      </c>
      <c r="E204" s="255">
        <v>3</v>
      </c>
      <c r="F204" s="277">
        <v>0</v>
      </c>
      <c r="G204" s="278">
        <f t="shared" si="15"/>
        <v>0</v>
      </c>
      <c r="H204" s="565"/>
    </row>
    <row r="205" spans="2:8" s="136" customFormat="1" x14ac:dyDescent="0.2">
      <c r="B205" s="135"/>
      <c r="C205" s="1816" t="s">
        <v>242</v>
      </c>
      <c r="D205" s="254" t="s">
        <v>149</v>
      </c>
      <c r="E205" s="255">
        <v>3</v>
      </c>
      <c r="F205" s="277">
        <v>0</v>
      </c>
      <c r="G205" s="278">
        <f t="shared" si="15"/>
        <v>0</v>
      </c>
      <c r="H205" s="565"/>
    </row>
    <row r="206" spans="2:8" s="136" customFormat="1" x14ac:dyDescent="0.2">
      <c r="B206" s="135"/>
      <c r="C206" s="1816" t="s">
        <v>227</v>
      </c>
      <c r="D206" s="254" t="s">
        <v>149</v>
      </c>
      <c r="E206" s="255">
        <v>3</v>
      </c>
      <c r="F206" s="277">
        <v>0</v>
      </c>
      <c r="G206" s="278">
        <f t="shared" si="15"/>
        <v>0</v>
      </c>
      <c r="H206" s="565"/>
    </row>
    <row r="207" spans="2:8" s="136" customFormat="1" x14ac:dyDescent="0.2">
      <c r="B207" s="135"/>
      <c r="C207" s="1817" t="s">
        <v>198</v>
      </c>
      <c r="D207" s="254" t="s">
        <v>149</v>
      </c>
      <c r="E207" s="255">
        <v>3</v>
      </c>
      <c r="F207" s="277">
        <v>0</v>
      </c>
      <c r="G207" s="278">
        <f t="shared" si="15"/>
        <v>0</v>
      </c>
      <c r="H207" s="565"/>
    </row>
    <row r="208" spans="2:8" s="136" customFormat="1" x14ac:dyDescent="0.2">
      <c r="B208" s="292" t="s">
        <v>230</v>
      </c>
      <c r="C208" s="247" t="s">
        <v>244</v>
      </c>
      <c r="D208" s="202"/>
      <c r="E208" s="248"/>
      <c r="F208" s="249"/>
      <c r="G208" s="205"/>
      <c r="H208" s="565"/>
    </row>
    <row r="209" spans="2:9" x14ac:dyDescent="0.2">
      <c r="B209" s="135"/>
      <c r="C209" s="247" t="s">
        <v>1108</v>
      </c>
      <c r="D209" s="202"/>
      <c r="E209" s="248"/>
      <c r="F209" s="249">
        <v>0</v>
      </c>
      <c r="G209" s="205"/>
    </row>
    <row r="210" spans="2:9" s="136" customFormat="1" ht="36" x14ac:dyDescent="0.3">
      <c r="B210" s="135"/>
      <c r="C210" s="262" t="s">
        <v>1109</v>
      </c>
      <c r="D210" s="202" t="s">
        <v>149</v>
      </c>
      <c r="E210" s="248">
        <v>17</v>
      </c>
      <c r="F210" s="275">
        <v>0</v>
      </c>
      <c r="G210" s="276">
        <f t="shared" ref="G210:G212" si="16">E210*F210</f>
        <v>0</v>
      </c>
      <c r="H210" s="565"/>
      <c r="I210" s="1408"/>
    </row>
    <row r="211" spans="2:9" s="147" customFormat="1" ht="12.75" customHeight="1" x14ac:dyDescent="0.3">
      <c r="B211" s="135"/>
      <c r="C211" s="1813" t="s">
        <v>247</v>
      </c>
      <c r="D211" s="202" t="s">
        <v>149</v>
      </c>
      <c r="E211" s="248">
        <v>17</v>
      </c>
      <c r="F211" s="275">
        <v>0</v>
      </c>
      <c r="G211" s="276">
        <f t="shared" si="16"/>
        <v>0</v>
      </c>
      <c r="H211" s="150"/>
      <c r="I211" s="1408"/>
    </row>
    <row r="212" spans="2:9" ht="12.75" customHeight="1" x14ac:dyDescent="0.3">
      <c r="B212" s="135"/>
      <c r="C212" s="1818" t="s">
        <v>1725</v>
      </c>
      <c r="D212" s="202" t="s">
        <v>149</v>
      </c>
      <c r="E212" s="248">
        <v>17</v>
      </c>
      <c r="F212" s="275">
        <v>0</v>
      </c>
      <c r="G212" s="276">
        <f t="shared" si="16"/>
        <v>0</v>
      </c>
      <c r="I212" s="1408"/>
    </row>
    <row r="213" spans="2:9" ht="12.75" customHeight="1" x14ac:dyDescent="0.3">
      <c r="B213" s="135"/>
      <c r="C213" s="247" t="s">
        <v>249</v>
      </c>
      <c r="D213" s="202"/>
      <c r="E213" s="248"/>
      <c r="F213" s="249">
        <v>0</v>
      </c>
      <c r="G213" s="205"/>
      <c r="I213" s="1408"/>
    </row>
    <row r="214" spans="2:9" ht="36" x14ac:dyDescent="0.3">
      <c r="B214" s="135"/>
      <c r="C214" s="262" t="s">
        <v>250</v>
      </c>
      <c r="D214" s="202" t="s">
        <v>149</v>
      </c>
      <c r="E214" s="248">
        <v>17</v>
      </c>
      <c r="F214" s="275">
        <v>0</v>
      </c>
      <c r="G214" s="276">
        <f t="shared" ref="G214:G216" si="17">E214*F214</f>
        <v>0</v>
      </c>
      <c r="I214" s="1408"/>
    </row>
    <row r="215" spans="2:9" ht="12.75" customHeight="1" x14ac:dyDescent="0.3">
      <c r="B215" s="135"/>
      <c r="C215" s="1814" t="s">
        <v>247</v>
      </c>
      <c r="D215" s="202" t="s">
        <v>149</v>
      </c>
      <c r="E215" s="248">
        <v>17</v>
      </c>
      <c r="F215" s="275">
        <v>0</v>
      </c>
      <c r="G215" s="276">
        <f t="shared" si="17"/>
        <v>0</v>
      </c>
      <c r="I215" s="1408"/>
    </row>
    <row r="216" spans="2:9" ht="12.75" customHeight="1" x14ac:dyDescent="0.3">
      <c r="B216" s="135"/>
      <c r="C216" s="1815" t="s">
        <v>198</v>
      </c>
      <c r="D216" s="202" t="s">
        <v>149</v>
      </c>
      <c r="E216" s="248">
        <v>17</v>
      </c>
      <c r="F216" s="275">
        <v>0</v>
      </c>
      <c r="G216" s="276">
        <f t="shared" si="17"/>
        <v>0</v>
      </c>
      <c r="I216" s="1408"/>
    </row>
    <row r="217" spans="2:9" ht="12.75" customHeight="1" x14ac:dyDescent="0.3">
      <c r="B217" s="135"/>
      <c r="C217" s="247" t="s">
        <v>826</v>
      </c>
      <c r="D217" s="202"/>
      <c r="E217" s="248"/>
      <c r="F217" s="249">
        <v>0</v>
      </c>
      <c r="G217" s="205"/>
      <c r="I217" s="1408"/>
    </row>
    <row r="218" spans="2:9" ht="36" x14ac:dyDescent="0.3">
      <c r="B218" s="135"/>
      <c r="C218" s="262" t="s">
        <v>827</v>
      </c>
      <c r="D218" s="202" t="s">
        <v>149</v>
      </c>
      <c r="E218" s="248">
        <v>2</v>
      </c>
      <c r="F218" s="275">
        <v>0</v>
      </c>
      <c r="G218" s="276">
        <f t="shared" ref="G218:G220" si="18">E218*F218</f>
        <v>0</v>
      </c>
      <c r="I218" s="1408"/>
    </row>
    <row r="219" spans="2:9" ht="12.75" customHeight="1" x14ac:dyDescent="0.3">
      <c r="B219" s="135"/>
      <c r="C219" s="1814" t="s">
        <v>247</v>
      </c>
      <c r="D219" s="202" t="s">
        <v>149</v>
      </c>
      <c r="E219" s="248">
        <v>2</v>
      </c>
      <c r="F219" s="275">
        <v>0</v>
      </c>
      <c r="G219" s="276">
        <f t="shared" si="18"/>
        <v>0</v>
      </c>
      <c r="I219" s="1408"/>
    </row>
    <row r="220" spans="2:9" ht="12.75" customHeight="1" x14ac:dyDescent="0.3">
      <c r="B220" s="135"/>
      <c r="C220" s="1821" t="s">
        <v>248</v>
      </c>
      <c r="D220" s="202" t="s">
        <v>149</v>
      </c>
      <c r="E220" s="248">
        <v>2</v>
      </c>
      <c r="F220" s="275">
        <v>0</v>
      </c>
      <c r="G220" s="276">
        <f t="shared" si="18"/>
        <v>0</v>
      </c>
      <c r="I220" s="1408"/>
    </row>
    <row r="221" spans="2:9" ht="12.75" customHeight="1" x14ac:dyDescent="0.3">
      <c r="B221" s="135"/>
      <c r="C221" s="247" t="s">
        <v>828</v>
      </c>
      <c r="D221" s="202"/>
      <c r="E221" s="248"/>
      <c r="F221" s="249">
        <v>0</v>
      </c>
      <c r="G221" s="205"/>
      <c r="I221" s="1408"/>
    </row>
    <row r="222" spans="2:9" ht="36" x14ac:dyDescent="0.3">
      <c r="B222" s="135"/>
      <c r="C222" s="262" t="s">
        <v>829</v>
      </c>
      <c r="D222" s="202" t="s">
        <v>149</v>
      </c>
      <c r="E222" s="248">
        <v>12</v>
      </c>
      <c r="F222" s="275">
        <v>0</v>
      </c>
      <c r="G222" s="276">
        <f t="shared" ref="G222:G226" si="19">E222*F222</f>
        <v>0</v>
      </c>
      <c r="I222" s="1408"/>
    </row>
    <row r="223" spans="2:9" ht="12.75" customHeight="1" x14ac:dyDescent="0.3">
      <c r="B223" s="135"/>
      <c r="C223" s="1814" t="s">
        <v>247</v>
      </c>
      <c r="D223" s="202" t="s">
        <v>149</v>
      </c>
      <c r="E223" s="248">
        <v>12</v>
      </c>
      <c r="F223" s="275">
        <v>0</v>
      </c>
      <c r="G223" s="276">
        <f t="shared" si="19"/>
        <v>0</v>
      </c>
      <c r="I223" s="1408"/>
    </row>
    <row r="224" spans="2:9" ht="12.75" customHeight="1" x14ac:dyDescent="0.3">
      <c r="B224" s="135"/>
      <c r="C224" s="1815" t="s">
        <v>198</v>
      </c>
      <c r="D224" s="202" t="s">
        <v>149</v>
      </c>
      <c r="E224" s="248">
        <v>12</v>
      </c>
      <c r="F224" s="275">
        <v>0</v>
      </c>
      <c r="G224" s="276">
        <f t="shared" si="19"/>
        <v>0</v>
      </c>
      <c r="I224" s="1408"/>
    </row>
    <row r="225" spans="2:9" ht="12.75" customHeight="1" x14ac:dyDescent="0.3">
      <c r="B225" s="655"/>
      <c r="C225" s="1831" t="s">
        <v>1726</v>
      </c>
      <c r="D225" s="1375" t="s">
        <v>149</v>
      </c>
      <c r="E225" s="1376">
        <v>3</v>
      </c>
      <c r="F225" s="275">
        <v>0</v>
      </c>
      <c r="G225" s="1378">
        <f t="shared" si="19"/>
        <v>0</v>
      </c>
      <c r="I225" s="1408"/>
    </row>
    <row r="226" spans="2:9" ht="12.75" customHeight="1" x14ac:dyDescent="0.3">
      <c r="B226" s="655"/>
      <c r="C226" s="1831" t="s">
        <v>1727</v>
      </c>
      <c r="D226" s="1375" t="s">
        <v>149</v>
      </c>
      <c r="E226" s="1376">
        <v>4</v>
      </c>
      <c r="F226" s="275">
        <v>0</v>
      </c>
      <c r="G226" s="1378">
        <f t="shared" si="19"/>
        <v>0</v>
      </c>
      <c r="I226" s="1408"/>
    </row>
    <row r="227" spans="2:9" s="136" customFormat="1" x14ac:dyDescent="0.2">
      <c r="B227" s="292" t="s">
        <v>243</v>
      </c>
      <c r="C227" s="280" t="s">
        <v>300</v>
      </c>
      <c r="D227" s="281"/>
      <c r="E227" s="282"/>
      <c r="F227" s="283"/>
      <c r="G227" s="284"/>
      <c r="H227" s="565"/>
    </row>
    <row r="228" spans="2:9" s="136" customFormat="1" ht="60" x14ac:dyDescent="0.2">
      <c r="B228" s="135"/>
      <c r="C228" s="285" t="s">
        <v>301</v>
      </c>
      <c r="D228" s="286" t="s">
        <v>149</v>
      </c>
      <c r="E228" s="287">
        <v>48</v>
      </c>
      <c r="F228" s="288">
        <v>0</v>
      </c>
      <c r="G228" s="289">
        <f t="shared" ref="G228" si="20">E228*F228</f>
        <v>0</v>
      </c>
      <c r="H228" s="565"/>
    </row>
    <row r="229" spans="2:9" s="136" customFormat="1" ht="25.5" customHeight="1" x14ac:dyDescent="0.3">
      <c r="B229" s="293" t="s">
        <v>17</v>
      </c>
      <c r="C229" s="294" t="s">
        <v>302</v>
      </c>
      <c r="D229" s="218"/>
      <c r="E229" s="203"/>
      <c r="F229" s="204"/>
      <c r="G229" s="290">
        <f>SUM(G90:G228)</f>
        <v>0</v>
      </c>
      <c r="H229" s="565"/>
      <c r="I229" s="1408"/>
    </row>
    <row r="230" spans="2:9" ht="12.75" customHeight="1" x14ac:dyDescent="0.3">
      <c r="I230" s="1408"/>
    </row>
  </sheetData>
  <mergeCells count="7">
    <mergeCell ref="B99:B101"/>
    <mergeCell ref="B42:G42"/>
    <mergeCell ref="B53:B55"/>
    <mergeCell ref="B68:B69"/>
    <mergeCell ref="B87:G87"/>
    <mergeCell ref="B88:G88"/>
    <mergeCell ref="B89:G89"/>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7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FD41-310B-4424-B3E9-A20D3320A4B9}">
  <sheetPr>
    <tabColor theme="0" tint="-0.14999847407452621"/>
  </sheetPr>
  <dimension ref="A2:L178"/>
  <sheetViews>
    <sheetView showZeros="0" topLeftCell="A54"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1811</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G78</f>
        <v>0</v>
      </c>
      <c r="H16" s="569"/>
    </row>
    <row r="17" spans="2:8" s="1792" customFormat="1" ht="18.75" customHeight="1" x14ac:dyDescent="0.25">
      <c r="B17" s="1793" t="s">
        <v>17</v>
      </c>
      <c r="C17" s="1794" t="s">
        <v>87</v>
      </c>
      <c r="D17" s="1795"/>
      <c r="E17" s="1796"/>
      <c r="F17" s="1797"/>
      <c r="G17" s="474">
        <f>G173</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919</v>
      </c>
      <c r="F24" s="467">
        <v>0</v>
      </c>
      <c r="G24" s="352">
        <f t="shared" ref="G24" si="0">E24*F24</f>
        <v>0</v>
      </c>
    </row>
    <row r="25" spans="2:8" x14ac:dyDescent="0.2">
      <c r="B25" s="129">
        <v>2</v>
      </c>
      <c r="C25" s="206" t="s">
        <v>96</v>
      </c>
      <c r="D25" s="207" t="s">
        <v>95</v>
      </c>
      <c r="E25" s="353">
        <f>E24</f>
        <v>919</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54" customHeight="1" x14ac:dyDescent="0.2">
      <c r="B31" s="129">
        <v>8</v>
      </c>
      <c r="C31" s="1822" t="s">
        <v>103</v>
      </c>
      <c r="D31" s="210" t="s">
        <v>98</v>
      </c>
      <c r="E31" s="353">
        <v>1</v>
      </c>
      <c r="F31" s="467">
        <v>0</v>
      </c>
      <c r="G31" s="352">
        <f t="shared" si="1"/>
        <v>0</v>
      </c>
    </row>
    <row r="32" spans="2:8" ht="39" customHeight="1" x14ac:dyDescent="0.2">
      <c r="B32" s="129">
        <v>9</v>
      </c>
      <c r="C32" s="3165" t="s">
        <v>2590</v>
      </c>
      <c r="D32" s="210" t="s">
        <v>95</v>
      </c>
      <c r="E32" s="353">
        <v>1285</v>
      </c>
      <c r="F32" s="467">
        <v>0</v>
      </c>
      <c r="G32" s="352">
        <f t="shared" si="1"/>
        <v>0</v>
      </c>
      <c r="H32" s="571"/>
    </row>
    <row r="33" spans="2:12" ht="27.75" customHeight="1" x14ac:dyDescent="0.2">
      <c r="B33" s="129">
        <v>10</v>
      </c>
      <c r="C33" s="3165" t="s">
        <v>2591</v>
      </c>
      <c r="D33" s="210" t="s">
        <v>95</v>
      </c>
      <c r="E33" s="353">
        <v>1285</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3</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4" x14ac:dyDescent="0.2">
      <c r="B43" s="131">
        <v>1</v>
      </c>
      <c r="C43" s="206" t="s">
        <v>111</v>
      </c>
      <c r="D43" s="207" t="s">
        <v>112</v>
      </c>
      <c r="E43" s="353">
        <v>100.93</v>
      </c>
      <c r="F43" s="467">
        <v>0</v>
      </c>
      <c r="G43" s="352">
        <f t="shared" ref="G43:G73" si="2">E43*F43</f>
        <v>0</v>
      </c>
      <c r="I43" s="132"/>
    </row>
    <row r="44" spans="2:12" ht="36" x14ac:dyDescent="0.2">
      <c r="B44" s="131">
        <v>2</v>
      </c>
      <c r="C44" s="206" t="s">
        <v>113</v>
      </c>
      <c r="D44" s="207" t="s">
        <v>95</v>
      </c>
      <c r="E44" s="353">
        <v>641</v>
      </c>
      <c r="F44" s="467">
        <v>0</v>
      </c>
      <c r="G44" s="352">
        <f t="shared" si="2"/>
        <v>0</v>
      </c>
      <c r="I44" s="132"/>
    </row>
    <row r="45" spans="2:12" ht="36" x14ac:dyDescent="0.2">
      <c r="B45" s="131">
        <v>3</v>
      </c>
      <c r="C45" s="206" t="s">
        <v>114</v>
      </c>
      <c r="D45" s="209" t="s">
        <v>112</v>
      </c>
      <c r="E45" s="353">
        <v>141.81</v>
      </c>
      <c r="F45" s="467">
        <v>0</v>
      </c>
      <c r="G45" s="352">
        <f t="shared" si="2"/>
        <v>0</v>
      </c>
      <c r="I45" s="133"/>
      <c r="K45" s="134"/>
      <c r="L45" s="134"/>
    </row>
    <row r="46" spans="2:12" ht="36" x14ac:dyDescent="0.2">
      <c r="B46" s="131">
        <v>4</v>
      </c>
      <c r="C46" s="206" t="s">
        <v>115</v>
      </c>
      <c r="D46" s="209" t="s">
        <v>112</v>
      </c>
      <c r="E46" s="353">
        <v>1228.4000000000001</v>
      </c>
      <c r="F46" s="467">
        <v>0</v>
      </c>
      <c r="G46" s="352">
        <f t="shared" si="2"/>
        <v>0</v>
      </c>
      <c r="I46" s="133"/>
      <c r="J46" s="134"/>
    </row>
    <row r="47" spans="2:12" ht="24" x14ac:dyDescent="0.2">
      <c r="B47" s="131">
        <v>5</v>
      </c>
      <c r="C47" s="311" t="s">
        <v>116</v>
      </c>
      <c r="D47" s="219" t="s">
        <v>117</v>
      </c>
      <c r="E47" s="471">
        <f>1285*1.4</f>
        <v>1798.9999999999998</v>
      </c>
      <c r="F47" s="467">
        <v>0</v>
      </c>
      <c r="G47" s="352">
        <f t="shared" si="2"/>
        <v>0</v>
      </c>
      <c r="I47" s="1364"/>
    </row>
    <row r="48" spans="2:12" ht="36" x14ac:dyDescent="0.2">
      <c r="B48" s="131">
        <v>6</v>
      </c>
      <c r="C48" s="206" t="s">
        <v>118</v>
      </c>
      <c r="D48" s="209" t="s">
        <v>117</v>
      </c>
      <c r="E48" s="353">
        <f>1285*1</f>
        <v>1285</v>
      </c>
      <c r="F48" s="467">
        <v>0</v>
      </c>
      <c r="G48" s="352">
        <f t="shared" si="2"/>
        <v>0</v>
      </c>
      <c r="I48" s="1364"/>
    </row>
    <row r="49" spans="2:12" ht="24" x14ac:dyDescent="0.2">
      <c r="B49" s="131">
        <v>7</v>
      </c>
      <c r="C49" s="206" t="s">
        <v>304</v>
      </c>
      <c r="D49" s="209" t="s">
        <v>112</v>
      </c>
      <c r="E49" s="353">
        <v>305.5</v>
      </c>
      <c r="F49" s="467">
        <v>0</v>
      </c>
      <c r="G49" s="352">
        <f t="shared" si="2"/>
        <v>0</v>
      </c>
      <c r="I49" s="133"/>
      <c r="J49" s="1365"/>
    </row>
    <row r="50" spans="2:12" ht="24" x14ac:dyDescent="0.2">
      <c r="B50" s="131">
        <v>8</v>
      </c>
      <c r="C50" s="206" t="s">
        <v>119</v>
      </c>
      <c r="D50" s="209" t="s">
        <v>112</v>
      </c>
      <c r="E50" s="353">
        <v>232.44</v>
      </c>
      <c r="F50" s="467">
        <v>0</v>
      </c>
      <c r="G50" s="352">
        <f t="shared" si="2"/>
        <v>0</v>
      </c>
      <c r="I50" s="134"/>
      <c r="K50" s="1365"/>
    </row>
    <row r="51" spans="2:12" ht="36" x14ac:dyDescent="0.2">
      <c r="B51" s="131">
        <v>9</v>
      </c>
      <c r="C51" s="208" t="s">
        <v>120</v>
      </c>
      <c r="D51" s="209" t="s">
        <v>112</v>
      </c>
      <c r="E51" s="353">
        <v>515</v>
      </c>
      <c r="F51" s="467">
        <v>0</v>
      </c>
      <c r="G51" s="352">
        <f t="shared" si="2"/>
        <v>0</v>
      </c>
      <c r="I51" s="1365"/>
      <c r="J51" s="1365"/>
      <c r="K51" s="1365"/>
    </row>
    <row r="52" spans="2:12" s="130" customFormat="1" ht="36" x14ac:dyDescent="0.2">
      <c r="B52" s="131">
        <v>10</v>
      </c>
      <c r="C52" s="314" t="s">
        <v>121</v>
      </c>
      <c r="D52" s="210" t="s">
        <v>112</v>
      </c>
      <c r="E52" s="353">
        <v>332.2</v>
      </c>
      <c r="F52" s="467">
        <v>0</v>
      </c>
      <c r="G52" s="352">
        <f t="shared" si="2"/>
        <v>0</v>
      </c>
      <c r="H52" s="565"/>
      <c r="I52" s="1263"/>
      <c r="J52" s="1263"/>
      <c r="K52" s="1263"/>
      <c r="L52" s="1263"/>
    </row>
    <row r="53" spans="2:12" s="147" customFormat="1" ht="48" x14ac:dyDescent="0.25">
      <c r="B53" s="3187">
        <v>11</v>
      </c>
      <c r="C53" s="308" t="s">
        <v>122</v>
      </c>
      <c r="D53" s="210"/>
      <c r="E53" s="353"/>
      <c r="F53" s="467"/>
      <c r="G53" s="352"/>
      <c r="H53" s="572"/>
      <c r="I53" s="490"/>
      <c r="J53" s="490"/>
      <c r="L53" s="490"/>
    </row>
    <row r="54" spans="2:12" s="147" customFormat="1" x14ac:dyDescent="0.25">
      <c r="B54" s="3188"/>
      <c r="C54" s="308" t="s">
        <v>124</v>
      </c>
      <c r="D54" s="207" t="s">
        <v>95</v>
      </c>
      <c r="E54" s="353">
        <v>50</v>
      </c>
      <c r="F54" s="467">
        <v>0</v>
      </c>
      <c r="G54" s="352">
        <f t="shared" si="2"/>
        <v>0</v>
      </c>
      <c r="H54" s="572"/>
      <c r="I54" s="490"/>
      <c r="J54" s="490"/>
    </row>
    <row r="55" spans="2:12" s="147" customFormat="1" x14ac:dyDescent="0.25">
      <c r="B55" s="3189"/>
      <c r="C55" s="308" t="s">
        <v>305</v>
      </c>
      <c r="D55" s="207" t="s">
        <v>95</v>
      </c>
      <c r="E55" s="353">
        <v>20</v>
      </c>
      <c r="F55" s="467">
        <v>0</v>
      </c>
      <c r="G55" s="352">
        <f t="shared" si="2"/>
        <v>0</v>
      </c>
      <c r="H55" s="572"/>
      <c r="I55" s="490"/>
    </row>
    <row r="56" spans="2:12" ht="24" x14ac:dyDescent="0.2">
      <c r="B56" s="131">
        <v>12</v>
      </c>
      <c r="C56" s="206" t="s">
        <v>125</v>
      </c>
      <c r="D56" s="209" t="s">
        <v>95</v>
      </c>
      <c r="E56" s="353">
        <v>457.2</v>
      </c>
      <c r="F56" s="467">
        <v>0</v>
      </c>
      <c r="G56" s="352">
        <f t="shared" si="2"/>
        <v>0</v>
      </c>
      <c r="H56" s="571"/>
      <c r="I56" s="1365"/>
    </row>
    <row r="57" spans="2:12" ht="24" x14ac:dyDescent="0.2">
      <c r="B57" s="131">
        <v>13</v>
      </c>
      <c r="C57" s="206" t="s">
        <v>126</v>
      </c>
      <c r="D57" s="207" t="s">
        <v>117</v>
      </c>
      <c r="E57" s="353">
        <v>765</v>
      </c>
      <c r="F57" s="467">
        <v>0</v>
      </c>
      <c r="G57" s="352">
        <f t="shared" si="2"/>
        <v>0</v>
      </c>
      <c r="H57" s="571"/>
      <c r="I57" s="1365"/>
    </row>
    <row r="58" spans="2:12" ht="48" x14ac:dyDescent="0.2">
      <c r="B58" s="131">
        <v>14</v>
      </c>
      <c r="C58" s="206" t="s">
        <v>127</v>
      </c>
      <c r="D58" s="207" t="s">
        <v>117</v>
      </c>
      <c r="E58" s="353">
        <v>765</v>
      </c>
      <c r="F58" s="467">
        <v>0</v>
      </c>
      <c r="G58" s="352">
        <f t="shared" si="2"/>
        <v>0</v>
      </c>
      <c r="H58" s="571"/>
      <c r="I58" s="1365"/>
    </row>
    <row r="59" spans="2:12" ht="60" x14ac:dyDescent="0.2">
      <c r="B59" s="131">
        <v>15</v>
      </c>
      <c r="C59" s="314" t="s">
        <v>706</v>
      </c>
      <c r="D59" s="209" t="s">
        <v>117</v>
      </c>
      <c r="E59" s="353">
        <v>424.3</v>
      </c>
      <c r="F59" s="467">
        <v>0</v>
      </c>
      <c r="G59" s="352">
        <f t="shared" si="2"/>
        <v>0</v>
      </c>
      <c r="H59" s="571"/>
      <c r="I59" s="1365"/>
      <c r="J59" s="1365"/>
    </row>
    <row r="60" spans="2:12" ht="48" x14ac:dyDescent="0.2">
      <c r="B60" s="312" t="s">
        <v>128</v>
      </c>
      <c r="C60" s="208" t="s">
        <v>129</v>
      </c>
      <c r="D60" s="209" t="s">
        <v>117</v>
      </c>
      <c r="E60" s="353">
        <v>212.4</v>
      </c>
      <c r="F60" s="467">
        <v>0</v>
      </c>
      <c r="G60" s="352">
        <f t="shared" si="2"/>
        <v>0</v>
      </c>
      <c r="H60" s="571"/>
      <c r="I60" s="1365"/>
    </row>
    <row r="61" spans="2:12" ht="60" x14ac:dyDescent="0.2">
      <c r="B61" s="312" t="s">
        <v>707</v>
      </c>
      <c r="C61" s="208" t="s">
        <v>708</v>
      </c>
      <c r="D61" s="209" t="s">
        <v>117</v>
      </c>
      <c r="E61" s="353">
        <v>212.4</v>
      </c>
      <c r="F61" s="467">
        <v>0</v>
      </c>
      <c r="G61" s="352">
        <f t="shared" si="2"/>
        <v>0</v>
      </c>
      <c r="H61" s="571"/>
      <c r="I61" s="1365"/>
    </row>
    <row r="62" spans="2:12" ht="72" x14ac:dyDescent="0.2">
      <c r="B62" s="312" t="s">
        <v>710</v>
      </c>
      <c r="C62" s="208" t="s">
        <v>711</v>
      </c>
      <c r="D62" s="209" t="s">
        <v>117</v>
      </c>
      <c r="E62" s="353">
        <v>128.30000000000001</v>
      </c>
      <c r="F62" s="467">
        <v>0</v>
      </c>
      <c r="G62" s="352">
        <f>E62*F62</f>
        <v>0</v>
      </c>
      <c r="H62" s="571"/>
    </row>
    <row r="63" spans="2:12" ht="36" x14ac:dyDescent="0.2">
      <c r="B63" s="131">
        <v>16</v>
      </c>
      <c r="C63" s="206" t="s">
        <v>132</v>
      </c>
      <c r="D63" s="207" t="s">
        <v>117</v>
      </c>
      <c r="E63" s="353">
        <v>87</v>
      </c>
      <c r="F63" s="467">
        <v>0</v>
      </c>
      <c r="G63" s="352">
        <f t="shared" si="2"/>
        <v>0</v>
      </c>
    </row>
    <row r="64" spans="2:12" x14ac:dyDescent="0.2">
      <c r="B64" s="131">
        <v>18</v>
      </c>
      <c r="C64" s="206" t="s">
        <v>134</v>
      </c>
      <c r="D64" s="209" t="s">
        <v>112</v>
      </c>
      <c r="E64" s="353">
        <v>1152.7</v>
      </c>
      <c r="F64" s="467">
        <v>0</v>
      </c>
      <c r="G64" s="352">
        <f t="shared" si="2"/>
        <v>0</v>
      </c>
      <c r="I64" s="1365"/>
    </row>
    <row r="65" spans="2:9" x14ac:dyDescent="0.2">
      <c r="B65" s="131">
        <v>19</v>
      </c>
      <c r="C65" s="206" t="s">
        <v>135</v>
      </c>
      <c r="D65" s="209" t="s">
        <v>112</v>
      </c>
      <c r="E65" s="353">
        <f>E64</f>
        <v>1152.7</v>
      </c>
      <c r="F65" s="467">
        <v>0</v>
      </c>
      <c r="G65" s="352">
        <f t="shared" si="2"/>
        <v>0</v>
      </c>
    </row>
    <row r="66" spans="2:9" ht="24" x14ac:dyDescent="0.2">
      <c r="B66" s="131">
        <v>20</v>
      </c>
      <c r="C66" s="206" t="s">
        <v>136</v>
      </c>
      <c r="D66" s="209" t="s">
        <v>117</v>
      </c>
      <c r="E66" s="353">
        <v>765</v>
      </c>
      <c r="F66" s="467">
        <v>0</v>
      </c>
      <c r="G66" s="352">
        <f t="shared" si="2"/>
        <v>0</v>
      </c>
    </row>
    <row r="67" spans="2:9" ht="24" x14ac:dyDescent="0.2">
      <c r="B67" s="131">
        <v>21</v>
      </c>
      <c r="C67" s="206" t="s">
        <v>138</v>
      </c>
      <c r="D67" s="207" t="s">
        <v>117</v>
      </c>
      <c r="E67" s="353">
        <v>256</v>
      </c>
      <c r="F67" s="467">
        <v>0</v>
      </c>
      <c r="G67" s="352">
        <f t="shared" si="2"/>
        <v>0</v>
      </c>
    </row>
    <row r="68" spans="2:9" ht="48" x14ac:dyDescent="0.2">
      <c r="B68" s="2721">
        <v>23</v>
      </c>
      <c r="C68" s="409" t="s">
        <v>309</v>
      </c>
      <c r="D68" s="207"/>
      <c r="E68" s="353"/>
      <c r="F68" s="467"/>
      <c r="G68" s="352"/>
    </row>
    <row r="69" spans="2:9" s="130" customFormat="1" x14ac:dyDescent="0.2">
      <c r="B69" s="2722"/>
      <c r="C69" s="291" t="s">
        <v>715</v>
      </c>
      <c r="D69" s="221" t="s">
        <v>95</v>
      </c>
      <c r="E69" s="353">
        <v>32</v>
      </c>
      <c r="F69" s="467">
        <v>0</v>
      </c>
      <c r="G69" s="352">
        <f t="shared" ref="G69:G70" si="3">E69*F69</f>
        <v>0</v>
      </c>
      <c r="H69" s="565"/>
    </row>
    <row r="70" spans="2:9" s="130" customFormat="1" x14ac:dyDescent="0.2">
      <c r="B70" s="2722"/>
      <c r="C70" s="291" t="s">
        <v>716</v>
      </c>
      <c r="D70" s="221" t="s">
        <v>95</v>
      </c>
      <c r="E70" s="353">
        <v>48</v>
      </c>
      <c r="F70" s="467">
        <v>0</v>
      </c>
      <c r="G70" s="352">
        <f t="shared" si="3"/>
        <v>0</v>
      </c>
      <c r="H70" s="565"/>
    </row>
    <row r="71" spans="2:9" ht="48" x14ac:dyDescent="0.2">
      <c r="B71" s="131">
        <v>24</v>
      </c>
      <c r="C71" s="409" t="s">
        <v>142</v>
      </c>
      <c r="D71" s="207" t="s">
        <v>117</v>
      </c>
      <c r="E71" s="353">
        <v>27</v>
      </c>
      <c r="F71" s="467">
        <v>0</v>
      </c>
      <c r="G71" s="352">
        <f t="shared" si="2"/>
        <v>0</v>
      </c>
      <c r="I71" s="1372"/>
    </row>
    <row r="72" spans="2:9" ht="24" x14ac:dyDescent="0.2">
      <c r="B72" s="131">
        <v>25</v>
      </c>
      <c r="C72" s="409" t="s">
        <v>143</v>
      </c>
      <c r="D72" s="207" t="s">
        <v>95</v>
      </c>
      <c r="E72" s="353">
        <v>75</v>
      </c>
      <c r="F72" s="467">
        <v>0</v>
      </c>
      <c r="G72" s="352">
        <f t="shared" si="2"/>
        <v>0</v>
      </c>
      <c r="H72" s="571"/>
    </row>
    <row r="73" spans="2:9" ht="24" x14ac:dyDescent="0.2">
      <c r="B73" s="312" t="s">
        <v>717</v>
      </c>
      <c r="C73" s="409" t="s">
        <v>718</v>
      </c>
      <c r="D73" s="207" t="s">
        <v>95</v>
      </c>
      <c r="E73" s="353">
        <v>43</v>
      </c>
      <c r="F73" s="467">
        <v>0</v>
      </c>
      <c r="G73" s="352">
        <f t="shared" si="2"/>
        <v>0</v>
      </c>
      <c r="H73" s="571"/>
    </row>
    <row r="74" spans="2:9" ht="36" x14ac:dyDescent="0.2">
      <c r="B74" s="411">
        <v>30</v>
      </c>
      <c r="C74" s="410" t="s">
        <v>151</v>
      </c>
      <c r="D74" s="222" t="s">
        <v>112</v>
      </c>
      <c r="E74" s="472">
        <v>6</v>
      </c>
      <c r="F74" s="467">
        <v>0</v>
      </c>
      <c r="G74" s="352">
        <f>E74*F74</f>
        <v>0</v>
      </c>
    </row>
    <row r="75" spans="2:9" ht="36" x14ac:dyDescent="0.2">
      <c r="B75" s="131">
        <v>31</v>
      </c>
      <c r="C75" s="1366" t="s">
        <v>152</v>
      </c>
      <c r="D75" s="1367" t="s">
        <v>149</v>
      </c>
      <c r="E75" s="1359">
        <v>35</v>
      </c>
      <c r="F75" s="467">
        <v>0</v>
      </c>
      <c r="G75" s="1361">
        <f>E75*F75</f>
        <v>0</v>
      </c>
    </row>
    <row r="76" spans="2:9" ht="36" x14ac:dyDescent="0.2">
      <c r="B76" s="411">
        <v>32</v>
      </c>
      <c r="C76" s="223" t="s">
        <v>153</v>
      </c>
      <c r="D76" s="222" t="s">
        <v>112</v>
      </c>
      <c r="E76" s="472">
        <v>5.5</v>
      </c>
      <c r="F76" s="467">
        <v>0</v>
      </c>
      <c r="G76" s="352">
        <f>E76*F76</f>
        <v>0</v>
      </c>
    </row>
    <row r="77" spans="2:9" ht="24" x14ac:dyDescent="0.2">
      <c r="B77" s="131">
        <v>33</v>
      </c>
      <c r="C77" s="223" t="s">
        <v>155</v>
      </c>
      <c r="D77" s="222" t="s">
        <v>156</v>
      </c>
      <c r="E77" s="472">
        <v>8</v>
      </c>
      <c r="F77" s="467">
        <v>0</v>
      </c>
      <c r="G77" s="352">
        <f>E77*F77</f>
        <v>0</v>
      </c>
    </row>
    <row r="78" spans="2:9" s="147" customFormat="1" ht="21.75" customHeight="1" x14ac:dyDescent="0.25">
      <c r="B78" s="327" t="s">
        <v>12</v>
      </c>
      <c r="C78" s="214" t="s">
        <v>157</v>
      </c>
      <c r="D78" s="224"/>
      <c r="E78" s="215"/>
      <c r="F78" s="216"/>
      <c r="G78" s="290">
        <f>SUM(G43:G77)</f>
        <v>0</v>
      </c>
      <c r="H78" s="150"/>
    </row>
    <row r="79" spans="2:9" x14ac:dyDescent="0.2">
      <c r="B79" s="129"/>
      <c r="C79" s="197"/>
      <c r="D79" s="198"/>
      <c r="E79" s="353"/>
      <c r="F79" s="358"/>
      <c r="G79" s="350"/>
    </row>
    <row r="80" spans="2:9"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07" t="s">
        <v>723</v>
      </c>
      <c r="D91" s="226" t="s">
        <v>95</v>
      </c>
      <c r="E91" s="353">
        <v>72</v>
      </c>
      <c r="F91" s="467">
        <v>0</v>
      </c>
      <c r="G91" s="352">
        <f t="shared" ref="G91:G102" si="4">E91*F91</f>
        <v>0</v>
      </c>
      <c r="H91" s="150"/>
      <c r="I91" s="490"/>
    </row>
    <row r="92" spans="1:9" s="147" customFormat="1" ht="27" customHeight="1" x14ac:dyDescent="0.25">
      <c r="B92" s="148"/>
      <c r="C92" s="1807" t="s">
        <v>835</v>
      </c>
      <c r="D92" s="226" t="s">
        <v>95</v>
      </c>
      <c r="E92" s="353">
        <v>8</v>
      </c>
      <c r="F92" s="467">
        <v>0</v>
      </c>
      <c r="G92" s="352">
        <f t="shared" si="4"/>
        <v>0</v>
      </c>
      <c r="H92" s="150"/>
      <c r="I92" s="490"/>
    </row>
    <row r="93" spans="1:9" s="147" customFormat="1" ht="18.75" customHeight="1" x14ac:dyDescent="0.25">
      <c r="B93" s="148"/>
      <c r="C93" s="1807" t="s">
        <v>821</v>
      </c>
      <c r="D93" s="226" t="s">
        <v>95</v>
      </c>
      <c r="E93" s="353">
        <v>217</v>
      </c>
      <c r="F93" s="467">
        <v>0</v>
      </c>
      <c r="G93" s="352">
        <f t="shared" si="4"/>
        <v>0</v>
      </c>
      <c r="H93" s="150"/>
      <c r="I93" s="490"/>
    </row>
    <row r="94" spans="1:9" s="147" customFormat="1" ht="27" customHeight="1" x14ac:dyDescent="0.25">
      <c r="B94" s="148"/>
      <c r="C94" s="1807" t="s">
        <v>822</v>
      </c>
      <c r="D94" s="226" t="s">
        <v>95</v>
      </c>
      <c r="E94" s="353">
        <v>25</v>
      </c>
      <c r="F94" s="467">
        <v>0</v>
      </c>
      <c r="G94" s="352">
        <f t="shared" si="4"/>
        <v>0</v>
      </c>
      <c r="H94" s="150"/>
      <c r="I94" s="490"/>
    </row>
    <row r="95" spans="1:9" s="147" customFormat="1" ht="18.75" customHeight="1" x14ac:dyDescent="0.25">
      <c r="B95" s="148"/>
      <c r="C95" s="1807" t="s">
        <v>1733</v>
      </c>
      <c r="D95" s="226" t="s">
        <v>95</v>
      </c>
      <c r="E95" s="353">
        <v>537</v>
      </c>
      <c r="F95" s="467">
        <v>0</v>
      </c>
      <c r="G95" s="352">
        <f t="shared" si="4"/>
        <v>0</v>
      </c>
      <c r="H95" s="150"/>
      <c r="I95" s="490"/>
    </row>
    <row r="96" spans="1:9" s="147" customFormat="1" ht="27" customHeight="1" x14ac:dyDescent="0.25">
      <c r="B96" s="148"/>
      <c r="C96" s="1807" t="s">
        <v>1734</v>
      </c>
      <c r="D96" s="226" t="s">
        <v>95</v>
      </c>
      <c r="E96" s="353">
        <v>60</v>
      </c>
      <c r="F96" s="467">
        <v>0</v>
      </c>
      <c r="G96" s="352">
        <f t="shared" si="4"/>
        <v>0</v>
      </c>
      <c r="H96" s="150"/>
      <c r="I96" s="490"/>
    </row>
    <row r="97" spans="2:9" s="147" customFormat="1" ht="18.75" customHeight="1" x14ac:dyDescent="0.25">
      <c r="B97" s="148"/>
      <c r="C97" s="1807" t="s">
        <v>165</v>
      </c>
      <c r="D97" s="226" t="s">
        <v>95</v>
      </c>
      <c r="E97" s="353">
        <v>329</v>
      </c>
      <c r="F97" s="467">
        <v>0</v>
      </c>
      <c r="G97" s="352">
        <f t="shared" si="4"/>
        <v>0</v>
      </c>
      <c r="H97" s="150"/>
      <c r="I97" s="490"/>
    </row>
    <row r="98" spans="2:9" s="147" customFormat="1" ht="27" customHeight="1" x14ac:dyDescent="0.25">
      <c r="B98" s="148"/>
      <c r="C98" s="1807" t="s">
        <v>166</v>
      </c>
      <c r="D98" s="226" t="s">
        <v>95</v>
      </c>
      <c r="E98" s="353">
        <v>37</v>
      </c>
      <c r="F98" s="467">
        <v>0</v>
      </c>
      <c r="G98" s="352">
        <f t="shared" si="4"/>
        <v>0</v>
      </c>
      <c r="H98" s="150"/>
      <c r="I98" s="490"/>
    </row>
    <row r="99" spans="2:9" ht="41.25" customHeight="1" x14ac:dyDescent="0.2">
      <c r="B99" s="3181" t="s">
        <v>167</v>
      </c>
      <c r="C99" s="310" t="s">
        <v>168</v>
      </c>
      <c r="D99" s="221"/>
      <c r="E99" s="353"/>
      <c r="F99" s="467"/>
      <c r="G99" s="352"/>
      <c r="I99" s="1365"/>
    </row>
    <row r="100" spans="2:9" ht="12.75" customHeight="1" x14ac:dyDescent="0.2">
      <c r="B100" s="3182"/>
      <c r="C100" s="291" t="s">
        <v>169</v>
      </c>
      <c r="D100" s="221" t="s">
        <v>95</v>
      </c>
      <c r="E100" s="353">
        <v>5</v>
      </c>
      <c r="F100" s="467">
        <v>0</v>
      </c>
      <c r="G100" s="352">
        <f t="shared" ref="G100:G101" si="5">E100*F100</f>
        <v>0</v>
      </c>
    </row>
    <row r="101" spans="2:9" ht="12.75" customHeight="1" x14ac:dyDescent="0.2">
      <c r="B101" s="3182"/>
      <c r="C101" s="291" t="s">
        <v>170</v>
      </c>
      <c r="D101" s="221" t="s">
        <v>95</v>
      </c>
      <c r="E101" s="353">
        <v>20</v>
      </c>
      <c r="F101" s="467">
        <v>0</v>
      </c>
      <c r="G101" s="352">
        <f t="shared" si="5"/>
        <v>0</v>
      </c>
    </row>
    <row r="102" spans="2:9" ht="36" x14ac:dyDescent="0.2">
      <c r="B102" s="154">
        <v>2</v>
      </c>
      <c r="C102" s="227" t="s">
        <v>172</v>
      </c>
      <c r="D102" s="209" t="s">
        <v>95</v>
      </c>
      <c r="E102" s="348">
        <f>SUM(E91:E98)</f>
        <v>1285</v>
      </c>
      <c r="F102" s="467">
        <v>0</v>
      </c>
      <c r="G102" s="352">
        <f t="shared" si="4"/>
        <v>0</v>
      </c>
    </row>
    <row r="103" spans="2:9" ht="36" x14ac:dyDescent="0.2">
      <c r="B103" s="309" t="s">
        <v>173</v>
      </c>
      <c r="C103" s="227" t="s">
        <v>174</v>
      </c>
      <c r="D103" s="209" t="s">
        <v>95</v>
      </c>
      <c r="E103" s="348">
        <f>SUM(E91:E98)</f>
        <v>1285</v>
      </c>
      <c r="F103" s="467">
        <v>0</v>
      </c>
      <c r="G103" s="352">
        <f>E103*F103</f>
        <v>0</v>
      </c>
    </row>
    <row r="104" spans="2:9" ht="24" x14ac:dyDescent="0.2">
      <c r="B104" s="309" t="s">
        <v>175</v>
      </c>
      <c r="C104" s="227" t="s">
        <v>176</v>
      </c>
      <c r="D104" s="209" t="s">
        <v>95</v>
      </c>
      <c r="E104" s="348">
        <f>SUM(E91:E98)</f>
        <v>1285</v>
      </c>
      <c r="F104" s="467">
        <v>0</v>
      </c>
      <c r="G104" s="352">
        <f>E104*F104</f>
        <v>0</v>
      </c>
    </row>
    <row r="105" spans="2:9" s="147" customFormat="1" ht="36" x14ac:dyDescent="0.25">
      <c r="B105" s="309" t="s">
        <v>177</v>
      </c>
      <c r="C105" s="227" t="s">
        <v>178</v>
      </c>
      <c r="D105" s="209" t="s">
        <v>95</v>
      </c>
      <c r="E105" s="348">
        <f>SUM(E91:E98)</f>
        <v>1285</v>
      </c>
      <c r="F105" s="467">
        <v>0</v>
      </c>
      <c r="G105" s="352">
        <f>E105*F105</f>
        <v>0</v>
      </c>
      <c r="H105" s="150"/>
    </row>
    <row r="106" spans="2:9" s="147" customFormat="1" ht="24" x14ac:dyDescent="0.25">
      <c r="B106" s="153">
        <v>3</v>
      </c>
      <c r="C106" s="264" t="s">
        <v>179</v>
      </c>
      <c r="D106" s="231"/>
      <c r="E106" s="232"/>
      <c r="F106" s="233">
        <v>0</v>
      </c>
      <c r="G106" s="234"/>
      <c r="H106" s="150"/>
    </row>
    <row r="107" spans="2:9" x14ac:dyDescent="0.2">
      <c r="B107" s="292" t="s">
        <v>180</v>
      </c>
      <c r="C107" s="1808" t="s">
        <v>181</v>
      </c>
      <c r="D107" s="231"/>
      <c r="E107" s="232"/>
      <c r="F107" s="233"/>
      <c r="G107" s="234"/>
    </row>
    <row r="108" spans="2:9" s="147" customFormat="1" x14ac:dyDescent="0.25">
      <c r="B108" s="129"/>
      <c r="C108" s="1808" t="s">
        <v>836</v>
      </c>
      <c r="D108" s="231"/>
      <c r="E108" s="232"/>
      <c r="F108" s="233"/>
      <c r="G108" s="234"/>
      <c r="H108" s="150"/>
    </row>
    <row r="109" spans="2:9" s="147" customFormat="1" x14ac:dyDescent="0.25">
      <c r="B109" s="152"/>
      <c r="C109" s="1810" t="s">
        <v>837</v>
      </c>
      <c r="D109" s="236" t="s">
        <v>149</v>
      </c>
      <c r="E109" s="232">
        <v>5</v>
      </c>
      <c r="F109" s="271">
        <v>0</v>
      </c>
      <c r="G109" s="272">
        <f t="shared" ref="G109:G110" si="6">E109*F109</f>
        <v>0</v>
      </c>
      <c r="H109" s="150"/>
    </row>
    <row r="110" spans="2:9" s="136" customFormat="1" x14ac:dyDescent="0.2">
      <c r="B110" s="152"/>
      <c r="C110" s="1810" t="s">
        <v>900</v>
      </c>
      <c r="D110" s="236" t="s">
        <v>149</v>
      </c>
      <c r="E110" s="232">
        <v>4</v>
      </c>
      <c r="F110" s="271">
        <v>0</v>
      </c>
      <c r="G110" s="272">
        <f t="shared" si="6"/>
        <v>0</v>
      </c>
      <c r="H110" s="565"/>
    </row>
    <row r="111" spans="2:9" s="136" customFormat="1" x14ac:dyDescent="0.2">
      <c r="B111" s="129"/>
      <c r="C111" s="1808" t="s">
        <v>185</v>
      </c>
      <c r="D111" s="231"/>
      <c r="E111" s="232"/>
      <c r="F111" s="233"/>
      <c r="G111" s="234"/>
      <c r="H111" s="565"/>
    </row>
    <row r="112" spans="2:9" s="136" customFormat="1" x14ac:dyDescent="0.2">
      <c r="B112" s="152"/>
      <c r="C112" s="1810" t="s">
        <v>186</v>
      </c>
      <c r="D112" s="236" t="s">
        <v>149</v>
      </c>
      <c r="E112" s="232">
        <v>9</v>
      </c>
      <c r="F112" s="271">
        <v>0</v>
      </c>
      <c r="G112" s="272">
        <f t="shared" ref="G112:G113" si="7">E112*F112</f>
        <v>0</v>
      </c>
      <c r="H112" s="565"/>
    </row>
    <row r="113" spans="2:8" s="136" customFormat="1" x14ac:dyDescent="0.2">
      <c r="B113" s="152"/>
      <c r="C113" s="1810" t="s">
        <v>187</v>
      </c>
      <c r="D113" s="236" t="s">
        <v>149</v>
      </c>
      <c r="E113" s="232">
        <v>6</v>
      </c>
      <c r="F113" s="271">
        <v>0</v>
      </c>
      <c r="G113" s="272">
        <f t="shared" si="7"/>
        <v>0</v>
      </c>
      <c r="H113" s="565"/>
    </row>
    <row r="114" spans="2:8" s="136" customFormat="1" x14ac:dyDescent="0.2">
      <c r="B114" s="292" t="s">
        <v>188</v>
      </c>
      <c r="C114" s="238" t="s">
        <v>189</v>
      </c>
      <c r="D114" s="239"/>
      <c r="E114" s="240"/>
      <c r="F114" s="241">
        <v>0</v>
      </c>
      <c r="G114" s="242"/>
      <c r="H114" s="565"/>
    </row>
    <row r="115" spans="2:8" s="136" customFormat="1" x14ac:dyDescent="0.2">
      <c r="B115" s="135"/>
      <c r="C115" s="238" t="s">
        <v>838</v>
      </c>
      <c r="D115" s="239"/>
      <c r="E115" s="240"/>
      <c r="F115" s="241">
        <v>0</v>
      </c>
      <c r="G115" s="242"/>
      <c r="H115" s="565"/>
    </row>
    <row r="116" spans="2:8" s="136" customFormat="1" x14ac:dyDescent="0.2">
      <c r="B116" s="135"/>
      <c r="C116" s="243" t="s">
        <v>207</v>
      </c>
      <c r="D116" s="239" t="s">
        <v>149</v>
      </c>
      <c r="E116" s="240">
        <v>1</v>
      </c>
      <c r="F116" s="273">
        <v>0</v>
      </c>
      <c r="G116" s="274">
        <f t="shared" ref="G116:G123" si="8">E116*F116</f>
        <v>0</v>
      </c>
      <c r="H116" s="565"/>
    </row>
    <row r="117" spans="2:8" s="136" customFormat="1" ht="36" x14ac:dyDescent="0.2">
      <c r="B117" s="135"/>
      <c r="C117" s="244" t="s">
        <v>192</v>
      </c>
      <c r="D117" s="239" t="s">
        <v>149</v>
      </c>
      <c r="E117" s="240">
        <v>1</v>
      </c>
      <c r="F117" s="273">
        <v>0</v>
      </c>
      <c r="G117" s="274">
        <f t="shared" si="8"/>
        <v>0</v>
      </c>
      <c r="H117" s="565"/>
    </row>
    <row r="118" spans="2:8" s="136" customFormat="1" x14ac:dyDescent="0.2">
      <c r="B118" s="135"/>
      <c r="C118" s="244" t="s">
        <v>193</v>
      </c>
      <c r="D118" s="239" t="s">
        <v>149</v>
      </c>
      <c r="E118" s="240">
        <v>1</v>
      </c>
      <c r="F118" s="273">
        <v>0</v>
      </c>
      <c r="G118" s="274">
        <f t="shared" si="8"/>
        <v>0</v>
      </c>
      <c r="H118" s="565"/>
    </row>
    <row r="119" spans="2:8" s="136" customFormat="1" x14ac:dyDescent="0.2">
      <c r="B119" s="135"/>
      <c r="C119" s="244" t="s">
        <v>194</v>
      </c>
      <c r="D119" s="239" t="s">
        <v>149</v>
      </c>
      <c r="E119" s="240">
        <v>1</v>
      </c>
      <c r="F119" s="273">
        <v>0</v>
      </c>
      <c r="G119" s="274">
        <f t="shared" si="8"/>
        <v>0</v>
      </c>
      <c r="H119" s="565"/>
    </row>
    <row r="120" spans="2:8" s="136" customFormat="1" x14ac:dyDescent="0.2">
      <c r="B120" s="135"/>
      <c r="C120" s="244" t="s">
        <v>235</v>
      </c>
      <c r="D120" s="239" t="s">
        <v>149</v>
      </c>
      <c r="E120" s="240">
        <v>2</v>
      </c>
      <c r="F120" s="273">
        <v>0</v>
      </c>
      <c r="G120" s="274">
        <f t="shared" si="8"/>
        <v>0</v>
      </c>
      <c r="H120" s="565"/>
    </row>
    <row r="121" spans="2:8" s="136" customFormat="1" x14ac:dyDescent="0.2">
      <c r="B121" s="135"/>
      <c r="C121" s="244" t="s">
        <v>839</v>
      </c>
      <c r="D121" s="239" t="s">
        <v>149</v>
      </c>
      <c r="E121" s="240">
        <v>2</v>
      </c>
      <c r="F121" s="273">
        <v>0</v>
      </c>
      <c r="G121" s="274">
        <f t="shared" si="8"/>
        <v>0</v>
      </c>
      <c r="H121" s="565"/>
    </row>
    <row r="122" spans="2:8" s="136" customFormat="1" x14ac:dyDescent="0.2">
      <c r="B122" s="135"/>
      <c r="C122" s="244" t="s">
        <v>197</v>
      </c>
      <c r="D122" s="239" t="s">
        <v>149</v>
      </c>
      <c r="E122" s="240">
        <v>1</v>
      </c>
      <c r="F122" s="273">
        <v>0</v>
      </c>
      <c r="G122" s="274">
        <f t="shared" si="8"/>
        <v>0</v>
      </c>
      <c r="H122" s="565"/>
    </row>
    <row r="123" spans="2:8" s="136" customFormat="1" x14ac:dyDescent="0.2">
      <c r="B123" s="135"/>
      <c r="C123" s="244" t="s">
        <v>198</v>
      </c>
      <c r="D123" s="239" t="s">
        <v>149</v>
      </c>
      <c r="E123" s="240">
        <v>1</v>
      </c>
      <c r="F123" s="273">
        <v>0</v>
      </c>
      <c r="G123" s="274">
        <f t="shared" si="8"/>
        <v>0</v>
      </c>
      <c r="H123" s="565"/>
    </row>
    <row r="124" spans="2:8" s="136" customFormat="1" x14ac:dyDescent="0.2">
      <c r="B124" s="135"/>
      <c r="C124" s="238" t="s">
        <v>840</v>
      </c>
      <c r="D124" s="239"/>
      <c r="E124" s="240"/>
      <c r="F124" s="241">
        <v>0</v>
      </c>
      <c r="G124" s="242"/>
      <c r="H124" s="565"/>
    </row>
    <row r="125" spans="2:8" s="136" customFormat="1" x14ac:dyDescent="0.2">
      <c r="B125" s="135"/>
      <c r="C125" s="243" t="s">
        <v>841</v>
      </c>
      <c r="D125" s="239" t="s">
        <v>149</v>
      </c>
      <c r="E125" s="240">
        <v>1</v>
      </c>
      <c r="F125" s="273">
        <v>0</v>
      </c>
      <c r="G125" s="274">
        <f t="shared" ref="G125:G134" si="9">E125*F125</f>
        <v>0</v>
      </c>
      <c r="H125" s="565"/>
    </row>
    <row r="126" spans="2:8" s="136" customFormat="1" ht="36" x14ac:dyDescent="0.2">
      <c r="B126" s="135"/>
      <c r="C126" s="244" t="s">
        <v>285</v>
      </c>
      <c r="D126" s="239" t="s">
        <v>149</v>
      </c>
      <c r="E126" s="240">
        <v>1</v>
      </c>
      <c r="F126" s="273">
        <v>0</v>
      </c>
      <c r="G126" s="274">
        <f t="shared" si="9"/>
        <v>0</v>
      </c>
      <c r="H126" s="565"/>
    </row>
    <row r="127" spans="2:8" s="136" customFormat="1" x14ac:dyDescent="0.2">
      <c r="B127" s="135"/>
      <c r="C127" s="244" t="s">
        <v>193</v>
      </c>
      <c r="D127" s="239" t="s">
        <v>149</v>
      </c>
      <c r="E127" s="240">
        <v>1</v>
      </c>
      <c r="F127" s="273">
        <v>0</v>
      </c>
      <c r="G127" s="274">
        <f t="shared" si="9"/>
        <v>0</v>
      </c>
      <c r="H127" s="565"/>
    </row>
    <row r="128" spans="2:8" s="136" customFormat="1" x14ac:dyDescent="0.2">
      <c r="B128" s="135"/>
      <c r="C128" s="244" t="s">
        <v>194</v>
      </c>
      <c r="D128" s="239" t="s">
        <v>149</v>
      </c>
      <c r="E128" s="240">
        <v>1</v>
      </c>
      <c r="F128" s="273">
        <v>0</v>
      </c>
      <c r="G128" s="274">
        <f t="shared" si="9"/>
        <v>0</v>
      </c>
      <c r="H128" s="565"/>
    </row>
    <row r="129" spans="2:8" s="136" customFormat="1" x14ac:dyDescent="0.2">
      <c r="B129" s="135"/>
      <c r="C129" s="1811" t="s">
        <v>239</v>
      </c>
      <c r="D129" s="239" t="s">
        <v>149</v>
      </c>
      <c r="E129" s="240">
        <v>2</v>
      </c>
      <c r="F129" s="273">
        <v>0</v>
      </c>
      <c r="G129" s="274">
        <f t="shared" si="9"/>
        <v>0</v>
      </c>
      <c r="H129" s="565"/>
    </row>
    <row r="130" spans="2:8" s="136" customFormat="1" x14ac:dyDescent="0.2">
      <c r="B130" s="135"/>
      <c r="C130" s="1811" t="s">
        <v>240</v>
      </c>
      <c r="D130" s="239" t="s">
        <v>149</v>
      </c>
      <c r="E130" s="240">
        <v>2</v>
      </c>
      <c r="F130" s="273">
        <v>0</v>
      </c>
      <c r="G130" s="274">
        <f t="shared" si="9"/>
        <v>0</v>
      </c>
      <c r="H130" s="565"/>
    </row>
    <row r="131" spans="2:8" s="136" customFormat="1" x14ac:dyDescent="0.2">
      <c r="B131" s="135"/>
      <c r="C131" s="1811" t="s">
        <v>241</v>
      </c>
      <c r="D131" s="239" t="s">
        <v>149</v>
      </c>
      <c r="E131" s="240">
        <v>2</v>
      </c>
      <c r="F131" s="273">
        <v>0</v>
      </c>
      <c r="G131" s="274">
        <f t="shared" si="9"/>
        <v>0</v>
      </c>
      <c r="H131" s="565"/>
    </row>
    <row r="132" spans="2:8" s="136" customFormat="1" x14ac:dyDescent="0.2">
      <c r="B132" s="135"/>
      <c r="C132" s="1811" t="s">
        <v>242</v>
      </c>
      <c r="D132" s="239" t="s">
        <v>149</v>
      </c>
      <c r="E132" s="240">
        <v>2</v>
      </c>
      <c r="F132" s="273">
        <v>0</v>
      </c>
      <c r="G132" s="274">
        <f t="shared" si="9"/>
        <v>0</v>
      </c>
      <c r="H132" s="565"/>
    </row>
    <row r="133" spans="2:8" s="136" customFormat="1" x14ac:dyDescent="0.2">
      <c r="B133" s="135"/>
      <c r="C133" s="1811" t="s">
        <v>197</v>
      </c>
      <c r="D133" s="239" t="s">
        <v>149</v>
      </c>
      <c r="E133" s="240">
        <v>1</v>
      </c>
      <c r="F133" s="273">
        <v>0</v>
      </c>
      <c r="G133" s="274">
        <f t="shared" si="9"/>
        <v>0</v>
      </c>
      <c r="H133" s="565"/>
    </row>
    <row r="134" spans="2:8" s="136" customFormat="1" x14ac:dyDescent="0.2">
      <c r="B134" s="135"/>
      <c r="C134" s="1812" t="s">
        <v>198</v>
      </c>
      <c r="D134" s="239" t="s">
        <v>149</v>
      </c>
      <c r="E134" s="240">
        <v>1</v>
      </c>
      <c r="F134" s="273">
        <v>0</v>
      </c>
      <c r="G134" s="274">
        <f t="shared" si="9"/>
        <v>0</v>
      </c>
      <c r="H134" s="565"/>
    </row>
    <row r="135" spans="2:8" s="136" customFormat="1" x14ac:dyDescent="0.2">
      <c r="B135" s="292" t="s">
        <v>199</v>
      </c>
      <c r="C135" s="238" t="s">
        <v>221</v>
      </c>
      <c r="D135" s="239"/>
      <c r="E135" s="240"/>
      <c r="F135" s="241"/>
      <c r="G135" s="242"/>
      <c r="H135" s="565"/>
    </row>
    <row r="136" spans="2:8" s="136" customFormat="1" x14ac:dyDescent="0.2">
      <c r="B136" s="135"/>
      <c r="C136" s="238" t="s">
        <v>1771</v>
      </c>
      <c r="D136" s="239"/>
      <c r="E136" s="240"/>
      <c r="F136" s="241">
        <v>0</v>
      </c>
      <c r="G136" s="242"/>
      <c r="H136" s="565"/>
    </row>
    <row r="137" spans="2:8" s="136" customFormat="1" x14ac:dyDescent="0.2">
      <c r="B137" s="135"/>
      <c r="C137" s="243" t="s">
        <v>207</v>
      </c>
      <c r="D137" s="239" t="s">
        <v>149</v>
      </c>
      <c r="E137" s="240">
        <v>1</v>
      </c>
      <c r="F137" s="273">
        <v>0</v>
      </c>
      <c r="G137" s="274">
        <f t="shared" ref="G137:G148" si="10">E137*F137</f>
        <v>0</v>
      </c>
      <c r="H137" s="565"/>
    </row>
    <row r="138" spans="2:8" s="136" customFormat="1" ht="24" x14ac:dyDescent="0.2">
      <c r="B138" s="135"/>
      <c r="C138" s="244" t="s">
        <v>223</v>
      </c>
      <c r="D138" s="239" t="s">
        <v>149</v>
      </c>
      <c r="E138" s="240">
        <v>1</v>
      </c>
      <c r="F138" s="273">
        <v>0</v>
      </c>
      <c r="G138" s="274">
        <f t="shared" si="10"/>
        <v>0</v>
      </c>
      <c r="H138" s="565"/>
    </row>
    <row r="139" spans="2:8" s="136" customFormat="1" x14ac:dyDescent="0.2">
      <c r="B139" s="135"/>
      <c r="C139" s="244" t="s">
        <v>213</v>
      </c>
      <c r="D139" s="239" t="s">
        <v>149</v>
      </c>
      <c r="E139" s="240">
        <v>1</v>
      </c>
      <c r="F139" s="273">
        <v>0</v>
      </c>
      <c r="G139" s="274">
        <f t="shared" si="10"/>
        <v>0</v>
      </c>
      <c r="H139" s="565"/>
    </row>
    <row r="140" spans="2:8" s="136" customFormat="1" x14ac:dyDescent="0.2">
      <c r="B140" s="135"/>
      <c r="C140" s="244" t="s">
        <v>224</v>
      </c>
      <c r="D140" s="239" t="s">
        <v>149</v>
      </c>
      <c r="E140" s="240">
        <v>1</v>
      </c>
      <c r="F140" s="273">
        <v>0</v>
      </c>
      <c r="G140" s="274">
        <f t="shared" si="10"/>
        <v>0</v>
      </c>
      <c r="H140" s="565"/>
    </row>
    <row r="141" spans="2:8" s="136" customFormat="1" x14ac:dyDescent="0.2">
      <c r="B141" s="135"/>
      <c r="C141" s="244" t="s">
        <v>225</v>
      </c>
      <c r="D141" s="239" t="s">
        <v>149</v>
      </c>
      <c r="E141" s="240">
        <v>1</v>
      </c>
      <c r="F141" s="273">
        <v>0</v>
      </c>
      <c r="G141" s="274">
        <f t="shared" si="10"/>
        <v>0</v>
      </c>
      <c r="H141" s="565"/>
    </row>
    <row r="142" spans="2:8" s="136" customFormat="1" x14ac:dyDescent="0.2">
      <c r="B142" s="135"/>
      <c r="C142" s="1811" t="s">
        <v>226</v>
      </c>
      <c r="D142" s="239" t="s">
        <v>149</v>
      </c>
      <c r="E142" s="240">
        <v>1</v>
      </c>
      <c r="F142" s="273">
        <v>0</v>
      </c>
      <c r="G142" s="274">
        <f t="shared" si="10"/>
        <v>0</v>
      </c>
      <c r="H142" s="565"/>
    </row>
    <row r="143" spans="2:8" s="136" customFormat="1" x14ac:dyDescent="0.2">
      <c r="B143" s="135"/>
      <c r="C143" s="1811" t="s">
        <v>217</v>
      </c>
      <c r="D143" s="239" t="s">
        <v>149</v>
      </c>
      <c r="E143" s="240">
        <v>1</v>
      </c>
      <c r="F143" s="273">
        <v>0</v>
      </c>
      <c r="G143" s="274">
        <f t="shared" si="10"/>
        <v>0</v>
      </c>
      <c r="H143" s="565"/>
    </row>
    <row r="144" spans="2:8" s="136" customFormat="1" x14ac:dyDescent="0.2">
      <c r="B144" s="135"/>
      <c r="C144" s="1811" t="s">
        <v>235</v>
      </c>
      <c r="D144" s="239" t="s">
        <v>149</v>
      </c>
      <c r="E144" s="240">
        <v>2</v>
      </c>
      <c r="F144" s="273">
        <v>0</v>
      </c>
      <c r="G144" s="274">
        <f t="shared" si="10"/>
        <v>0</v>
      </c>
      <c r="H144" s="565"/>
    </row>
    <row r="145" spans="2:9" s="136" customFormat="1" x14ac:dyDescent="0.2">
      <c r="B145" s="135"/>
      <c r="C145" s="1811" t="s">
        <v>236</v>
      </c>
      <c r="D145" s="239" t="s">
        <v>149</v>
      </c>
      <c r="E145" s="240">
        <v>2</v>
      </c>
      <c r="F145" s="273">
        <v>0</v>
      </c>
      <c r="G145" s="274">
        <f t="shared" si="10"/>
        <v>0</v>
      </c>
      <c r="H145" s="565"/>
    </row>
    <row r="146" spans="2:9" s="136" customFormat="1" x14ac:dyDescent="0.2">
      <c r="B146" s="135"/>
      <c r="C146" s="1811" t="s">
        <v>227</v>
      </c>
      <c r="D146" s="239" t="s">
        <v>149</v>
      </c>
      <c r="E146" s="240">
        <v>1</v>
      </c>
      <c r="F146" s="273">
        <v>0</v>
      </c>
      <c r="G146" s="274">
        <f t="shared" si="10"/>
        <v>0</v>
      </c>
      <c r="H146" s="565"/>
    </row>
    <row r="147" spans="2:9" s="136" customFormat="1" x14ac:dyDescent="0.2">
      <c r="B147" s="135"/>
      <c r="C147" s="1812" t="s">
        <v>198</v>
      </c>
      <c r="D147" s="239" t="s">
        <v>149</v>
      </c>
      <c r="E147" s="240">
        <v>1</v>
      </c>
      <c r="F147" s="273">
        <v>0</v>
      </c>
      <c r="G147" s="274">
        <f t="shared" si="10"/>
        <v>0</v>
      </c>
      <c r="H147" s="565"/>
    </row>
    <row r="148" spans="2:9" s="136" customFormat="1" ht="24" x14ac:dyDescent="0.2">
      <c r="B148" s="309" t="s">
        <v>1812</v>
      </c>
      <c r="C148" s="238" t="s">
        <v>229</v>
      </c>
      <c r="D148" s="239" t="s">
        <v>149</v>
      </c>
      <c r="E148" s="240">
        <v>1</v>
      </c>
      <c r="F148" s="273">
        <v>0</v>
      </c>
      <c r="G148" s="274">
        <f t="shared" si="10"/>
        <v>0</v>
      </c>
      <c r="H148" s="565"/>
    </row>
    <row r="149" spans="2:9" s="136" customFormat="1" x14ac:dyDescent="0.2">
      <c r="B149" s="292" t="s">
        <v>204</v>
      </c>
      <c r="C149" s="253" t="s">
        <v>231</v>
      </c>
      <c r="D149" s="254"/>
      <c r="E149" s="255"/>
      <c r="F149" s="256"/>
      <c r="G149" s="257"/>
      <c r="H149" s="565"/>
    </row>
    <row r="150" spans="2:9" s="136" customFormat="1" x14ac:dyDescent="0.2">
      <c r="B150" s="135"/>
      <c r="C150" s="253" t="s">
        <v>844</v>
      </c>
      <c r="D150" s="254"/>
      <c r="E150" s="255"/>
      <c r="F150" s="256">
        <v>0</v>
      </c>
      <c r="G150" s="257"/>
      <c r="H150" s="565"/>
    </row>
    <row r="151" spans="2:9" s="136" customFormat="1" ht="24" x14ac:dyDescent="0.2">
      <c r="B151" s="135"/>
      <c r="C151" s="258" t="s">
        <v>238</v>
      </c>
      <c r="D151" s="254" t="s">
        <v>149</v>
      </c>
      <c r="E151" s="255">
        <v>2</v>
      </c>
      <c r="F151" s="277">
        <v>0</v>
      </c>
      <c r="G151" s="278">
        <f t="shared" ref="G151:G159" si="11">E151*F151</f>
        <v>0</v>
      </c>
      <c r="H151" s="565"/>
    </row>
    <row r="152" spans="2:9" s="136" customFormat="1" x14ac:dyDescent="0.2">
      <c r="B152" s="135"/>
      <c r="C152" s="1816" t="s">
        <v>235</v>
      </c>
      <c r="D152" s="254" t="s">
        <v>149</v>
      </c>
      <c r="E152" s="255">
        <v>4</v>
      </c>
      <c r="F152" s="277">
        <v>0</v>
      </c>
      <c r="G152" s="278">
        <f t="shared" si="11"/>
        <v>0</v>
      </c>
      <c r="H152" s="565"/>
    </row>
    <row r="153" spans="2:9" s="136" customFormat="1" x14ac:dyDescent="0.2">
      <c r="B153" s="135"/>
      <c r="C153" s="1816" t="s">
        <v>239</v>
      </c>
      <c r="D153" s="254" t="s">
        <v>149</v>
      </c>
      <c r="E153" s="255">
        <v>2</v>
      </c>
      <c r="F153" s="277">
        <v>0</v>
      </c>
      <c r="G153" s="278">
        <f t="shared" si="11"/>
        <v>0</v>
      </c>
      <c r="H153" s="565"/>
    </row>
    <row r="154" spans="2:9" s="136" customFormat="1" x14ac:dyDescent="0.2">
      <c r="B154" s="135"/>
      <c r="C154" s="1816" t="s">
        <v>236</v>
      </c>
      <c r="D154" s="254" t="s">
        <v>149</v>
      </c>
      <c r="E154" s="255">
        <v>4</v>
      </c>
      <c r="F154" s="277">
        <v>0</v>
      </c>
      <c r="G154" s="278">
        <f t="shared" si="11"/>
        <v>0</v>
      </c>
      <c r="H154" s="565"/>
    </row>
    <row r="155" spans="2:9" s="136" customFormat="1" x14ac:dyDescent="0.2">
      <c r="B155" s="135"/>
      <c r="C155" s="1816" t="s">
        <v>240</v>
      </c>
      <c r="D155" s="254" t="s">
        <v>149</v>
      </c>
      <c r="E155" s="255">
        <v>2</v>
      </c>
      <c r="F155" s="277">
        <v>0</v>
      </c>
      <c r="G155" s="278">
        <f t="shared" si="11"/>
        <v>0</v>
      </c>
      <c r="H155" s="565"/>
    </row>
    <row r="156" spans="2:9" s="136" customFormat="1" x14ac:dyDescent="0.2">
      <c r="B156" s="135"/>
      <c r="C156" s="1816" t="s">
        <v>241</v>
      </c>
      <c r="D156" s="254" t="s">
        <v>149</v>
      </c>
      <c r="E156" s="255">
        <v>2</v>
      </c>
      <c r="F156" s="277">
        <v>0</v>
      </c>
      <c r="G156" s="278">
        <f t="shared" si="11"/>
        <v>0</v>
      </c>
      <c r="H156" s="565"/>
    </row>
    <row r="157" spans="2:9" s="136" customFormat="1" x14ac:dyDescent="0.2">
      <c r="B157" s="135"/>
      <c r="C157" s="1816" t="s">
        <v>242</v>
      </c>
      <c r="D157" s="254" t="s">
        <v>149</v>
      </c>
      <c r="E157" s="255">
        <v>2</v>
      </c>
      <c r="F157" s="277">
        <v>0</v>
      </c>
      <c r="G157" s="278">
        <f t="shared" si="11"/>
        <v>0</v>
      </c>
      <c r="H157" s="565"/>
    </row>
    <row r="158" spans="2:9" s="136" customFormat="1" ht="12.75" customHeight="1" x14ac:dyDescent="0.3">
      <c r="B158" s="135"/>
      <c r="C158" s="1816" t="s">
        <v>227</v>
      </c>
      <c r="D158" s="254" t="s">
        <v>149</v>
      </c>
      <c r="E158" s="255">
        <v>2</v>
      </c>
      <c r="F158" s="277">
        <v>0</v>
      </c>
      <c r="G158" s="278">
        <f t="shared" si="11"/>
        <v>0</v>
      </c>
      <c r="H158" s="565"/>
      <c r="I158" s="1422"/>
    </row>
    <row r="159" spans="2:9" s="136" customFormat="1" ht="12.75" customHeight="1" x14ac:dyDescent="0.3">
      <c r="B159" s="135"/>
      <c r="C159" s="1817" t="s">
        <v>198</v>
      </c>
      <c r="D159" s="254" t="s">
        <v>149</v>
      </c>
      <c r="E159" s="255">
        <v>2</v>
      </c>
      <c r="F159" s="277">
        <v>0</v>
      </c>
      <c r="G159" s="278">
        <f t="shared" si="11"/>
        <v>0</v>
      </c>
      <c r="H159" s="565"/>
      <c r="I159" s="1422"/>
    </row>
    <row r="160" spans="2:9" s="136" customFormat="1" ht="12.75" customHeight="1" x14ac:dyDescent="0.3">
      <c r="B160" s="292" t="s">
        <v>220</v>
      </c>
      <c r="C160" s="247" t="s">
        <v>244</v>
      </c>
      <c r="D160" s="202"/>
      <c r="E160" s="248"/>
      <c r="F160" s="249"/>
      <c r="G160" s="205"/>
      <c r="H160" s="565"/>
      <c r="I160" s="1422"/>
    </row>
    <row r="161" spans="2:9" s="136" customFormat="1" ht="12.75" customHeight="1" x14ac:dyDescent="0.3">
      <c r="B161" s="135"/>
      <c r="C161" s="247" t="s">
        <v>826</v>
      </c>
      <c r="D161" s="202"/>
      <c r="E161" s="248"/>
      <c r="F161" s="249">
        <v>0</v>
      </c>
      <c r="G161" s="205"/>
      <c r="H161" s="565"/>
      <c r="I161" s="1422"/>
    </row>
    <row r="162" spans="2:9" s="136" customFormat="1" ht="36" x14ac:dyDescent="0.3">
      <c r="B162" s="135"/>
      <c r="C162" s="262" t="s">
        <v>827</v>
      </c>
      <c r="D162" s="202" t="s">
        <v>149</v>
      </c>
      <c r="E162" s="248">
        <v>10</v>
      </c>
      <c r="F162" s="275">
        <v>0</v>
      </c>
      <c r="G162" s="276">
        <f t="shared" ref="G162:G164" si="12">E162*F162</f>
        <v>0</v>
      </c>
      <c r="H162" s="565"/>
      <c r="I162" s="1422"/>
    </row>
    <row r="163" spans="2:9" s="136" customFormat="1" ht="12.75" customHeight="1" x14ac:dyDescent="0.3">
      <c r="B163" s="135"/>
      <c r="C163" s="1814" t="s">
        <v>247</v>
      </c>
      <c r="D163" s="202" t="s">
        <v>149</v>
      </c>
      <c r="E163" s="248">
        <v>10</v>
      </c>
      <c r="F163" s="275">
        <v>0</v>
      </c>
      <c r="G163" s="276">
        <f t="shared" si="12"/>
        <v>0</v>
      </c>
      <c r="H163" s="565"/>
      <c r="I163" s="1422"/>
    </row>
    <row r="164" spans="2:9" s="136" customFormat="1" ht="12.75" customHeight="1" x14ac:dyDescent="0.3">
      <c r="B164" s="135"/>
      <c r="C164" s="1821" t="s">
        <v>248</v>
      </c>
      <c r="D164" s="202" t="s">
        <v>149</v>
      </c>
      <c r="E164" s="248">
        <v>10</v>
      </c>
      <c r="F164" s="275">
        <v>0</v>
      </c>
      <c r="G164" s="276">
        <f t="shared" si="12"/>
        <v>0</v>
      </c>
      <c r="H164" s="565"/>
      <c r="I164" s="1422"/>
    </row>
    <row r="165" spans="2:9" s="136" customFormat="1" ht="12.75" customHeight="1" x14ac:dyDescent="0.3">
      <c r="B165" s="135"/>
      <c r="C165" s="247" t="s">
        <v>828</v>
      </c>
      <c r="D165" s="202"/>
      <c r="E165" s="248"/>
      <c r="F165" s="249">
        <v>0</v>
      </c>
      <c r="G165" s="205"/>
      <c r="H165" s="565"/>
      <c r="I165" s="1422"/>
    </row>
    <row r="166" spans="2:9" s="136" customFormat="1" ht="36" x14ac:dyDescent="0.3">
      <c r="B166" s="135"/>
      <c r="C166" s="262" t="s">
        <v>829</v>
      </c>
      <c r="D166" s="202" t="s">
        <v>149</v>
      </c>
      <c r="E166" s="248">
        <v>25</v>
      </c>
      <c r="F166" s="275">
        <v>0</v>
      </c>
      <c r="G166" s="276">
        <f t="shared" ref="G166:G170" si="13">E166*F166</f>
        <v>0</v>
      </c>
      <c r="H166" s="565"/>
      <c r="I166" s="1422"/>
    </row>
    <row r="167" spans="2:9" s="136" customFormat="1" ht="12.75" customHeight="1" x14ac:dyDescent="0.3">
      <c r="B167" s="135"/>
      <c r="C167" s="1814" t="s">
        <v>247</v>
      </c>
      <c r="D167" s="202" t="s">
        <v>149</v>
      </c>
      <c r="E167" s="248">
        <v>25</v>
      </c>
      <c r="F167" s="275">
        <v>0</v>
      </c>
      <c r="G167" s="276">
        <f t="shared" si="13"/>
        <v>0</v>
      </c>
      <c r="H167" s="565"/>
      <c r="I167" s="1422"/>
    </row>
    <row r="168" spans="2:9" s="136" customFormat="1" ht="12.75" customHeight="1" x14ac:dyDescent="0.3">
      <c r="B168" s="135"/>
      <c r="C168" s="1815" t="s">
        <v>198</v>
      </c>
      <c r="D168" s="202" t="s">
        <v>149</v>
      </c>
      <c r="E168" s="248">
        <v>25</v>
      </c>
      <c r="F168" s="275">
        <v>0</v>
      </c>
      <c r="G168" s="276">
        <f t="shared" si="13"/>
        <v>0</v>
      </c>
      <c r="H168" s="565"/>
      <c r="I168" s="1422"/>
    </row>
    <row r="169" spans="2:9" s="136" customFormat="1" ht="12.75" customHeight="1" x14ac:dyDescent="0.3">
      <c r="B169" s="135"/>
      <c r="C169" s="1818" t="s">
        <v>1726</v>
      </c>
      <c r="D169" s="202" t="s">
        <v>149</v>
      </c>
      <c r="E169" s="248">
        <v>10</v>
      </c>
      <c r="F169" s="275">
        <v>0</v>
      </c>
      <c r="G169" s="276">
        <f t="shared" si="13"/>
        <v>0</v>
      </c>
      <c r="H169" s="565"/>
      <c r="I169" s="1422"/>
    </row>
    <row r="170" spans="2:9" s="136" customFormat="1" ht="12.75" customHeight="1" x14ac:dyDescent="0.3">
      <c r="B170" s="135"/>
      <c r="C170" s="1818" t="s">
        <v>1727</v>
      </c>
      <c r="D170" s="202" t="s">
        <v>149</v>
      </c>
      <c r="E170" s="248">
        <v>10</v>
      </c>
      <c r="F170" s="275">
        <v>0</v>
      </c>
      <c r="G170" s="276">
        <f t="shared" si="13"/>
        <v>0</v>
      </c>
      <c r="H170" s="565"/>
      <c r="I170" s="1422"/>
    </row>
    <row r="171" spans="2:9" s="136" customFormat="1" x14ac:dyDescent="0.2">
      <c r="B171" s="292" t="s">
        <v>330</v>
      </c>
      <c r="C171" s="280" t="s">
        <v>300</v>
      </c>
      <c r="D171" s="281"/>
      <c r="E171" s="282"/>
      <c r="F171" s="283"/>
      <c r="G171" s="284"/>
      <c r="H171" s="565"/>
    </row>
    <row r="172" spans="2:9" s="136" customFormat="1" ht="60" x14ac:dyDescent="0.2">
      <c r="B172" s="135"/>
      <c r="C172" s="285" t="s">
        <v>301</v>
      </c>
      <c r="D172" s="286" t="s">
        <v>149</v>
      </c>
      <c r="E172" s="287">
        <v>35</v>
      </c>
      <c r="F172" s="288">
        <v>0</v>
      </c>
      <c r="G172" s="289">
        <f t="shared" ref="G172" si="14">E172*F172</f>
        <v>0</v>
      </c>
      <c r="H172" s="565"/>
    </row>
    <row r="173" spans="2:9" s="136" customFormat="1" ht="25.5" customHeight="1" x14ac:dyDescent="0.3">
      <c r="B173" s="293" t="s">
        <v>17</v>
      </c>
      <c r="C173" s="294" t="s">
        <v>302</v>
      </c>
      <c r="D173" s="218"/>
      <c r="E173" s="203"/>
      <c r="F173" s="204"/>
      <c r="G173" s="290">
        <f>SUM(G90:G172)</f>
        <v>0</v>
      </c>
      <c r="H173" s="565"/>
      <c r="I173" s="1422"/>
    </row>
    <row r="174" spans="2:9" ht="12.75" customHeight="1" x14ac:dyDescent="0.3">
      <c r="I174" s="1422"/>
    </row>
    <row r="175" spans="2:9" ht="12.75" customHeight="1" x14ac:dyDescent="0.3">
      <c r="I175" s="1422"/>
    </row>
    <row r="176" spans="2:9" ht="12.75" customHeight="1" x14ac:dyDescent="0.3">
      <c r="I176" s="1422"/>
    </row>
    <row r="177" spans="9:9" ht="12.75" customHeight="1" x14ac:dyDescent="0.3">
      <c r="I177" s="1422"/>
    </row>
    <row r="178" spans="9:9" ht="12.75" customHeight="1" x14ac:dyDescent="0.3">
      <c r="I178" s="1422"/>
    </row>
  </sheetData>
  <mergeCells count="6">
    <mergeCell ref="B99:B101"/>
    <mergeCell ref="B42:G42"/>
    <mergeCell ref="B53:B55"/>
    <mergeCell ref="B87:G87"/>
    <mergeCell ref="B88:G88"/>
    <mergeCell ref="B89:G89"/>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7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1911C-F0E4-4AAC-B550-8908D42947BD}">
  <sheetPr>
    <tabColor theme="0" tint="-0.14999847407452621"/>
  </sheetPr>
  <dimension ref="A2:XFD711"/>
  <sheetViews>
    <sheetView topLeftCell="A210" zoomScaleNormal="100" zoomScaleSheetLayoutView="100" workbookViewId="0">
      <selection activeCell="B216" sqref="B216:G216"/>
    </sheetView>
  </sheetViews>
  <sheetFormatPr defaultColWidth="10.42578125" defaultRowHeight="12.75" x14ac:dyDescent="0.2"/>
  <cols>
    <col min="1" max="1" width="3.28515625" style="121" customWidth="1"/>
    <col min="2" max="2" width="6.85546875" style="120" customWidth="1"/>
    <col min="3" max="3" width="41" style="188" customWidth="1"/>
    <col min="4" max="4" width="10.42578125" style="189" customWidth="1"/>
    <col min="5" max="5" width="9.28515625" style="190" customWidth="1"/>
    <col min="6" max="6" width="14.5703125" style="191" customWidth="1"/>
    <col min="7" max="7" width="15.28515625" style="187" customWidth="1"/>
    <col min="8" max="8" width="63.140625" style="1423" bestFit="1" customWidth="1"/>
    <col min="9" max="9" width="26.28515625" style="121" customWidth="1"/>
    <col min="10" max="10" width="10.42578125" style="121" customWidth="1"/>
    <col min="11" max="256" width="10.42578125" style="121"/>
    <col min="257" max="257" width="4.42578125" style="121" customWidth="1"/>
    <col min="258" max="258" width="7.42578125" style="121" customWidth="1"/>
    <col min="259" max="259" width="42.85546875" style="121" customWidth="1"/>
    <col min="260" max="260" width="10.42578125" style="121"/>
    <col min="261" max="261" width="9.28515625" style="121" customWidth="1"/>
    <col min="262" max="262" width="15.5703125" style="121" customWidth="1"/>
    <col min="263" max="263" width="16.42578125" style="121" bestFit="1" customWidth="1"/>
    <col min="264" max="264" width="63.140625" style="121" bestFit="1" customWidth="1"/>
    <col min="265" max="265" width="26.28515625" style="121" customWidth="1"/>
    <col min="266" max="512" width="10.42578125" style="121"/>
    <col min="513" max="513" width="4.42578125" style="121" customWidth="1"/>
    <col min="514" max="514" width="7.42578125" style="121" customWidth="1"/>
    <col min="515" max="515" width="42.85546875" style="121" customWidth="1"/>
    <col min="516" max="516" width="10.42578125" style="121"/>
    <col min="517" max="517" width="9.28515625" style="121" customWidth="1"/>
    <col min="518" max="518" width="15.5703125" style="121" customWidth="1"/>
    <col min="519" max="519" width="16.42578125" style="121" bestFit="1" customWidth="1"/>
    <col min="520" max="520" width="63.140625" style="121" bestFit="1" customWidth="1"/>
    <col min="521" max="521" width="26.28515625" style="121" customWidth="1"/>
    <col min="522" max="768" width="10.42578125" style="121"/>
    <col min="769" max="769" width="4.42578125" style="121" customWidth="1"/>
    <col min="770" max="770" width="7.42578125" style="121" customWidth="1"/>
    <col min="771" max="771" width="42.85546875" style="121" customWidth="1"/>
    <col min="772" max="772" width="10.42578125" style="121"/>
    <col min="773" max="773" width="9.28515625" style="121" customWidth="1"/>
    <col min="774" max="774" width="15.5703125" style="121" customWidth="1"/>
    <col min="775" max="775" width="16.42578125" style="121" bestFit="1" customWidth="1"/>
    <col min="776" max="776" width="63.140625" style="121" bestFit="1" customWidth="1"/>
    <col min="777" max="777" width="26.28515625" style="121" customWidth="1"/>
    <col min="778" max="1024" width="10.42578125" style="121"/>
    <col min="1025" max="1025" width="4.42578125" style="121" customWidth="1"/>
    <col min="1026" max="1026" width="7.42578125" style="121" customWidth="1"/>
    <col min="1027" max="1027" width="42.85546875" style="121" customWidth="1"/>
    <col min="1028" max="1028" width="10.42578125" style="121"/>
    <col min="1029" max="1029" width="9.28515625" style="121" customWidth="1"/>
    <col min="1030" max="1030" width="15.5703125" style="121" customWidth="1"/>
    <col min="1031" max="1031" width="16.42578125" style="121" bestFit="1" customWidth="1"/>
    <col min="1032" max="1032" width="63.140625" style="121" bestFit="1" customWidth="1"/>
    <col min="1033" max="1033" width="26.28515625" style="121" customWidth="1"/>
    <col min="1034" max="1280" width="10.42578125" style="121"/>
    <col min="1281" max="1281" width="4.42578125" style="121" customWidth="1"/>
    <col min="1282" max="1282" width="7.42578125" style="121" customWidth="1"/>
    <col min="1283" max="1283" width="42.85546875" style="121" customWidth="1"/>
    <col min="1284" max="1284" width="10.42578125" style="121"/>
    <col min="1285" max="1285" width="9.28515625" style="121" customWidth="1"/>
    <col min="1286" max="1286" width="15.5703125" style="121" customWidth="1"/>
    <col min="1287" max="1287" width="16.42578125" style="121" bestFit="1" customWidth="1"/>
    <col min="1288" max="1288" width="63.140625" style="121" bestFit="1" customWidth="1"/>
    <col min="1289" max="1289" width="26.28515625" style="121" customWidth="1"/>
    <col min="1290" max="1536" width="10.42578125" style="121"/>
    <col min="1537" max="1537" width="4.42578125" style="121" customWidth="1"/>
    <col min="1538" max="1538" width="7.42578125" style="121" customWidth="1"/>
    <col min="1539" max="1539" width="42.85546875" style="121" customWidth="1"/>
    <col min="1540" max="1540" width="10.42578125" style="121"/>
    <col min="1541" max="1541" width="9.28515625" style="121" customWidth="1"/>
    <col min="1542" max="1542" width="15.5703125" style="121" customWidth="1"/>
    <col min="1543" max="1543" width="16.42578125" style="121" bestFit="1" customWidth="1"/>
    <col min="1544" max="1544" width="63.140625" style="121" bestFit="1" customWidth="1"/>
    <col min="1545" max="1545" width="26.28515625" style="121" customWidth="1"/>
    <col min="1546" max="1792" width="10.42578125" style="121"/>
    <col min="1793" max="1793" width="4.42578125" style="121" customWidth="1"/>
    <col min="1794" max="1794" width="7.42578125" style="121" customWidth="1"/>
    <col min="1795" max="1795" width="42.85546875" style="121" customWidth="1"/>
    <col min="1796" max="1796" width="10.42578125" style="121"/>
    <col min="1797" max="1797" width="9.28515625" style="121" customWidth="1"/>
    <col min="1798" max="1798" width="15.5703125" style="121" customWidth="1"/>
    <col min="1799" max="1799" width="16.42578125" style="121" bestFit="1" customWidth="1"/>
    <col min="1800" max="1800" width="63.140625" style="121" bestFit="1" customWidth="1"/>
    <col min="1801" max="1801" width="26.28515625" style="121" customWidth="1"/>
    <col min="1802" max="2048" width="10.42578125" style="121"/>
    <col min="2049" max="2049" width="4.42578125" style="121" customWidth="1"/>
    <col min="2050" max="2050" width="7.42578125" style="121" customWidth="1"/>
    <col min="2051" max="2051" width="42.85546875" style="121" customWidth="1"/>
    <col min="2052" max="2052" width="10.42578125" style="121"/>
    <col min="2053" max="2053" width="9.28515625" style="121" customWidth="1"/>
    <col min="2054" max="2054" width="15.5703125" style="121" customWidth="1"/>
    <col min="2055" max="2055" width="16.42578125" style="121" bestFit="1" customWidth="1"/>
    <col min="2056" max="2056" width="63.140625" style="121" bestFit="1" customWidth="1"/>
    <col min="2057" max="2057" width="26.28515625" style="121" customWidth="1"/>
    <col min="2058" max="2304" width="10.42578125" style="121"/>
    <col min="2305" max="2305" width="4.42578125" style="121" customWidth="1"/>
    <col min="2306" max="2306" width="7.42578125" style="121" customWidth="1"/>
    <col min="2307" max="2307" width="42.85546875" style="121" customWidth="1"/>
    <col min="2308" max="2308" width="10.42578125" style="121"/>
    <col min="2309" max="2309" width="9.28515625" style="121" customWidth="1"/>
    <col min="2310" max="2310" width="15.5703125" style="121" customWidth="1"/>
    <col min="2311" max="2311" width="16.42578125" style="121" bestFit="1" customWidth="1"/>
    <col min="2312" max="2312" width="63.140625" style="121" bestFit="1" customWidth="1"/>
    <col min="2313" max="2313" width="26.28515625" style="121" customWidth="1"/>
    <col min="2314" max="2560" width="10.42578125" style="121"/>
    <col min="2561" max="2561" width="4.42578125" style="121" customWidth="1"/>
    <col min="2562" max="2562" width="7.42578125" style="121" customWidth="1"/>
    <col min="2563" max="2563" width="42.85546875" style="121" customWidth="1"/>
    <col min="2564" max="2564" width="10.42578125" style="121"/>
    <col min="2565" max="2565" width="9.28515625" style="121" customWidth="1"/>
    <col min="2566" max="2566" width="15.5703125" style="121" customWidth="1"/>
    <col min="2567" max="2567" width="16.42578125" style="121" bestFit="1" customWidth="1"/>
    <col min="2568" max="2568" width="63.140625" style="121" bestFit="1" customWidth="1"/>
    <col min="2569" max="2569" width="26.28515625" style="121" customWidth="1"/>
    <col min="2570" max="2816" width="10.42578125" style="121"/>
    <col min="2817" max="2817" width="4.42578125" style="121" customWidth="1"/>
    <col min="2818" max="2818" width="7.42578125" style="121" customWidth="1"/>
    <col min="2819" max="2819" width="42.85546875" style="121" customWidth="1"/>
    <col min="2820" max="2820" width="10.42578125" style="121"/>
    <col min="2821" max="2821" width="9.28515625" style="121" customWidth="1"/>
    <col min="2822" max="2822" width="15.5703125" style="121" customWidth="1"/>
    <col min="2823" max="2823" width="16.42578125" style="121" bestFit="1" customWidth="1"/>
    <col min="2824" max="2824" width="63.140625" style="121" bestFit="1" customWidth="1"/>
    <col min="2825" max="2825" width="26.28515625" style="121" customWidth="1"/>
    <col min="2826" max="3072" width="10.42578125" style="121"/>
    <col min="3073" max="3073" width="4.42578125" style="121" customWidth="1"/>
    <col min="3074" max="3074" width="7.42578125" style="121" customWidth="1"/>
    <col min="3075" max="3075" width="42.85546875" style="121" customWidth="1"/>
    <col min="3076" max="3076" width="10.42578125" style="121"/>
    <col min="3077" max="3077" width="9.28515625" style="121" customWidth="1"/>
    <col min="3078" max="3078" width="15.5703125" style="121" customWidth="1"/>
    <col min="3079" max="3079" width="16.42578125" style="121" bestFit="1" customWidth="1"/>
    <col min="3080" max="3080" width="63.140625" style="121" bestFit="1" customWidth="1"/>
    <col min="3081" max="3081" width="26.28515625" style="121" customWidth="1"/>
    <col min="3082" max="3328" width="10.42578125" style="121"/>
    <col min="3329" max="3329" width="4.42578125" style="121" customWidth="1"/>
    <col min="3330" max="3330" width="7.42578125" style="121" customWidth="1"/>
    <col min="3331" max="3331" width="42.85546875" style="121" customWidth="1"/>
    <col min="3332" max="3332" width="10.42578125" style="121"/>
    <col min="3333" max="3333" width="9.28515625" style="121" customWidth="1"/>
    <col min="3334" max="3334" width="15.5703125" style="121" customWidth="1"/>
    <col min="3335" max="3335" width="16.42578125" style="121" bestFit="1" customWidth="1"/>
    <col min="3336" max="3336" width="63.140625" style="121" bestFit="1" customWidth="1"/>
    <col min="3337" max="3337" width="26.28515625" style="121" customWidth="1"/>
    <col min="3338" max="3584" width="10.42578125" style="121"/>
    <col min="3585" max="3585" width="4.42578125" style="121" customWidth="1"/>
    <col min="3586" max="3586" width="7.42578125" style="121" customWidth="1"/>
    <col min="3587" max="3587" width="42.85546875" style="121" customWidth="1"/>
    <col min="3588" max="3588" width="10.42578125" style="121"/>
    <col min="3589" max="3589" width="9.28515625" style="121" customWidth="1"/>
    <col min="3590" max="3590" width="15.5703125" style="121" customWidth="1"/>
    <col min="3591" max="3591" width="16.42578125" style="121" bestFit="1" customWidth="1"/>
    <col min="3592" max="3592" width="63.140625" style="121" bestFit="1" customWidth="1"/>
    <col min="3593" max="3593" width="26.28515625" style="121" customWidth="1"/>
    <col min="3594" max="3840" width="10.42578125" style="121"/>
    <col min="3841" max="3841" width="4.42578125" style="121" customWidth="1"/>
    <col min="3842" max="3842" width="7.42578125" style="121" customWidth="1"/>
    <col min="3843" max="3843" width="42.85546875" style="121" customWidth="1"/>
    <col min="3844" max="3844" width="10.42578125" style="121"/>
    <col min="3845" max="3845" width="9.28515625" style="121" customWidth="1"/>
    <col min="3846" max="3846" width="15.5703125" style="121" customWidth="1"/>
    <col min="3847" max="3847" width="16.42578125" style="121" bestFit="1" customWidth="1"/>
    <col min="3848" max="3848" width="63.140625" style="121" bestFit="1" customWidth="1"/>
    <col min="3849" max="3849" width="26.28515625" style="121" customWidth="1"/>
    <col min="3850" max="4096" width="10.42578125" style="121"/>
    <col min="4097" max="4097" width="4.42578125" style="121" customWidth="1"/>
    <col min="4098" max="4098" width="7.42578125" style="121" customWidth="1"/>
    <col min="4099" max="4099" width="42.85546875" style="121" customWidth="1"/>
    <col min="4100" max="4100" width="10.42578125" style="121"/>
    <col min="4101" max="4101" width="9.28515625" style="121" customWidth="1"/>
    <col min="4102" max="4102" width="15.5703125" style="121" customWidth="1"/>
    <col min="4103" max="4103" width="16.42578125" style="121" bestFit="1" customWidth="1"/>
    <col min="4104" max="4104" width="63.140625" style="121" bestFit="1" customWidth="1"/>
    <col min="4105" max="4105" width="26.28515625" style="121" customWidth="1"/>
    <col min="4106" max="4352" width="10.42578125" style="121"/>
    <col min="4353" max="4353" width="4.42578125" style="121" customWidth="1"/>
    <col min="4354" max="4354" width="7.42578125" style="121" customWidth="1"/>
    <col min="4355" max="4355" width="42.85546875" style="121" customWidth="1"/>
    <col min="4356" max="4356" width="10.42578125" style="121"/>
    <col min="4357" max="4357" width="9.28515625" style="121" customWidth="1"/>
    <col min="4358" max="4358" width="15.5703125" style="121" customWidth="1"/>
    <col min="4359" max="4359" width="16.42578125" style="121" bestFit="1" customWidth="1"/>
    <col min="4360" max="4360" width="63.140625" style="121" bestFit="1" customWidth="1"/>
    <col min="4361" max="4361" width="26.28515625" style="121" customWidth="1"/>
    <col min="4362" max="4608" width="10.42578125" style="121"/>
    <col min="4609" max="4609" width="4.42578125" style="121" customWidth="1"/>
    <col min="4610" max="4610" width="7.42578125" style="121" customWidth="1"/>
    <col min="4611" max="4611" width="42.85546875" style="121" customWidth="1"/>
    <col min="4612" max="4612" width="10.42578125" style="121"/>
    <col min="4613" max="4613" width="9.28515625" style="121" customWidth="1"/>
    <col min="4614" max="4614" width="15.5703125" style="121" customWidth="1"/>
    <col min="4615" max="4615" width="16.42578125" style="121" bestFit="1" customWidth="1"/>
    <col min="4616" max="4616" width="63.140625" style="121" bestFit="1" customWidth="1"/>
    <col min="4617" max="4617" width="26.28515625" style="121" customWidth="1"/>
    <col min="4618" max="4864" width="10.42578125" style="121"/>
    <col min="4865" max="4865" width="4.42578125" style="121" customWidth="1"/>
    <col min="4866" max="4866" width="7.42578125" style="121" customWidth="1"/>
    <col min="4867" max="4867" width="42.85546875" style="121" customWidth="1"/>
    <col min="4868" max="4868" width="10.42578125" style="121"/>
    <col min="4869" max="4869" width="9.28515625" style="121" customWidth="1"/>
    <col min="4870" max="4870" width="15.5703125" style="121" customWidth="1"/>
    <col min="4871" max="4871" width="16.42578125" style="121" bestFit="1" customWidth="1"/>
    <col min="4872" max="4872" width="63.140625" style="121" bestFit="1" customWidth="1"/>
    <col min="4873" max="4873" width="26.28515625" style="121" customWidth="1"/>
    <col min="4874" max="5120" width="10.42578125" style="121"/>
    <col min="5121" max="5121" width="4.42578125" style="121" customWidth="1"/>
    <col min="5122" max="5122" width="7.42578125" style="121" customWidth="1"/>
    <col min="5123" max="5123" width="42.85546875" style="121" customWidth="1"/>
    <col min="5124" max="5124" width="10.42578125" style="121"/>
    <col min="5125" max="5125" width="9.28515625" style="121" customWidth="1"/>
    <col min="5126" max="5126" width="15.5703125" style="121" customWidth="1"/>
    <col min="5127" max="5127" width="16.42578125" style="121" bestFit="1" customWidth="1"/>
    <col min="5128" max="5128" width="63.140625" style="121" bestFit="1" customWidth="1"/>
    <col min="5129" max="5129" width="26.28515625" style="121" customWidth="1"/>
    <col min="5130" max="5376" width="10.42578125" style="121"/>
    <col min="5377" max="5377" width="4.42578125" style="121" customWidth="1"/>
    <col min="5378" max="5378" width="7.42578125" style="121" customWidth="1"/>
    <col min="5379" max="5379" width="42.85546875" style="121" customWidth="1"/>
    <col min="5380" max="5380" width="10.42578125" style="121"/>
    <col min="5381" max="5381" width="9.28515625" style="121" customWidth="1"/>
    <col min="5382" max="5382" width="15.5703125" style="121" customWidth="1"/>
    <col min="5383" max="5383" width="16.42578125" style="121" bestFit="1" customWidth="1"/>
    <col min="5384" max="5384" width="63.140625" style="121" bestFit="1" customWidth="1"/>
    <col min="5385" max="5385" width="26.28515625" style="121" customWidth="1"/>
    <col min="5386" max="5632" width="10.42578125" style="121"/>
    <col min="5633" max="5633" width="4.42578125" style="121" customWidth="1"/>
    <col min="5634" max="5634" width="7.42578125" style="121" customWidth="1"/>
    <col min="5635" max="5635" width="42.85546875" style="121" customWidth="1"/>
    <col min="5636" max="5636" width="10.42578125" style="121"/>
    <col min="5637" max="5637" width="9.28515625" style="121" customWidth="1"/>
    <col min="5638" max="5638" width="15.5703125" style="121" customWidth="1"/>
    <col min="5639" max="5639" width="16.42578125" style="121" bestFit="1" customWidth="1"/>
    <col min="5640" max="5640" width="63.140625" style="121" bestFit="1" customWidth="1"/>
    <col min="5641" max="5641" width="26.28515625" style="121" customWidth="1"/>
    <col min="5642" max="5888" width="10.42578125" style="121"/>
    <col min="5889" max="5889" width="4.42578125" style="121" customWidth="1"/>
    <col min="5890" max="5890" width="7.42578125" style="121" customWidth="1"/>
    <col min="5891" max="5891" width="42.85546875" style="121" customWidth="1"/>
    <col min="5892" max="5892" width="10.42578125" style="121"/>
    <col min="5893" max="5893" width="9.28515625" style="121" customWidth="1"/>
    <col min="5894" max="5894" width="15.5703125" style="121" customWidth="1"/>
    <col min="5895" max="5895" width="16.42578125" style="121" bestFit="1" customWidth="1"/>
    <col min="5896" max="5896" width="63.140625" style="121" bestFit="1" customWidth="1"/>
    <col min="5897" max="5897" width="26.28515625" style="121" customWidth="1"/>
    <col min="5898" max="6144" width="10.42578125" style="121"/>
    <col min="6145" max="6145" width="4.42578125" style="121" customWidth="1"/>
    <col min="6146" max="6146" width="7.42578125" style="121" customWidth="1"/>
    <col min="6147" max="6147" width="42.85546875" style="121" customWidth="1"/>
    <col min="6148" max="6148" width="10.42578125" style="121"/>
    <col min="6149" max="6149" width="9.28515625" style="121" customWidth="1"/>
    <col min="6150" max="6150" width="15.5703125" style="121" customWidth="1"/>
    <col min="6151" max="6151" width="16.42578125" style="121" bestFit="1" customWidth="1"/>
    <col min="6152" max="6152" width="63.140625" style="121" bestFit="1" customWidth="1"/>
    <col min="6153" max="6153" width="26.28515625" style="121" customWidth="1"/>
    <col min="6154" max="6400" width="10.42578125" style="121"/>
    <col min="6401" max="6401" width="4.42578125" style="121" customWidth="1"/>
    <col min="6402" max="6402" width="7.42578125" style="121" customWidth="1"/>
    <col min="6403" max="6403" width="42.85546875" style="121" customWidth="1"/>
    <col min="6404" max="6404" width="10.42578125" style="121"/>
    <col min="6405" max="6405" width="9.28515625" style="121" customWidth="1"/>
    <col min="6406" max="6406" width="15.5703125" style="121" customWidth="1"/>
    <col min="6407" max="6407" width="16.42578125" style="121" bestFit="1" customWidth="1"/>
    <col min="6408" max="6408" width="63.140625" style="121" bestFit="1" customWidth="1"/>
    <col min="6409" max="6409" width="26.28515625" style="121" customWidth="1"/>
    <col min="6410" max="6656" width="10.42578125" style="121"/>
    <col min="6657" max="6657" width="4.42578125" style="121" customWidth="1"/>
    <col min="6658" max="6658" width="7.42578125" style="121" customWidth="1"/>
    <col min="6659" max="6659" width="42.85546875" style="121" customWidth="1"/>
    <col min="6660" max="6660" width="10.42578125" style="121"/>
    <col min="6661" max="6661" width="9.28515625" style="121" customWidth="1"/>
    <col min="6662" max="6662" width="15.5703125" style="121" customWidth="1"/>
    <col min="6663" max="6663" width="16.42578125" style="121" bestFit="1" customWidth="1"/>
    <col min="6664" max="6664" width="63.140625" style="121" bestFit="1" customWidth="1"/>
    <col min="6665" max="6665" width="26.28515625" style="121" customWidth="1"/>
    <col min="6666" max="6912" width="10.42578125" style="121"/>
    <col min="6913" max="6913" width="4.42578125" style="121" customWidth="1"/>
    <col min="6914" max="6914" width="7.42578125" style="121" customWidth="1"/>
    <col min="6915" max="6915" width="42.85546875" style="121" customWidth="1"/>
    <col min="6916" max="6916" width="10.42578125" style="121"/>
    <col min="6917" max="6917" width="9.28515625" style="121" customWidth="1"/>
    <col min="6918" max="6918" width="15.5703125" style="121" customWidth="1"/>
    <col min="6919" max="6919" width="16.42578125" style="121" bestFit="1" customWidth="1"/>
    <col min="6920" max="6920" width="63.140625" style="121" bestFit="1" customWidth="1"/>
    <col min="6921" max="6921" width="26.28515625" style="121" customWidth="1"/>
    <col min="6922" max="7168" width="10.42578125" style="121"/>
    <col min="7169" max="7169" width="4.42578125" style="121" customWidth="1"/>
    <col min="7170" max="7170" width="7.42578125" style="121" customWidth="1"/>
    <col min="7171" max="7171" width="42.85546875" style="121" customWidth="1"/>
    <col min="7172" max="7172" width="10.42578125" style="121"/>
    <col min="7173" max="7173" width="9.28515625" style="121" customWidth="1"/>
    <col min="7174" max="7174" width="15.5703125" style="121" customWidth="1"/>
    <col min="7175" max="7175" width="16.42578125" style="121" bestFit="1" customWidth="1"/>
    <col min="7176" max="7176" width="63.140625" style="121" bestFit="1" customWidth="1"/>
    <col min="7177" max="7177" width="26.28515625" style="121" customWidth="1"/>
    <col min="7178" max="7424" width="10.42578125" style="121"/>
    <col min="7425" max="7425" width="4.42578125" style="121" customWidth="1"/>
    <col min="7426" max="7426" width="7.42578125" style="121" customWidth="1"/>
    <col min="7427" max="7427" width="42.85546875" style="121" customWidth="1"/>
    <col min="7428" max="7428" width="10.42578125" style="121"/>
    <col min="7429" max="7429" width="9.28515625" style="121" customWidth="1"/>
    <col min="7430" max="7430" width="15.5703125" style="121" customWidth="1"/>
    <col min="7431" max="7431" width="16.42578125" style="121" bestFit="1" customWidth="1"/>
    <col min="7432" max="7432" width="63.140625" style="121" bestFit="1" customWidth="1"/>
    <col min="7433" max="7433" width="26.28515625" style="121" customWidth="1"/>
    <col min="7434" max="7680" width="10.42578125" style="121"/>
    <col min="7681" max="7681" width="4.42578125" style="121" customWidth="1"/>
    <col min="7682" max="7682" width="7.42578125" style="121" customWidth="1"/>
    <col min="7683" max="7683" width="42.85546875" style="121" customWidth="1"/>
    <col min="7684" max="7684" width="10.42578125" style="121"/>
    <col min="7685" max="7685" width="9.28515625" style="121" customWidth="1"/>
    <col min="7686" max="7686" width="15.5703125" style="121" customWidth="1"/>
    <col min="7687" max="7687" width="16.42578125" style="121" bestFit="1" customWidth="1"/>
    <col min="7688" max="7688" width="63.140625" style="121" bestFit="1" customWidth="1"/>
    <col min="7689" max="7689" width="26.28515625" style="121" customWidth="1"/>
    <col min="7690" max="7936" width="10.42578125" style="121"/>
    <col min="7937" max="7937" width="4.42578125" style="121" customWidth="1"/>
    <col min="7938" max="7938" width="7.42578125" style="121" customWidth="1"/>
    <col min="7939" max="7939" width="42.85546875" style="121" customWidth="1"/>
    <col min="7940" max="7940" width="10.42578125" style="121"/>
    <col min="7941" max="7941" width="9.28515625" style="121" customWidth="1"/>
    <col min="7942" max="7942" width="15.5703125" style="121" customWidth="1"/>
    <col min="7943" max="7943" width="16.42578125" style="121" bestFit="1" customWidth="1"/>
    <col min="7944" max="7944" width="63.140625" style="121" bestFit="1" customWidth="1"/>
    <col min="7945" max="7945" width="26.28515625" style="121" customWidth="1"/>
    <col min="7946" max="8192" width="10.42578125" style="121"/>
    <col min="8193" max="8193" width="4.42578125" style="121" customWidth="1"/>
    <col min="8194" max="8194" width="7.42578125" style="121" customWidth="1"/>
    <col min="8195" max="8195" width="42.85546875" style="121" customWidth="1"/>
    <col min="8196" max="8196" width="10.42578125" style="121"/>
    <col min="8197" max="8197" width="9.28515625" style="121" customWidth="1"/>
    <col min="8198" max="8198" width="15.5703125" style="121" customWidth="1"/>
    <col min="8199" max="8199" width="16.42578125" style="121" bestFit="1" customWidth="1"/>
    <col min="8200" max="8200" width="63.140625" style="121" bestFit="1" customWidth="1"/>
    <col min="8201" max="8201" width="26.28515625" style="121" customWidth="1"/>
    <col min="8202" max="8448" width="10.42578125" style="121"/>
    <col min="8449" max="8449" width="4.42578125" style="121" customWidth="1"/>
    <col min="8450" max="8450" width="7.42578125" style="121" customWidth="1"/>
    <col min="8451" max="8451" width="42.85546875" style="121" customWidth="1"/>
    <col min="8452" max="8452" width="10.42578125" style="121"/>
    <col min="8453" max="8453" width="9.28515625" style="121" customWidth="1"/>
    <col min="8454" max="8454" width="15.5703125" style="121" customWidth="1"/>
    <col min="8455" max="8455" width="16.42578125" style="121" bestFit="1" customWidth="1"/>
    <col min="8456" max="8456" width="63.140625" style="121" bestFit="1" customWidth="1"/>
    <col min="8457" max="8457" width="26.28515625" style="121" customWidth="1"/>
    <col min="8458" max="8704" width="10.42578125" style="121"/>
    <col min="8705" max="8705" width="4.42578125" style="121" customWidth="1"/>
    <col min="8706" max="8706" width="7.42578125" style="121" customWidth="1"/>
    <col min="8707" max="8707" width="42.85546875" style="121" customWidth="1"/>
    <col min="8708" max="8708" width="10.42578125" style="121"/>
    <col min="8709" max="8709" width="9.28515625" style="121" customWidth="1"/>
    <col min="8710" max="8710" width="15.5703125" style="121" customWidth="1"/>
    <col min="8711" max="8711" width="16.42578125" style="121" bestFit="1" customWidth="1"/>
    <col min="8712" max="8712" width="63.140625" style="121" bestFit="1" customWidth="1"/>
    <col min="8713" max="8713" width="26.28515625" style="121" customWidth="1"/>
    <col min="8714" max="8960" width="10.42578125" style="121"/>
    <col min="8961" max="8961" width="4.42578125" style="121" customWidth="1"/>
    <col min="8962" max="8962" width="7.42578125" style="121" customWidth="1"/>
    <col min="8963" max="8963" width="42.85546875" style="121" customWidth="1"/>
    <col min="8964" max="8964" width="10.42578125" style="121"/>
    <col min="8965" max="8965" width="9.28515625" style="121" customWidth="1"/>
    <col min="8966" max="8966" width="15.5703125" style="121" customWidth="1"/>
    <col min="8967" max="8967" width="16.42578125" style="121" bestFit="1" customWidth="1"/>
    <col min="8968" max="8968" width="63.140625" style="121" bestFit="1" customWidth="1"/>
    <col min="8969" max="8969" width="26.28515625" style="121" customWidth="1"/>
    <col min="8970" max="9216" width="10.42578125" style="121"/>
    <col min="9217" max="9217" width="4.42578125" style="121" customWidth="1"/>
    <col min="9218" max="9218" width="7.42578125" style="121" customWidth="1"/>
    <col min="9219" max="9219" width="42.85546875" style="121" customWidth="1"/>
    <col min="9220" max="9220" width="10.42578125" style="121"/>
    <col min="9221" max="9221" width="9.28515625" style="121" customWidth="1"/>
    <col min="9222" max="9222" width="15.5703125" style="121" customWidth="1"/>
    <col min="9223" max="9223" width="16.42578125" style="121" bestFit="1" customWidth="1"/>
    <col min="9224" max="9224" width="63.140625" style="121" bestFit="1" customWidth="1"/>
    <col min="9225" max="9225" width="26.28515625" style="121" customWidth="1"/>
    <col min="9226" max="9472" width="10.42578125" style="121"/>
    <col min="9473" max="9473" width="4.42578125" style="121" customWidth="1"/>
    <col min="9474" max="9474" width="7.42578125" style="121" customWidth="1"/>
    <col min="9475" max="9475" width="42.85546875" style="121" customWidth="1"/>
    <col min="9476" max="9476" width="10.42578125" style="121"/>
    <col min="9477" max="9477" width="9.28515625" style="121" customWidth="1"/>
    <col min="9478" max="9478" width="15.5703125" style="121" customWidth="1"/>
    <col min="9479" max="9479" width="16.42578125" style="121" bestFit="1" customWidth="1"/>
    <col min="9480" max="9480" width="63.140625" style="121" bestFit="1" customWidth="1"/>
    <col min="9481" max="9481" width="26.28515625" style="121" customWidth="1"/>
    <col min="9482" max="9728" width="10.42578125" style="121"/>
    <col min="9729" max="9729" width="4.42578125" style="121" customWidth="1"/>
    <col min="9730" max="9730" width="7.42578125" style="121" customWidth="1"/>
    <col min="9731" max="9731" width="42.85546875" style="121" customWidth="1"/>
    <col min="9732" max="9732" width="10.42578125" style="121"/>
    <col min="9733" max="9733" width="9.28515625" style="121" customWidth="1"/>
    <col min="9734" max="9734" width="15.5703125" style="121" customWidth="1"/>
    <col min="9735" max="9735" width="16.42578125" style="121" bestFit="1" customWidth="1"/>
    <col min="9736" max="9736" width="63.140625" style="121" bestFit="1" customWidth="1"/>
    <col min="9737" max="9737" width="26.28515625" style="121" customWidth="1"/>
    <col min="9738" max="9984" width="10.42578125" style="121"/>
    <col min="9985" max="9985" width="4.42578125" style="121" customWidth="1"/>
    <col min="9986" max="9986" width="7.42578125" style="121" customWidth="1"/>
    <col min="9987" max="9987" width="42.85546875" style="121" customWidth="1"/>
    <col min="9988" max="9988" width="10.42578125" style="121"/>
    <col min="9989" max="9989" width="9.28515625" style="121" customWidth="1"/>
    <col min="9990" max="9990" width="15.5703125" style="121" customWidth="1"/>
    <col min="9991" max="9991" width="16.42578125" style="121" bestFit="1" customWidth="1"/>
    <col min="9992" max="9992" width="63.140625" style="121" bestFit="1" customWidth="1"/>
    <col min="9993" max="9993" width="26.28515625" style="121" customWidth="1"/>
    <col min="9994" max="10240" width="10.42578125" style="121"/>
    <col min="10241" max="10241" width="4.42578125" style="121" customWidth="1"/>
    <col min="10242" max="10242" width="7.42578125" style="121" customWidth="1"/>
    <col min="10243" max="10243" width="42.85546875" style="121" customWidth="1"/>
    <col min="10244" max="10244" width="10.42578125" style="121"/>
    <col min="10245" max="10245" width="9.28515625" style="121" customWidth="1"/>
    <col min="10246" max="10246" width="15.5703125" style="121" customWidth="1"/>
    <col min="10247" max="10247" width="16.42578125" style="121" bestFit="1" customWidth="1"/>
    <col min="10248" max="10248" width="63.140625" style="121" bestFit="1" customWidth="1"/>
    <col min="10249" max="10249" width="26.28515625" style="121" customWidth="1"/>
    <col min="10250" max="10496" width="10.42578125" style="121"/>
    <col min="10497" max="10497" width="4.42578125" style="121" customWidth="1"/>
    <col min="10498" max="10498" width="7.42578125" style="121" customWidth="1"/>
    <col min="10499" max="10499" width="42.85546875" style="121" customWidth="1"/>
    <col min="10500" max="10500" width="10.42578125" style="121"/>
    <col min="10501" max="10501" width="9.28515625" style="121" customWidth="1"/>
    <col min="10502" max="10502" width="15.5703125" style="121" customWidth="1"/>
    <col min="10503" max="10503" width="16.42578125" style="121" bestFit="1" customWidth="1"/>
    <col min="10504" max="10504" width="63.140625" style="121" bestFit="1" customWidth="1"/>
    <col min="10505" max="10505" width="26.28515625" style="121" customWidth="1"/>
    <col min="10506" max="10752" width="10.42578125" style="121"/>
    <col min="10753" max="10753" width="4.42578125" style="121" customWidth="1"/>
    <col min="10754" max="10754" width="7.42578125" style="121" customWidth="1"/>
    <col min="10755" max="10755" width="42.85546875" style="121" customWidth="1"/>
    <col min="10756" max="10756" width="10.42578125" style="121"/>
    <col min="10757" max="10757" width="9.28515625" style="121" customWidth="1"/>
    <col min="10758" max="10758" width="15.5703125" style="121" customWidth="1"/>
    <col min="10759" max="10759" width="16.42578125" style="121" bestFit="1" customWidth="1"/>
    <col min="10760" max="10760" width="63.140625" style="121" bestFit="1" customWidth="1"/>
    <col min="10761" max="10761" width="26.28515625" style="121" customWidth="1"/>
    <col min="10762" max="11008" width="10.42578125" style="121"/>
    <col min="11009" max="11009" width="4.42578125" style="121" customWidth="1"/>
    <col min="11010" max="11010" width="7.42578125" style="121" customWidth="1"/>
    <col min="11011" max="11011" width="42.85546875" style="121" customWidth="1"/>
    <col min="11012" max="11012" width="10.42578125" style="121"/>
    <col min="11013" max="11013" width="9.28515625" style="121" customWidth="1"/>
    <col min="11014" max="11014" width="15.5703125" style="121" customWidth="1"/>
    <col min="11015" max="11015" width="16.42578125" style="121" bestFit="1" customWidth="1"/>
    <col min="11016" max="11016" width="63.140625" style="121" bestFit="1" customWidth="1"/>
    <col min="11017" max="11017" width="26.28515625" style="121" customWidth="1"/>
    <col min="11018" max="11264" width="10.42578125" style="121"/>
    <col min="11265" max="11265" width="4.42578125" style="121" customWidth="1"/>
    <col min="11266" max="11266" width="7.42578125" style="121" customWidth="1"/>
    <col min="11267" max="11267" width="42.85546875" style="121" customWidth="1"/>
    <col min="11268" max="11268" width="10.42578125" style="121"/>
    <col min="11269" max="11269" width="9.28515625" style="121" customWidth="1"/>
    <col min="11270" max="11270" width="15.5703125" style="121" customWidth="1"/>
    <col min="11271" max="11271" width="16.42578125" style="121" bestFit="1" customWidth="1"/>
    <col min="11272" max="11272" width="63.140625" style="121" bestFit="1" customWidth="1"/>
    <col min="11273" max="11273" width="26.28515625" style="121" customWidth="1"/>
    <col min="11274" max="11520" width="10.42578125" style="121"/>
    <col min="11521" max="11521" width="4.42578125" style="121" customWidth="1"/>
    <col min="11522" max="11522" width="7.42578125" style="121" customWidth="1"/>
    <col min="11523" max="11523" width="42.85546875" style="121" customWidth="1"/>
    <col min="11524" max="11524" width="10.42578125" style="121"/>
    <col min="11525" max="11525" width="9.28515625" style="121" customWidth="1"/>
    <col min="11526" max="11526" width="15.5703125" style="121" customWidth="1"/>
    <col min="11527" max="11527" width="16.42578125" style="121" bestFit="1" customWidth="1"/>
    <col min="11528" max="11528" width="63.140625" style="121" bestFit="1" customWidth="1"/>
    <col min="11529" max="11529" width="26.28515625" style="121" customWidth="1"/>
    <col min="11530" max="11776" width="10.42578125" style="121"/>
    <col min="11777" max="11777" width="4.42578125" style="121" customWidth="1"/>
    <col min="11778" max="11778" width="7.42578125" style="121" customWidth="1"/>
    <col min="11779" max="11779" width="42.85546875" style="121" customWidth="1"/>
    <col min="11780" max="11780" width="10.42578125" style="121"/>
    <col min="11781" max="11781" width="9.28515625" style="121" customWidth="1"/>
    <col min="11782" max="11782" width="15.5703125" style="121" customWidth="1"/>
    <col min="11783" max="11783" width="16.42578125" style="121" bestFit="1" customWidth="1"/>
    <col min="11784" max="11784" width="63.140625" style="121" bestFit="1" customWidth="1"/>
    <col min="11785" max="11785" width="26.28515625" style="121" customWidth="1"/>
    <col min="11786" max="12032" width="10.42578125" style="121"/>
    <col min="12033" max="12033" width="4.42578125" style="121" customWidth="1"/>
    <col min="12034" max="12034" width="7.42578125" style="121" customWidth="1"/>
    <col min="12035" max="12035" width="42.85546875" style="121" customWidth="1"/>
    <col min="12036" max="12036" width="10.42578125" style="121"/>
    <col min="12037" max="12037" width="9.28515625" style="121" customWidth="1"/>
    <col min="12038" max="12038" width="15.5703125" style="121" customWidth="1"/>
    <col min="12039" max="12039" width="16.42578125" style="121" bestFit="1" customWidth="1"/>
    <col min="12040" max="12040" width="63.140625" style="121" bestFit="1" customWidth="1"/>
    <col min="12041" max="12041" width="26.28515625" style="121" customWidth="1"/>
    <col min="12042" max="12288" width="10.42578125" style="121"/>
    <col min="12289" max="12289" width="4.42578125" style="121" customWidth="1"/>
    <col min="12290" max="12290" width="7.42578125" style="121" customWidth="1"/>
    <col min="12291" max="12291" width="42.85546875" style="121" customWidth="1"/>
    <col min="12292" max="12292" width="10.42578125" style="121"/>
    <col min="12293" max="12293" width="9.28515625" style="121" customWidth="1"/>
    <col min="12294" max="12294" width="15.5703125" style="121" customWidth="1"/>
    <col min="12295" max="12295" width="16.42578125" style="121" bestFit="1" customWidth="1"/>
    <col min="12296" max="12296" width="63.140625" style="121" bestFit="1" customWidth="1"/>
    <col min="12297" max="12297" width="26.28515625" style="121" customWidth="1"/>
    <col min="12298" max="12544" width="10.42578125" style="121"/>
    <col min="12545" max="12545" width="4.42578125" style="121" customWidth="1"/>
    <col min="12546" max="12546" width="7.42578125" style="121" customWidth="1"/>
    <col min="12547" max="12547" width="42.85546875" style="121" customWidth="1"/>
    <col min="12548" max="12548" width="10.42578125" style="121"/>
    <col min="12549" max="12549" width="9.28515625" style="121" customWidth="1"/>
    <col min="12550" max="12550" width="15.5703125" style="121" customWidth="1"/>
    <col min="12551" max="12551" width="16.42578125" style="121" bestFit="1" customWidth="1"/>
    <col min="12552" max="12552" width="63.140625" style="121" bestFit="1" customWidth="1"/>
    <col min="12553" max="12553" width="26.28515625" style="121" customWidth="1"/>
    <col min="12554" max="12800" width="10.42578125" style="121"/>
    <col min="12801" max="12801" width="4.42578125" style="121" customWidth="1"/>
    <col min="12802" max="12802" width="7.42578125" style="121" customWidth="1"/>
    <col min="12803" max="12803" width="42.85546875" style="121" customWidth="1"/>
    <col min="12804" max="12804" width="10.42578125" style="121"/>
    <col min="12805" max="12805" width="9.28515625" style="121" customWidth="1"/>
    <col min="12806" max="12806" width="15.5703125" style="121" customWidth="1"/>
    <col min="12807" max="12807" width="16.42578125" style="121" bestFit="1" customWidth="1"/>
    <col min="12808" max="12808" width="63.140625" style="121" bestFit="1" customWidth="1"/>
    <col min="12809" max="12809" width="26.28515625" style="121" customWidth="1"/>
    <col min="12810" max="13056" width="10.42578125" style="121"/>
    <col min="13057" max="13057" width="4.42578125" style="121" customWidth="1"/>
    <col min="13058" max="13058" width="7.42578125" style="121" customWidth="1"/>
    <col min="13059" max="13059" width="42.85546875" style="121" customWidth="1"/>
    <col min="13060" max="13060" width="10.42578125" style="121"/>
    <col min="13061" max="13061" width="9.28515625" style="121" customWidth="1"/>
    <col min="13062" max="13062" width="15.5703125" style="121" customWidth="1"/>
    <col min="13063" max="13063" width="16.42578125" style="121" bestFit="1" customWidth="1"/>
    <col min="13064" max="13064" width="63.140625" style="121" bestFit="1" customWidth="1"/>
    <col min="13065" max="13065" width="26.28515625" style="121" customWidth="1"/>
    <col min="13066" max="13312" width="10.42578125" style="121"/>
    <col min="13313" max="13313" width="4.42578125" style="121" customWidth="1"/>
    <col min="13314" max="13314" width="7.42578125" style="121" customWidth="1"/>
    <col min="13315" max="13315" width="42.85546875" style="121" customWidth="1"/>
    <col min="13316" max="13316" width="10.42578125" style="121"/>
    <col min="13317" max="13317" width="9.28515625" style="121" customWidth="1"/>
    <col min="13318" max="13318" width="15.5703125" style="121" customWidth="1"/>
    <col min="13319" max="13319" width="16.42578125" style="121" bestFit="1" customWidth="1"/>
    <col min="13320" max="13320" width="63.140625" style="121" bestFit="1" customWidth="1"/>
    <col min="13321" max="13321" width="26.28515625" style="121" customWidth="1"/>
    <col min="13322" max="13568" width="10.42578125" style="121"/>
    <col min="13569" max="13569" width="4.42578125" style="121" customWidth="1"/>
    <col min="13570" max="13570" width="7.42578125" style="121" customWidth="1"/>
    <col min="13571" max="13571" width="42.85546875" style="121" customWidth="1"/>
    <col min="13572" max="13572" width="10.42578125" style="121"/>
    <col min="13573" max="13573" width="9.28515625" style="121" customWidth="1"/>
    <col min="13574" max="13574" width="15.5703125" style="121" customWidth="1"/>
    <col min="13575" max="13575" width="16.42578125" style="121" bestFit="1" customWidth="1"/>
    <col min="13576" max="13576" width="63.140625" style="121" bestFit="1" customWidth="1"/>
    <col min="13577" max="13577" width="26.28515625" style="121" customWidth="1"/>
    <col min="13578" max="13824" width="10.42578125" style="121"/>
    <col min="13825" max="13825" width="4.42578125" style="121" customWidth="1"/>
    <col min="13826" max="13826" width="7.42578125" style="121" customWidth="1"/>
    <col min="13827" max="13827" width="42.85546875" style="121" customWidth="1"/>
    <col min="13828" max="13828" width="10.42578125" style="121"/>
    <col min="13829" max="13829" width="9.28515625" style="121" customWidth="1"/>
    <col min="13830" max="13830" width="15.5703125" style="121" customWidth="1"/>
    <col min="13831" max="13831" width="16.42578125" style="121" bestFit="1" customWidth="1"/>
    <col min="13832" max="13832" width="63.140625" style="121" bestFit="1" customWidth="1"/>
    <col min="13833" max="13833" width="26.28515625" style="121" customWidth="1"/>
    <col min="13834" max="14080" width="10.42578125" style="121"/>
    <col min="14081" max="14081" width="4.42578125" style="121" customWidth="1"/>
    <col min="14082" max="14082" width="7.42578125" style="121" customWidth="1"/>
    <col min="14083" max="14083" width="42.85546875" style="121" customWidth="1"/>
    <col min="14084" max="14084" width="10.42578125" style="121"/>
    <col min="14085" max="14085" width="9.28515625" style="121" customWidth="1"/>
    <col min="14086" max="14086" width="15.5703125" style="121" customWidth="1"/>
    <col min="14087" max="14087" width="16.42578125" style="121" bestFit="1" customWidth="1"/>
    <col min="14088" max="14088" width="63.140625" style="121" bestFit="1" customWidth="1"/>
    <col min="14089" max="14089" width="26.28515625" style="121" customWidth="1"/>
    <col min="14090" max="14336" width="10.42578125" style="121"/>
    <col min="14337" max="14337" width="4.42578125" style="121" customWidth="1"/>
    <col min="14338" max="14338" width="7.42578125" style="121" customWidth="1"/>
    <col min="14339" max="14339" width="42.85546875" style="121" customWidth="1"/>
    <col min="14340" max="14340" width="10.42578125" style="121"/>
    <col min="14341" max="14341" width="9.28515625" style="121" customWidth="1"/>
    <col min="14342" max="14342" width="15.5703125" style="121" customWidth="1"/>
    <col min="14343" max="14343" width="16.42578125" style="121" bestFit="1" customWidth="1"/>
    <col min="14344" max="14344" width="63.140625" style="121" bestFit="1" customWidth="1"/>
    <col min="14345" max="14345" width="26.28515625" style="121" customWidth="1"/>
    <col min="14346" max="14592" width="10.42578125" style="121"/>
    <col min="14593" max="14593" width="4.42578125" style="121" customWidth="1"/>
    <col min="14594" max="14594" width="7.42578125" style="121" customWidth="1"/>
    <col min="14595" max="14595" width="42.85546875" style="121" customWidth="1"/>
    <col min="14596" max="14596" width="10.42578125" style="121"/>
    <col min="14597" max="14597" width="9.28515625" style="121" customWidth="1"/>
    <col min="14598" max="14598" width="15.5703125" style="121" customWidth="1"/>
    <col min="14599" max="14599" width="16.42578125" style="121" bestFit="1" customWidth="1"/>
    <col min="14600" max="14600" width="63.140625" style="121" bestFit="1" customWidth="1"/>
    <col min="14601" max="14601" width="26.28515625" style="121" customWidth="1"/>
    <col min="14602" max="14848" width="10.42578125" style="121"/>
    <col min="14849" max="14849" width="4.42578125" style="121" customWidth="1"/>
    <col min="14850" max="14850" width="7.42578125" style="121" customWidth="1"/>
    <col min="14851" max="14851" width="42.85546875" style="121" customWidth="1"/>
    <col min="14852" max="14852" width="10.42578125" style="121"/>
    <col min="14853" max="14853" width="9.28515625" style="121" customWidth="1"/>
    <col min="14854" max="14854" width="15.5703125" style="121" customWidth="1"/>
    <col min="14855" max="14855" width="16.42578125" style="121" bestFit="1" customWidth="1"/>
    <col min="14856" max="14856" width="63.140625" style="121" bestFit="1" customWidth="1"/>
    <col min="14857" max="14857" width="26.28515625" style="121" customWidth="1"/>
    <col min="14858" max="15104" width="10.42578125" style="121"/>
    <col min="15105" max="15105" width="4.42578125" style="121" customWidth="1"/>
    <col min="15106" max="15106" width="7.42578125" style="121" customWidth="1"/>
    <col min="15107" max="15107" width="42.85546875" style="121" customWidth="1"/>
    <col min="15108" max="15108" width="10.42578125" style="121"/>
    <col min="15109" max="15109" width="9.28515625" style="121" customWidth="1"/>
    <col min="15110" max="15110" width="15.5703125" style="121" customWidth="1"/>
    <col min="15111" max="15111" width="16.42578125" style="121" bestFit="1" customWidth="1"/>
    <col min="15112" max="15112" width="63.140625" style="121" bestFit="1" customWidth="1"/>
    <col min="15113" max="15113" width="26.28515625" style="121" customWidth="1"/>
    <col min="15114" max="15360" width="10.42578125" style="121"/>
    <col min="15361" max="15361" width="4.42578125" style="121" customWidth="1"/>
    <col min="15362" max="15362" width="7.42578125" style="121" customWidth="1"/>
    <col min="15363" max="15363" width="42.85546875" style="121" customWidth="1"/>
    <col min="15364" max="15364" width="10.42578125" style="121"/>
    <col min="15365" max="15365" width="9.28515625" style="121" customWidth="1"/>
    <col min="15366" max="15366" width="15.5703125" style="121" customWidth="1"/>
    <col min="15367" max="15367" width="16.42578125" style="121" bestFit="1" customWidth="1"/>
    <col min="15368" max="15368" width="63.140625" style="121" bestFit="1" customWidth="1"/>
    <col min="15369" max="15369" width="26.28515625" style="121" customWidth="1"/>
    <col min="15370" max="15616" width="10.42578125" style="121"/>
    <col min="15617" max="15617" width="4.42578125" style="121" customWidth="1"/>
    <col min="15618" max="15618" width="7.42578125" style="121" customWidth="1"/>
    <col min="15619" max="15619" width="42.85546875" style="121" customWidth="1"/>
    <col min="15620" max="15620" width="10.42578125" style="121"/>
    <col min="15621" max="15621" width="9.28515625" style="121" customWidth="1"/>
    <col min="15622" max="15622" width="15.5703125" style="121" customWidth="1"/>
    <col min="15623" max="15623" width="16.42578125" style="121" bestFit="1" customWidth="1"/>
    <col min="15624" max="15624" width="63.140625" style="121" bestFit="1" customWidth="1"/>
    <col min="15625" max="15625" width="26.28515625" style="121" customWidth="1"/>
    <col min="15626" max="15872" width="10.42578125" style="121"/>
    <col min="15873" max="15873" width="4.42578125" style="121" customWidth="1"/>
    <col min="15874" max="15874" width="7.42578125" style="121" customWidth="1"/>
    <col min="15875" max="15875" width="42.85546875" style="121" customWidth="1"/>
    <col min="15876" max="15876" width="10.42578125" style="121"/>
    <col min="15877" max="15877" width="9.28515625" style="121" customWidth="1"/>
    <col min="15878" max="15878" width="15.5703125" style="121" customWidth="1"/>
    <col min="15879" max="15879" width="16.42578125" style="121" bestFit="1" customWidth="1"/>
    <col min="15880" max="15880" width="63.140625" style="121" bestFit="1" customWidth="1"/>
    <col min="15881" max="15881" width="26.28515625" style="121" customWidth="1"/>
    <col min="15882" max="16128" width="10.42578125" style="121"/>
    <col min="16129" max="16129" width="4.42578125" style="121" customWidth="1"/>
    <col min="16130" max="16130" width="7.42578125" style="121" customWidth="1"/>
    <col min="16131" max="16131" width="42.85546875" style="121" customWidth="1"/>
    <col min="16132" max="16132" width="10.42578125" style="121"/>
    <col min="16133" max="16133" width="9.28515625" style="121" customWidth="1"/>
    <col min="16134" max="16134" width="15.5703125" style="121" customWidth="1"/>
    <col min="16135" max="16135" width="16.42578125" style="121" bestFit="1" customWidth="1"/>
    <col min="16136" max="16136" width="63.140625" style="121" bestFit="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39" customFormat="1" x14ac:dyDescent="0.2">
      <c r="B4" s="1424" t="s">
        <v>7</v>
      </c>
      <c r="C4" s="1425" t="s">
        <v>1697</v>
      </c>
      <c r="D4" s="1426"/>
      <c r="E4" s="1427"/>
      <c r="F4" s="1428"/>
      <c r="G4" s="1429"/>
      <c r="H4" s="1430"/>
    </row>
    <row r="5" spans="1:12" s="139" customFormat="1" x14ac:dyDescent="0.2">
      <c r="B5" s="1431"/>
      <c r="C5" s="184"/>
      <c r="D5" s="1432"/>
      <c r="E5" s="1433"/>
      <c r="F5" s="1434"/>
      <c r="G5" s="1435"/>
      <c r="H5" s="1430"/>
    </row>
    <row r="6" spans="1:12" s="376" customFormat="1" ht="14.25" x14ac:dyDescent="0.2">
      <c r="B6" s="1424" t="s">
        <v>80</v>
      </c>
      <c r="C6" s="3292" t="s">
        <v>2531</v>
      </c>
      <c r="D6" s="3293"/>
      <c r="E6" s="3293"/>
      <c r="F6" s="3293"/>
      <c r="G6" s="1429"/>
      <c r="H6" s="1436"/>
      <c r="I6" s="378"/>
      <c r="J6" s="378"/>
      <c r="K6" s="378"/>
      <c r="L6" s="378"/>
    </row>
    <row r="7" spans="1:12" s="376" customFormat="1" ht="14.25" x14ac:dyDescent="0.2">
      <c r="B7" s="1431"/>
      <c r="C7" s="1437"/>
      <c r="D7" s="1438"/>
      <c r="E7" s="1439"/>
      <c r="F7" s="1440"/>
      <c r="G7" s="1441"/>
      <c r="H7" s="1436"/>
      <c r="I7" s="378"/>
      <c r="J7" s="378"/>
      <c r="K7" s="378"/>
      <c r="L7" s="378"/>
    </row>
    <row r="8" spans="1:12" s="139" customFormat="1" ht="15" x14ac:dyDescent="0.2">
      <c r="A8" s="140"/>
      <c r="B8" s="143" t="s">
        <v>1</v>
      </c>
      <c r="C8" s="168"/>
      <c r="D8" s="170"/>
      <c r="E8" s="170"/>
      <c r="F8" s="170"/>
      <c r="G8" s="169"/>
    </row>
    <row r="9" spans="1:12" s="139" customFormat="1" ht="15.75" x14ac:dyDescent="0.25">
      <c r="A9" s="141"/>
      <c r="B9" s="144" t="s">
        <v>2</v>
      </c>
      <c r="C9" s="171"/>
      <c r="D9" s="172"/>
      <c r="E9" s="173"/>
      <c r="F9" s="173"/>
      <c r="G9" s="172"/>
    </row>
    <row r="10" spans="1:12" s="139" customFormat="1" ht="15" x14ac:dyDescent="0.2">
      <c r="A10" s="140"/>
      <c r="B10" s="143" t="s">
        <v>3</v>
      </c>
      <c r="C10" s="168"/>
      <c r="D10" s="170"/>
      <c r="E10" s="170"/>
      <c r="F10" s="170"/>
      <c r="G10" s="169"/>
    </row>
    <row r="11" spans="1:12" s="139" customFormat="1" ht="15.75" x14ac:dyDescent="0.25">
      <c r="A11" s="141"/>
      <c r="B11" s="144" t="s">
        <v>4</v>
      </c>
      <c r="C11" s="171"/>
      <c r="D11" s="173"/>
      <c r="E11" s="173"/>
      <c r="F11" s="173"/>
      <c r="G11" s="172"/>
    </row>
    <row r="12" spans="1:12" s="376" customFormat="1" ht="14.25" x14ac:dyDescent="0.2">
      <c r="B12" s="380"/>
      <c r="C12" s="381"/>
      <c r="D12" s="382"/>
      <c r="E12" s="383"/>
      <c r="F12" s="384"/>
      <c r="G12" s="385"/>
      <c r="H12" s="1436"/>
      <c r="I12" s="378"/>
      <c r="J12" s="378"/>
      <c r="K12" s="378"/>
      <c r="L12" s="378"/>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838" t="s">
        <v>10</v>
      </c>
      <c r="C15" s="1794" t="s">
        <v>85</v>
      </c>
      <c r="D15" s="1795"/>
      <c r="E15" s="1796"/>
      <c r="F15" s="1797"/>
      <c r="G15" s="1442">
        <f>G36</f>
        <v>0</v>
      </c>
      <c r="H15" s="569"/>
    </row>
    <row r="16" spans="1:12" s="1792" customFormat="1" ht="18.75" customHeight="1" x14ac:dyDescent="0.25">
      <c r="B16" s="1838" t="s">
        <v>12</v>
      </c>
      <c r="C16" s="1794" t="s">
        <v>109</v>
      </c>
      <c r="D16" s="1795"/>
      <c r="E16" s="1796"/>
      <c r="F16" s="1797"/>
      <c r="G16" s="1442">
        <f>G132</f>
        <v>0</v>
      </c>
      <c r="H16" s="569"/>
    </row>
    <row r="17" spans="2:9" s="1792" customFormat="1" ht="18.75" customHeight="1" x14ac:dyDescent="0.25">
      <c r="B17" s="1838" t="s">
        <v>17</v>
      </c>
      <c r="C17" s="1794" t="s">
        <v>87</v>
      </c>
      <c r="D17" s="1795"/>
      <c r="E17" s="1796"/>
      <c r="F17" s="1797"/>
      <c r="G17" s="1442">
        <f>G213</f>
        <v>0</v>
      </c>
      <c r="H17" s="569"/>
    </row>
    <row r="18" spans="2:9" s="1792" customFormat="1" ht="27.6" customHeight="1" x14ac:dyDescent="0.25">
      <c r="B18" s="1838" t="s">
        <v>18</v>
      </c>
      <c r="C18" s="1794" t="s">
        <v>2538</v>
      </c>
      <c r="D18" s="1795"/>
      <c r="E18" s="1796"/>
      <c r="F18" s="1797"/>
      <c r="G18" s="1442">
        <f>G431</f>
        <v>0</v>
      </c>
      <c r="H18" s="569"/>
    </row>
    <row r="19" spans="2:9" s="1792" customFormat="1" ht="27.6" customHeight="1" x14ac:dyDescent="0.25">
      <c r="B19" s="1838" t="s">
        <v>22</v>
      </c>
      <c r="C19" s="1794" t="s">
        <v>2539</v>
      </c>
      <c r="D19" s="1795"/>
      <c r="E19" s="1796"/>
      <c r="F19" s="1797"/>
      <c r="G19" s="1442">
        <f>G472</f>
        <v>0</v>
      </c>
      <c r="H19" s="569"/>
    </row>
    <row r="20" spans="2:9" s="1792" customFormat="1" ht="18.75" customHeight="1" x14ac:dyDescent="0.25">
      <c r="B20" s="1799"/>
      <c r="C20" s="1800" t="s">
        <v>88</v>
      </c>
      <c r="D20" s="1801"/>
      <c r="E20" s="1802"/>
      <c r="F20" s="1803"/>
      <c r="G20" s="1443">
        <f>SUM(G15:G19)</f>
        <v>0</v>
      </c>
      <c r="H20" s="569"/>
    </row>
    <row r="21" spans="2:9" x14ac:dyDescent="0.2">
      <c r="B21" s="127"/>
      <c r="C21" s="183"/>
      <c r="D21" s="184"/>
      <c r="E21" s="185"/>
      <c r="F21" s="186"/>
    </row>
    <row r="23" spans="2:9" ht="24" customHeight="1" x14ac:dyDescent="0.2">
      <c r="B23" s="128" t="s">
        <v>83</v>
      </c>
      <c r="C23" s="192" t="s">
        <v>89</v>
      </c>
      <c r="D23" s="192" t="s">
        <v>90</v>
      </c>
      <c r="E23" s="194" t="s">
        <v>91</v>
      </c>
      <c r="F23" s="195" t="s">
        <v>92</v>
      </c>
      <c r="G23" s="196" t="s">
        <v>93</v>
      </c>
      <c r="H23" s="565"/>
    </row>
    <row r="24" spans="2:9" x14ac:dyDescent="0.2">
      <c r="B24" s="129"/>
      <c r="C24" s="197"/>
      <c r="D24" s="198"/>
      <c r="E24" s="199"/>
      <c r="F24" s="200"/>
      <c r="G24" s="201"/>
    </row>
    <row r="25" spans="2:9" s="295" customFormat="1" ht="20.25" x14ac:dyDescent="0.3">
      <c r="B25" s="303" t="s">
        <v>10</v>
      </c>
      <c r="C25" s="306" t="s">
        <v>85</v>
      </c>
      <c r="D25" s="305"/>
      <c r="E25" s="299"/>
      <c r="F25" s="300"/>
      <c r="G25" s="301"/>
      <c r="H25" s="570"/>
    </row>
    <row r="26" spans="2:9" x14ac:dyDescent="0.2">
      <c r="B26" s="129">
        <v>1</v>
      </c>
      <c r="C26" s="206" t="s">
        <v>370</v>
      </c>
      <c r="D26" s="207" t="s">
        <v>123</v>
      </c>
      <c r="E26" s="1444">
        <v>6</v>
      </c>
      <c r="F26" s="1445">
        <v>0</v>
      </c>
      <c r="G26" s="1446">
        <f t="shared" ref="G26:G35" si="0">E26*F26</f>
        <v>0</v>
      </c>
    </row>
    <row r="27" spans="2:9" ht="153" x14ac:dyDescent="0.2">
      <c r="B27" s="129">
        <v>2</v>
      </c>
      <c r="C27" s="1012" t="s">
        <v>1813</v>
      </c>
      <c r="D27" s="209" t="s">
        <v>98</v>
      </c>
      <c r="E27" s="1444">
        <v>1</v>
      </c>
      <c r="F27" s="1445">
        <v>0</v>
      </c>
      <c r="G27" s="1446">
        <f t="shared" si="0"/>
        <v>0</v>
      </c>
      <c r="I27" s="692"/>
    </row>
    <row r="28" spans="2:9" ht="48" x14ac:dyDescent="0.2">
      <c r="B28" s="129">
        <v>3</v>
      </c>
      <c r="C28" s="407" t="s">
        <v>1814</v>
      </c>
      <c r="D28" s="210" t="s">
        <v>98</v>
      </c>
      <c r="E28" s="1444">
        <v>1</v>
      </c>
      <c r="F28" s="1445">
        <v>0</v>
      </c>
      <c r="G28" s="1446">
        <f t="shared" si="0"/>
        <v>0</v>
      </c>
    </row>
    <row r="29" spans="2:9" ht="36" x14ac:dyDescent="0.2">
      <c r="B29" s="129">
        <v>4</v>
      </c>
      <c r="C29" s="407" t="s">
        <v>1815</v>
      </c>
      <c r="D29" s="210" t="s">
        <v>123</v>
      </c>
      <c r="E29" s="1444">
        <v>20</v>
      </c>
      <c r="F29" s="1445">
        <v>0</v>
      </c>
      <c r="G29" s="1446">
        <f t="shared" si="0"/>
        <v>0</v>
      </c>
    </row>
    <row r="30" spans="2:9" ht="24" x14ac:dyDescent="0.2">
      <c r="B30" s="129">
        <v>5</v>
      </c>
      <c r="C30" s="407" t="s">
        <v>312</v>
      </c>
      <c r="D30" s="210" t="s">
        <v>123</v>
      </c>
      <c r="E30" s="1444">
        <v>20</v>
      </c>
      <c r="F30" s="1445">
        <v>0</v>
      </c>
      <c r="G30" s="1446">
        <f t="shared" si="0"/>
        <v>0</v>
      </c>
    </row>
    <row r="31" spans="2:9" x14ac:dyDescent="0.2">
      <c r="B31" s="129">
        <v>6</v>
      </c>
      <c r="C31" s="407" t="s">
        <v>105</v>
      </c>
      <c r="D31" s="210" t="s">
        <v>98</v>
      </c>
      <c r="E31" s="1444">
        <v>1</v>
      </c>
      <c r="F31" s="1445">
        <v>0</v>
      </c>
      <c r="G31" s="1446">
        <f t="shared" si="0"/>
        <v>0</v>
      </c>
    </row>
    <row r="32" spans="2:9" ht="41.25" customHeight="1" x14ac:dyDescent="0.2">
      <c r="B32" s="129">
        <v>7</v>
      </c>
      <c r="C32" s="3165" t="s">
        <v>2590</v>
      </c>
      <c r="D32" s="210" t="s">
        <v>98</v>
      </c>
      <c r="E32" s="1444">
        <v>1</v>
      </c>
      <c r="F32" s="1445">
        <v>0</v>
      </c>
      <c r="G32" s="1446">
        <f t="shared" si="0"/>
        <v>0</v>
      </c>
    </row>
    <row r="33" spans="2:12" ht="24" x14ac:dyDescent="0.2">
      <c r="B33" s="129">
        <v>8</v>
      </c>
      <c r="C33" s="3165" t="s">
        <v>2591</v>
      </c>
      <c r="D33" s="210" t="s">
        <v>98</v>
      </c>
      <c r="E33" s="1444">
        <v>1</v>
      </c>
      <c r="F33" s="1445">
        <v>0</v>
      </c>
      <c r="G33" s="1446">
        <f t="shared" si="0"/>
        <v>0</v>
      </c>
    </row>
    <row r="34" spans="2:12" ht="24" x14ac:dyDescent="0.2">
      <c r="B34" s="129">
        <v>9</v>
      </c>
      <c r="C34" s="407" t="s">
        <v>1136</v>
      </c>
      <c r="D34" s="210" t="s">
        <v>98</v>
      </c>
      <c r="E34" s="1444">
        <v>1</v>
      </c>
      <c r="F34" s="1445">
        <v>0</v>
      </c>
      <c r="G34" s="1446">
        <f t="shared" si="0"/>
        <v>0</v>
      </c>
    </row>
    <row r="35" spans="2:12" ht="48" x14ac:dyDescent="0.2">
      <c r="B35" s="129">
        <v>10</v>
      </c>
      <c r="C35" s="212" t="s">
        <v>106</v>
      </c>
      <c r="D35" s="210" t="s">
        <v>98</v>
      </c>
      <c r="E35" s="1447">
        <v>1</v>
      </c>
      <c r="F35" s="1445">
        <v>0</v>
      </c>
      <c r="G35" s="1446">
        <f t="shared" si="0"/>
        <v>0</v>
      </c>
    </row>
    <row r="36" spans="2:12" s="147" customFormat="1" ht="23.25" customHeight="1" x14ac:dyDescent="0.25">
      <c r="B36" s="327" t="s">
        <v>10</v>
      </c>
      <c r="C36" s="214" t="s">
        <v>108</v>
      </c>
      <c r="D36" s="214"/>
      <c r="E36" s="215"/>
      <c r="F36" s="1448"/>
      <c r="G36" s="1449">
        <f>SUM(G26:G35)</f>
        <v>0</v>
      </c>
      <c r="H36" s="150"/>
    </row>
    <row r="37" spans="2:12" s="147" customFormat="1" ht="12.75" customHeight="1" x14ac:dyDescent="0.25">
      <c r="B37" s="2946"/>
      <c r="C37" s="2947"/>
      <c r="D37" s="2947"/>
      <c r="E37" s="359"/>
      <c r="F37" s="2948"/>
      <c r="G37" s="2949"/>
      <c r="H37" s="150"/>
    </row>
    <row r="38" spans="2:12" ht="24" customHeight="1" x14ac:dyDescent="0.2">
      <c r="B38" s="128" t="s">
        <v>83</v>
      </c>
      <c r="C38" s="192" t="s">
        <v>89</v>
      </c>
      <c r="D38" s="192" t="s">
        <v>90</v>
      </c>
      <c r="E38" s="194" t="s">
        <v>91</v>
      </c>
      <c r="F38" s="195" t="s">
        <v>92</v>
      </c>
      <c r="G38" s="196" t="s">
        <v>93</v>
      </c>
      <c r="H38" s="565"/>
    </row>
    <row r="39" spans="2:12" x14ac:dyDescent="0.2">
      <c r="B39" s="129"/>
      <c r="C39" s="217"/>
      <c r="D39" s="207"/>
      <c r="E39" s="199"/>
      <c r="F39" s="200"/>
      <c r="G39" s="201"/>
    </row>
    <row r="40" spans="2:12" s="295" customFormat="1" ht="20.25" x14ac:dyDescent="0.3">
      <c r="B40" s="303" t="s">
        <v>12</v>
      </c>
      <c r="C40" s="306" t="s">
        <v>109</v>
      </c>
      <c r="D40" s="305"/>
      <c r="E40" s="299"/>
      <c r="F40" s="300"/>
      <c r="G40" s="301"/>
      <c r="H40" s="570"/>
    </row>
    <row r="41" spans="2:12" s="295" customFormat="1" ht="20.25" x14ac:dyDescent="0.3">
      <c r="B41" s="303">
        <v>1</v>
      </c>
      <c r="C41" s="306" t="s">
        <v>358</v>
      </c>
      <c r="D41" s="305"/>
      <c r="E41" s="299"/>
      <c r="F41" s="300"/>
      <c r="G41" s="301"/>
      <c r="H41" s="570"/>
    </row>
    <row r="42" spans="2:12" s="130" customFormat="1" ht="68.25" customHeight="1" x14ac:dyDescent="0.2">
      <c r="B42" s="3184" t="s">
        <v>110</v>
      </c>
      <c r="C42" s="3185"/>
      <c r="D42" s="3185"/>
      <c r="E42" s="3185"/>
      <c r="F42" s="3185"/>
      <c r="G42" s="3186"/>
      <c r="H42" s="565"/>
      <c r="I42" s="1263"/>
    </row>
    <row r="43" spans="2:12" ht="24" x14ac:dyDescent="0.2">
      <c r="B43" s="131">
        <v>1</v>
      </c>
      <c r="C43" s="206" t="s">
        <v>111</v>
      </c>
      <c r="D43" s="207" t="s">
        <v>112</v>
      </c>
      <c r="E43" s="1444">
        <v>36</v>
      </c>
      <c r="F43" s="1445">
        <v>0</v>
      </c>
      <c r="G43" s="1446">
        <f t="shared" ref="G43:G59" si="1">E43*F43</f>
        <v>0</v>
      </c>
      <c r="I43" s="132"/>
    </row>
    <row r="44" spans="2:12" ht="72" x14ac:dyDescent="0.2">
      <c r="B44" s="131">
        <v>2</v>
      </c>
      <c r="C44" s="206" t="s">
        <v>1476</v>
      </c>
      <c r="D44" s="207" t="s">
        <v>112</v>
      </c>
      <c r="E44" s="1444">
        <v>500</v>
      </c>
      <c r="F44" s="1445">
        <v>0</v>
      </c>
      <c r="G44" s="1446">
        <f t="shared" si="1"/>
        <v>0</v>
      </c>
      <c r="I44" s="132"/>
    </row>
    <row r="45" spans="2:12" ht="60" x14ac:dyDescent="0.2">
      <c r="B45" s="131">
        <v>3</v>
      </c>
      <c r="C45" s="206" t="s">
        <v>1477</v>
      </c>
      <c r="D45" s="209" t="s">
        <v>112</v>
      </c>
      <c r="E45" s="1444">
        <v>280</v>
      </c>
      <c r="F45" s="1445">
        <v>0</v>
      </c>
      <c r="G45" s="1446">
        <f t="shared" si="1"/>
        <v>0</v>
      </c>
      <c r="I45" s="133"/>
      <c r="K45" s="134"/>
      <c r="L45" s="134"/>
    </row>
    <row r="46" spans="2:12" ht="24" x14ac:dyDescent="0.2">
      <c r="B46" s="131">
        <v>4</v>
      </c>
      <c r="C46" s="206" t="s">
        <v>383</v>
      </c>
      <c r="D46" s="209" t="s">
        <v>112</v>
      </c>
      <c r="E46" s="1444">
        <v>106.25</v>
      </c>
      <c r="F46" s="1445">
        <v>0</v>
      </c>
      <c r="G46" s="1446">
        <f t="shared" si="1"/>
        <v>0</v>
      </c>
      <c r="I46" s="133"/>
    </row>
    <row r="47" spans="2:12" ht="76.5" x14ac:dyDescent="0.2">
      <c r="B47" s="131">
        <v>5</v>
      </c>
      <c r="C47" s="1450" t="s">
        <v>1816</v>
      </c>
      <c r="D47" s="209" t="s">
        <v>117</v>
      </c>
      <c r="E47" s="1444">
        <v>150</v>
      </c>
      <c r="F47" s="1445">
        <v>0</v>
      </c>
      <c r="G47" s="1446">
        <f t="shared" si="1"/>
        <v>0</v>
      </c>
      <c r="I47" s="133"/>
    </row>
    <row r="48" spans="2:12" ht="36" x14ac:dyDescent="0.2">
      <c r="B48" s="131">
        <v>6</v>
      </c>
      <c r="C48" s="206" t="s">
        <v>385</v>
      </c>
      <c r="D48" s="209" t="s">
        <v>117</v>
      </c>
      <c r="E48" s="1444">
        <v>57</v>
      </c>
      <c r="F48" s="1445">
        <v>0</v>
      </c>
      <c r="G48" s="1446">
        <f t="shared" si="1"/>
        <v>0</v>
      </c>
      <c r="I48" s="132"/>
    </row>
    <row r="49" spans="1:16384" ht="72" x14ac:dyDescent="0.2">
      <c r="B49" s="131">
        <v>7</v>
      </c>
      <c r="C49" s="206" t="s">
        <v>1479</v>
      </c>
      <c r="D49" s="209" t="s">
        <v>112</v>
      </c>
      <c r="E49" s="1444">
        <v>31</v>
      </c>
      <c r="F49" s="1445">
        <v>0</v>
      </c>
      <c r="G49" s="1446">
        <f t="shared" si="1"/>
        <v>0</v>
      </c>
      <c r="I49" s="134"/>
    </row>
    <row r="50" spans="1:16384" ht="76.5" x14ac:dyDescent="0.2">
      <c r="B50" s="131">
        <v>8</v>
      </c>
      <c r="C50" s="1012" t="s">
        <v>1817</v>
      </c>
      <c r="D50" s="209" t="s">
        <v>112</v>
      </c>
      <c r="E50" s="1451">
        <v>260</v>
      </c>
      <c r="F50" s="1445">
        <v>0</v>
      </c>
      <c r="G50" s="1452">
        <f t="shared" si="1"/>
        <v>0</v>
      </c>
      <c r="I50" s="134"/>
    </row>
    <row r="51" spans="1:16384" ht="51" x14ac:dyDescent="0.2">
      <c r="B51" s="131">
        <v>9</v>
      </c>
      <c r="C51" s="1012" t="s">
        <v>1481</v>
      </c>
      <c r="D51" s="362" t="s">
        <v>112</v>
      </c>
      <c r="E51" s="1451">
        <v>80</v>
      </c>
      <c r="F51" s="1445">
        <v>0</v>
      </c>
      <c r="G51" s="1452">
        <f t="shared" si="1"/>
        <v>0</v>
      </c>
      <c r="I51" s="134"/>
    </row>
    <row r="52" spans="1:16384" ht="38.25" x14ac:dyDescent="0.2">
      <c r="B52" s="131">
        <v>10</v>
      </c>
      <c r="C52" s="1012" t="s">
        <v>1482</v>
      </c>
      <c r="D52" s="362" t="s">
        <v>112</v>
      </c>
      <c r="E52" s="1451">
        <v>12</v>
      </c>
      <c r="F52" s="1445">
        <v>0</v>
      </c>
      <c r="G52" s="1452">
        <f t="shared" si="1"/>
        <v>0</v>
      </c>
      <c r="I52" s="134"/>
    </row>
    <row r="53" spans="1:16384" ht="25.5" x14ac:dyDescent="0.2">
      <c r="B53" s="131">
        <v>11</v>
      </c>
      <c r="C53" s="1012" t="s">
        <v>1483</v>
      </c>
      <c r="D53" s="362" t="s">
        <v>112</v>
      </c>
      <c r="E53" s="1451">
        <v>15</v>
      </c>
      <c r="F53" s="1445">
        <v>0</v>
      </c>
      <c r="G53" s="1452">
        <f t="shared" si="1"/>
        <v>0</v>
      </c>
      <c r="I53" s="134"/>
    </row>
    <row r="54" spans="1:16384" ht="38.25" x14ac:dyDescent="0.2">
      <c r="B54" s="131">
        <v>12</v>
      </c>
      <c r="C54" s="1012" t="s">
        <v>1484</v>
      </c>
      <c r="D54" s="362" t="s">
        <v>117</v>
      </c>
      <c r="E54" s="1451">
        <v>200</v>
      </c>
      <c r="F54" s="1445">
        <v>0</v>
      </c>
      <c r="G54" s="1452">
        <f t="shared" si="1"/>
        <v>0</v>
      </c>
      <c r="I54" s="134"/>
    </row>
    <row r="55" spans="1:16384" ht="27.75" customHeight="1" x14ac:dyDescent="0.2">
      <c r="B55" s="131">
        <v>13</v>
      </c>
      <c r="C55" s="1012" t="s">
        <v>1818</v>
      </c>
      <c r="D55" s="362" t="s">
        <v>98</v>
      </c>
      <c r="E55" s="1451">
        <v>3</v>
      </c>
      <c r="F55" s="1445">
        <v>0</v>
      </c>
      <c r="G55" s="1452">
        <f t="shared" si="1"/>
        <v>0</v>
      </c>
      <c r="I55" s="134"/>
    </row>
    <row r="56" spans="1:16384" ht="51" x14ac:dyDescent="0.2">
      <c r="B56" s="131">
        <v>14</v>
      </c>
      <c r="C56" s="1012" t="s">
        <v>1488</v>
      </c>
      <c r="D56" s="362" t="s">
        <v>112</v>
      </c>
      <c r="E56" s="1451">
        <v>18</v>
      </c>
      <c r="F56" s="1445">
        <v>0</v>
      </c>
      <c r="G56" s="1452">
        <f t="shared" si="1"/>
        <v>0</v>
      </c>
      <c r="I56" s="134"/>
    </row>
    <row r="57" spans="1:16384" ht="36" x14ac:dyDescent="0.2">
      <c r="B57" s="131">
        <v>15</v>
      </c>
      <c r="C57" s="206" t="s">
        <v>2575</v>
      </c>
      <c r="D57" s="362" t="s">
        <v>95</v>
      </c>
      <c r="E57" s="1451">
        <v>70</v>
      </c>
      <c r="F57" s="1445">
        <v>0</v>
      </c>
      <c r="G57" s="1452">
        <f t="shared" si="1"/>
        <v>0</v>
      </c>
      <c r="I57" s="134"/>
    </row>
    <row r="58" spans="1:16384" ht="63.75" x14ac:dyDescent="0.2">
      <c r="B58" s="131">
        <v>16</v>
      </c>
      <c r="C58" s="1012" t="s">
        <v>2576</v>
      </c>
      <c r="D58" s="362" t="s">
        <v>95</v>
      </c>
      <c r="E58" s="1451">
        <v>32</v>
      </c>
      <c r="F58" s="1445">
        <v>0</v>
      </c>
      <c r="G58" s="1452">
        <f t="shared" si="1"/>
        <v>0</v>
      </c>
      <c r="I58" s="134"/>
    </row>
    <row r="59" spans="1:16384" ht="38.25" customHeight="1" x14ac:dyDescent="0.2">
      <c r="B59" s="131">
        <v>17</v>
      </c>
      <c r="C59" s="1012" t="s">
        <v>1491</v>
      </c>
      <c r="D59" s="362" t="s">
        <v>98</v>
      </c>
      <c r="E59" s="1451">
        <v>1</v>
      </c>
      <c r="F59" s="1445">
        <v>0</v>
      </c>
      <c r="G59" s="1452">
        <f t="shared" si="1"/>
        <v>0</v>
      </c>
      <c r="I59" s="134"/>
    </row>
    <row r="60" spans="1:16384" s="147" customFormat="1" ht="23.25" customHeight="1" x14ac:dyDescent="0.25">
      <c r="B60" s="1453">
        <v>1</v>
      </c>
      <c r="C60" s="1454" t="s">
        <v>1819</v>
      </c>
      <c r="D60" s="1454"/>
      <c r="E60" s="1455"/>
      <c r="F60" s="1456"/>
      <c r="G60" s="1457">
        <f>SUM(G43:G59)</f>
        <v>0</v>
      </c>
      <c r="H60" s="150"/>
    </row>
    <row r="61" spans="1:16384" ht="24" customHeight="1" x14ac:dyDescent="0.2">
      <c r="A61" s="1458"/>
      <c r="B61" s="192" t="s">
        <v>368</v>
      </c>
      <c r="C61" s="192" t="s">
        <v>89</v>
      </c>
      <c r="D61" s="194" t="s">
        <v>90</v>
      </c>
      <c r="E61" s="195" t="s">
        <v>91</v>
      </c>
      <c r="F61" s="196" t="s">
        <v>92</v>
      </c>
      <c r="G61" s="128" t="s">
        <v>93</v>
      </c>
      <c r="H61" s="1459"/>
      <c r="I61" s="1459"/>
      <c r="J61" s="1460"/>
      <c r="K61" s="1461"/>
      <c r="L61" s="1462"/>
      <c r="M61" s="1463"/>
      <c r="N61" s="1459"/>
      <c r="O61" s="1459"/>
      <c r="P61" s="1460"/>
      <c r="Q61" s="1461"/>
      <c r="R61" s="1462"/>
      <c r="S61" s="1463"/>
      <c r="T61" s="1459"/>
      <c r="U61" s="1459"/>
      <c r="V61" s="1460"/>
      <c r="W61" s="1461"/>
      <c r="X61" s="1462"/>
      <c r="Y61" s="1463"/>
      <c r="Z61" s="1459"/>
      <c r="AA61" s="1459"/>
      <c r="AB61" s="1460"/>
      <c r="AC61" s="1461"/>
      <c r="AD61" s="1462"/>
      <c r="AE61" s="1463"/>
      <c r="AF61" s="1459"/>
      <c r="AG61" s="1459"/>
      <c r="AH61" s="1460"/>
      <c r="AI61" s="1461"/>
      <c r="AJ61" s="1462"/>
      <c r="AK61" s="1463"/>
      <c r="AL61" s="1459"/>
      <c r="AM61" s="1459"/>
      <c r="AN61" s="1460"/>
      <c r="AO61" s="1461"/>
      <c r="AP61" s="1462"/>
      <c r="AQ61" s="1463"/>
      <c r="AR61" s="1459"/>
      <c r="AS61" s="1459"/>
      <c r="AT61" s="1460"/>
      <c r="AU61" s="1461"/>
      <c r="AV61" s="1462"/>
      <c r="AW61" s="1463"/>
      <c r="AX61" s="1459"/>
      <c r="AY61" s="1459"/>
      <c r="AZ61" s="1460"/>
      <c r="BA61" s="1461"/>
      <c r="BB61" s="1462"/>
      <c r="BC61" s="1463"/>
      <c r="BD61" s="1459"/>
      <c r="BE61" s="1459"/>
      <c r="BF61" s="1460"/>
      <c r="BG61" s="1461"/>
      <c r="BH61" s="1462"/>
      <c r="BI61" s="1463"/>
      <c r="BJ61" s="1459"/>
      <c r="BK61" s="1459"/>
      <c r="BL61" s="1460"/>
      <c r="BM61" s="1461"/>
      <c r="BN61" s="1462"/>
      <c r="BO61" s="1463"/>
      <c r="BP61" s="1459"/>
      <c r="BQ61" s="1459"/>
      <c r="BR61" s="1460"/>
      <c r="BS61" s="1461"/>
      <c r="BT61" s="1462"/>
      <c r="BU61" s="1463"/>
      <c r="BV61" s="1459"/>
      <c r="BW61" s="1459"/>
      <c r="BX61" s="1460"/>
      <c r="BY61" s="1461"/>
      <c r="BZ61" s="1462"/>
      <c r="CA61" s="1463"/>
      <c r="CB61" s="1459"/>
      <c r="CC61" s="1459"/>
      <c r="CD61" s="1460"/>
      <c r="CE61" s="1461"/>
      <c r="CF61" s="1462"/>
      <c r="CG61" s="1463"/>
      <c r="CH61" s="1459"/>
      <c r="CI61" s="1459"/>
      <c r="CJ61" s="1460"/>
      <c r="CK61" s="1461"/>
      <c r="CL61" s="1462"/>
      <c r="CM61" s="1463"/>
      <c r="CN61" s="1459"/>
      <c r="CO61" s="1459"/>
      <c r="CP61" s="1460"/>
      <c r="CQ61" s="1461"/>
      <c r="CR61" s="1462"/>
      <c r="CS61" s="1463"/>
      <c r="CT61" s="1459"/>
      <c r="CU61" s="1459"/>
      <c r="CV61" s="1460"/>
      <c r="CW61" s="1461"/>
      <c r="CX61" s="1462"/>
      <c r="CY61" s="1463"/>
      <c r="CZ61" s="1459"/>
      <c r="DA61" s="1459"/>
      <c r="DB61" s="1460"/>
      <c r="DC61" s="1461"/>
      <c r="DD61" s="1462"/>
      <c r="DE61" s="1463"/>
      <c r="DF61" s="1459"/>
      <c r="DG61" s="1459"/>
      <c r="DH61" s="1460"/>
      <c r="DI61" s="1461"/>
      <c r="DJ61" s="1462"/>
      <c r="DK61" s="1463"/>
      <c r="DL61" s="1459"/>
      <c r="DM61" s="1459"/>
      <c r="DN61" s="1460"/>
      <c r="DO61" s="1461"/>
      <c r="DP61" s="1462"/>
      <c r="DQ61" s="1463"/>
      <c r="DR61" s="1459"/>
      <c r="DS61" s="1459"/>
      <c r="DT61" s="1460"/>
      <c r="DU61" s="1461"/>
      <c r="DV61" s="1462"/>
      <c r="DW61" s="1463"/>
      <c r="DX61" s="1459"/>
      <c r="DY61" s="1459"/>
      <c r="DZ61" s="1460"/>
      <c r="EA61" s="1461"/>
      <c r="EB61" s="1462"/>
      <c r="EC61" s="1463"/>
      <c r="ED61" s="1459"/>
      <c r="EE61" s="1459"/>
      <c r="EF61" s="1460"/>
      <c r="EG61" s="1461"/>
      <c r="EH61" s="1462"/>
      <c r="EI61" s="1463"/>
      <c r="EJ61" s="1459"/>
      <c r="EK61" s="1459"/>
      <c r="EL61" s="1460"/>
      <c r="EM61" s="1461"/>
      <c r="EN61" s="1462"/>
      <c r="EO61" s="1463"/>
      <c r="EP61" s="1459"/>
      <c r="EQ61" s="1459"/>
      <c r="ER61" s="1460"/>
      <c r="ES61" s="1461"/>
      <c r="ET61" s="1462"/>
      <c r="EU61" s="1463"/>
      <c r="EV61" s="1459"/>
      <c r="EW61" s="1459"/>
      <c r="EX61" s="1460"/>
      <c r="EY61" s="1461"/>
      <c r="EZ61" s="1462"/>
      <c r="FA61" s="1463"/>
      <c r="FB61" s="1459"/>
      <c r="FC61" s="1459"/>
      <c r="FD61" s="1460"/>
      <c r="FE61" s="1461"/>
      <c r="FF61" s="1462"/>
      <c r="FG61" s="1463"/>
      <c r="FH61" s="1459"/>
      <c r="FI61" s="1459"/>
      <c r="FJ61" s="1460"/>
      <c r="FK61" s="1461"/>
      <c r="FL61" s="1462"/>
      <c r="FM61" s="1463"/>
      <c r="FN61" s="1459"/>
      <c r="FO61" s="1459"/>
      <c r="FP61" s="1460"/>
      <c r="FQ61" s="1461"/>
      <c r="FR61" s="1462"/>
      <c r="FS61" s="1463"/>
      <c r="FT61" s="1459"/>
      <c r="FU61" s="1459"/>
      <c r="FV61" s="1460"/>
      <c r="FW61" s="1461"/>
      <c r="FX61" s="1462"/>
      <c r="FY61" s="1463"/>
      <c r="FZ61" s="1459"/>
      <c r="GA61" s="1459"/>
      <c r="GB61" s="1460"/>
      <c r="GC61" s="1461"/>
      <c r="GD61" s="1462"/>
      <c r="GE61" s="1463"/>
      <c r="GF61" s="1459"/>
      <c r="GG61" s="1459"/>
      <c r="GH61" s="1460"/>
      <c r="GI61" s="1461"/>
      <c r="GJ61" s="1462"/>
      <c r="GK61" s="1463"/>
      <c r="GL61" s="1459"/>
      <c r="GM61" s="1459"/>
      <c r="GN61" s="1460"/>
      <c r="GO61" s="1461"/>
      <c r="GP61" s="1462"/>
      <c r="GQ61" s="1463"/>
      <c r="GR61" s="1459"/>
      <c r="GS61" s="1459"/>
      <c r="GT61" s="1460"/>
      <c r="GU61" s="1461"/>
      <c r="GV61" s="1462"/>
      <c r="GW61" s="1463"/>
      <c r="GX61" s="1459"/>
      <c r="GY61" s="1459"/>
      <c r="GZ61" s="1460"/>
      <c r="HA61" s="1461"/>
      <c r="HB61" s="1462"/>
      <c r="HC61" s="1463"/>
      <c r="HD61" s="1459"/>
      <c r="HE61" s="1459"/>
      <c r="HF61" s="1460"/>
      <c r="HG61" s="1461"/>
      <c r="HH61" s="1462"/>
      <c r="HI61" s="1463"/>
      <c r="HJ61" s="1459"/>
      <c r="HK61" s="1459"/>
      <c r="HL61" s="1460"/>
      <c r="HM61" s="1461"/>
      <c r="HN61" s="1462"/>
      <c r="HO61" s="1463"/>
      <c r="HP61" s="1459"/>
      <c r="HQ61" s="1459"/>
      <c r="HR61" s="1460"/>
      <c r="HS61" s="1461"/>
      <c r="HT61" s="1462"/>
      <c r="HU61" s="1463"/>
      <c r="HV61" s="1459"/>
      <c r="HW61" s="1459"/>
      <c r="HX61" s="1460"/>
      <c r="HY61" s="1461"/>
      <c r="HZ61" s="1462"/>
      <c r="IA61" s="1463"/>
      <c r="IB61" s="1459"/>
      <c r="IC61" s="1459"/>
      <c r="ID61" s="1460"/>
      <c r="IE61" s="1461"/>
      <c r="IF61" s="1462"/>
      <c r="IG61" s="1463"/>
      <c r="IH61" s="1459"/>
      <c r="II61" s="1459"/>
      <c r="IJ61" s="1460"/>
      <c r="IK61" s="1461"/>
      <c r="IL61" s="1462"/>
      <c r="IM61" s="1463"/>
      <c r="IN61" s="1459"/>
      <c r="IO61" s="1459"/>
      <c r="IP61" s="1460"/>
      <c r="IQ61" s="1461"/>
      <c r="IR61" s="1462"/>
      <c r="IS61" s="1463"/>
      <c r="IT61" s="1459"/>
      <c r="IU61" s="1459"/>
      <c r="IV61" s="1460"/>
      <c r="IW61" s="1461"/>
      <c r="IX61" s="1462"/>
      <c r="IY61" s="1463"/>
      <c r="IZ61" s="1459"/>
      <c r="JA61" s="1459"/>
      <c r="JB61" s="1460"/>
      <c r="JC61" s="1461"/>
      <c r="JD61" s="1462"/>
      <c r="JE61" s="1463"/>
      <c r="JF61" s="1459"/>
      <c r="JG61" s="1459"/>
      <c r="JH61" s="1460"/>
      <c r="JI61" s="1461"/>
      <c r="JJ61" s="1462"/>
      <c r="JK61" s="1463"/>
      <c r="JL61" s="1459"/>
      <c r="JM61" s="1459"/>
      <c r="JN61" s="1460"/>
      <c r="JO61" s="1461"/>
      <c r="JP61" s="1462"/>
      <c r="JQ61" s="1463"/>
      <c r="JR61" s="1459"/>
      <c r="JS61" s="1459"/>
      <c r="JT61" s="1460"/>
      <c r="JU61" s="1461"/>
      <c r="JV61" s="1462"/>
      <c r="JW61" s="1463"/>
      <c r="JX61" s="1459"/>
      <c r="JY61" s="1459"/>
      <c r="JZ61" s="1460"/>
      <c r="KA61" s="1461"/>
      <c r="KB61" s="1462"/>
      <c r="KC61" s="1463"/>
      <c r="KD61" s="1459"/>
      <c r="KE61" s="1459"/>
      <c r="KF61" s="1460"/>
      <c r="KG61" s="1461"/>
      <c r="KH61" s="1462"/>
      <c r="KI61" s="1463"/>
      <c r="KJ61" s="1459"/>
      <c r="KK61" s="1459"/>
      <c r="KL61" s="1460"/>
      <c r="KM61" s="1461"/>
      <c r="KN61" s="1462"/>
      <c r="KO61" s="1463"/>
      <c r="KP61" s="1459"/>
      <c r="KQ61" s="1459"/>
      <c r="KR61" s="1460"/>
      <c r="KS61" s="1461"/>
      <c r="KT61" s="1462"/>
      <c r="KU61" s="1463"/>
      <c r="KV61" s="1459"/>
      <c r="KW61" s="1459"/>
      <c r="KX61" s="1460"/>
      <c r="KY61" s="1461"/>
      <c r="KZ61" s="1462"/>
      <c r="LA61" s="1463"/>
      <c r="LB61" s="1459"/>
      <c r="LC61" s="1459"/>
      <c r="LD61" s="1460"/>
      <c r="LE61" s="1461"/>
      <c r="LF61" s="1462"/>
      <c r="LG61" s="1463"/>
      <c r="LH61" s="1459"/>
      <c r="LI61" s="1459"/>
      <c r="LJ61" s="1460"/>
      <c r="LK61" s="1461"/>
      <c r="LL61" s="1462"/>
      <c r="LM61" s="1463"/>
      <c r="LN61" s="1459"/>
      <c r="LO61" s="1459"/>
      <c r="LP61" s="1460"/>
      <c r="LQ61" s="1461"/>
      <c r="LR61" s="1462"/>
      <c r="LS61" s="1463"/>
      <c r="LT61" s="1459"/>
      <c r="LU61" s="1459"/>
      <c r="LV61" s="1460"/>
      <c r="LW61" s="1461"/>
      <c r="LX61" s="1462"/>
      <c r="LY61" s="1463"/>
      <c r="LZ61" s="1459"/>
      <c r="MA61" s="1459"/>
      <c r="MB61" s="1460"/>
      <c r="MC61" s="1461"/>
      <c r="MD61" s="1462"/>
      <c r="ME61" s="1463"/>
      <c r="MF61" s="1459"/>
      <c r="MG61" s="1459"/>
      <c r="MH61" s="1460"/>
      <c r="MI61" s="1461"/>
      <c r="MJ61" s="1462"/>
      <c r="MK61" s="1463"/>
      <c r="ML61" s="1459"/>
      <c r="MM61" s="1459"/>
      <c r="MN61" s="1460"/>
      <c r="MO61" s="1461"/>
      <c r="MP61" s="1462"/>
      <c r="MQ61" s="1463"/>
      <c r="MR61" s="1459"/>
      <c r="MS61" s="1459"/>
      <c r="MT61" s="1460"/>
      <c r="MU61" s="1461"/>
      <c r="MV61" s="1462"/>
      <c r="MW61" s="1463"/>
      <c r="MX61" s="1459"/>
      <c r="MY61" s="1459"/>
      <c r="MZ61" s="1460"/>
      <c r="NA61" s="1461"/>
      <c r="NB61" s="1462"/>
      <c r="NC61" s="1463"/>
      <c r="ND61" s="1459"/>
      <c r="NE61" s="1459"/>
      <c r="NF61" s="1460"/>
      <c r="NG61" s="1461"/>
      <c r="NH61" s="1462"/>
      <c r="NI61" s="1463"/>
      <c r="NJ61" s="1459"/>
      <c r="NK61" s="1459"/>
      <c r="NL61" s="1460"/>
      <c r="NM61" s="1461"/>
      <c r="NN61" s="1462"/>
      <c r="NO61" s="1463"/>
      <c r="NP61" s="1459"/>
      <c r="NQ61" s="1459"/>
      <c r="NR61" s="1460"/>
      <c r="NS61" s="1461"/>
      <c r="NT61" s="1462"/>
      <c r="NU61" s="1463"/>
      <c r="NV61" s="1459"/>
      <c r="NW61" s="1459"/>
      <c r="NX61" s="1460"/>
      <c r="NY61" s="1461"/>
      <c r="NZ61" s="1462"/>
      <c r="OA61" s="1463"/>
      <c r="OB61" s="1459"/>
      <c r="OC61" s="1459"/>
      <c r="OD61" s="1460"/>
      <c r="OE61" s="1461"/>
      <c r="OF61" s="1462"/>
      <c r="OG61" s="1463"/>
      <c r="OH61" s="1459"/>
      <c r="OI61" s="1459"/>
      <c r="OJ61" s="1460"/>
      <c r="OK61" s="1461"/>
      <c r="OL61" s="1462"/>
      <c r="OM61" s="1463"/>
      <c r="ON61" s="1459"/>
      <c r="OO61" s="1459"/>
      <c r="OP61" s="1460"/>
      <c r="OQ61" s="1461"/>
      <c r="OR61" s="1462"/>
      <c r="OS61" s="1463"/>
      <c r="OT61" s="1459"/>
      <c r="OU61" s="1459"/>
      <c r="OV61" s="1460"/>
      <c r="OW61" s="1461"/>
      <c r="OX61" s="1462"/>
      <c r="OY61" s="1463"/>
      <c r="OZ61" s="1459"/>
      <c r="PA61" s="1459"/>
      <c r="PB61" s="1460"/>
      <c r="PC61" s="1461"/>
      <c r="PD61" s="1462"/>
      <c r="PE61" s="1463"/>
      <c r="PF61" s="1459"/>
      <c r="PG61" s="1459"/>
      <c r="PH61" s="1460"/>
      <c r="PI61" s="1461"/>
      <c r="PJ61" s="1462"/>
      <c r="PK61" s="1463"/>
      <c r="PL61" s="1459"/>
      <c r="PM61" s="1459"/>
      <c r="PN61" s="1460"/>
      <c r="PO61" s="1461"/>
      <c r="PP61" s="1462"/>
      <c r="PQ61" s="1463"/>
      <c r="PR61" s="1459"/>
      <c r="PS61" s="1459"/>
      <c r="PT61" s="1460"/>
      <c r="PU61" s="1461"/>
      <c r="PV61" s="1462"/>
      <c r="PW61" s="1463"/>
      <c r="PX61" s="1459"/>
      <c r="PY61" s="1459"/>
      <c r="PZ61" s="1460"/>
      <c r="QA61" s="1461"/>
      <c r="QB61" s="1462"/>
      <c r="QC61" s="1463"/>
      <c r="QD61" s="1459"/>
      <c r="QE61" s="1459"/>
      <c r="QF61" s="1460"/>
      <c r="QG61" s="1461"/>
      <c r="QH61" s="1462"/>
      <c r="QI61" s="1463"/>
      <c r="QJ61" s="1459"/>
      <c r="QK61" s="1459"/>
      <c r="QL61" s="1460"/>
      <c r="QM61" s="1461"/>
      <c r="QN61" s="1462"/>
      <c r="QO61" s="1463"/>
      <c r="QP61" s="1459"/>
      <c r="QQ61" s="1459"/>
      <c r="QR61" s="1460"/>
      <c r="QS61" s="1461"/>
      <c r="QT61" s="1462"/>
      <c r="QU61" s="1463"/>
      <c r="QV61" s="1459"/>
      <c r="QW61" s="1459"/>
      <c r="QX61" s="1460"/>
      <c r="QY61" s="1461"/>
      <c r="QZ61" s="1462"/>
      <c r="RA61" s="1463"/>
      <c r="RB61" s="1459"/>
      <c r="RC61" s="1459"/>
      <c r="RD61" s="1460"/>
      <c r="RE61" s="1461"/>
      <c r="RF61" s="1462"/>
      <c r="RG61" s="1463"/>
      <c r="RH61" s="1459"/>
      <c r="RI61" s="1459"/>
      <c r="RJ61" s="1460"/>
      <c r="RK61" s="1461"/>
      <c r="RL61" s="1462"/>
      <c r="RM61" s="1463"/>
      <c r="RN61" s="1459"/>
      <c r="RO61" s="1459"/>
      <c r="RP61" s="1460"/>
      <c r="RQ61" s="1461"/>
      <c r="RR61" s="1462"/>
      <c r="RS61" s="1463"/>
      <c r="RT61" s="1459"/>
      <c r="RU61" s="1459"/>
      <c r="RV61" s="1460"/>
      <c r="RW61" s="1461"/>
      <c r="RX61" s="1462"/>
      <c r="RY61" s="1463"/>
      <c r="RZ61" s="1459"/>
      <c r="SA61" s="1459"/>
      <c r="SB61" s="1460"/>
      <c r="SC61" s="1461"/>
      <c r="SD61" s="1462"/>
      <c r="SE61" s="1463"/>
      <c r="SF61" s="1459"/>
      <c r="SG61" s="1459"/>
      <c r="SH61" s="1460"/>
      <c r="SI61" s="1461"/>
      <c r="SJ61" s="1462"/>
      <c r="SK61" s="1463"/>
      <c r="SL61" s="1459"/>
      <c r="SM61" s="1459"/>
      <c r="SN61" s="1460"/>
      <c r="SO61" s="1461"/>
      <c r="SP61" s="1462"/>
      <c r="SQ61" s="1463"/>
      <c r="SR61" s="1459"/>
      <c r="SS61" s="1459"/>
      <c r="ST61" s="1460"/>
      <c r="SU61" s="1461"/>
      <c r="SV61" s="1462"/>
      <c r="SW61" s="1463"/>
      <c r="SX61" s="1459"/>
      <c r="SY61" s="1459"/>
      <c r="SZ61" s="1460"/>
      <c r="TA61" s="1461"/>
      <c r="TB61" s="1462"/>
      <c r="TC61" s="1463"/>
      <c r="TD61" s="1459"/>
      <c r="TE61" s="1459"/>
      <c r="TF61" s="1460"/>
      <c r="TG61" s="1461"/>
      <c r="TH61" s="1462"/>
      <c r="TI61" s="1463"/>
      <c r="TJ61" s="1459"/>
      <c r="TK61" s="1459"/>
      <c r="TL61" s="1460"/>
      <c r="TM61" s="1461"/>
      <c r="TN61" s="1462"/>
      <c r="TO61" s="1463"/>
      <c r="TP61" s="1459"/>
      <c r="TQ61" s="1459"/>
      <c r="TR61" s="1460"/>
      <c r="TS61" s="1461"/>
      <c r="TT61" s="1462"/>
      <c r="TU61" s="1463"/>
      <c r="TV61" s="1459"/>
      <c r="TW61" s="1459"/>
      <c r="TX61" s="1460"/>
      <c r="TY61" s="1461"/>
      <c r="TZ61" s="1462"/>
      <c r="UA61" s="1463"/>
      <c r="UB61" s="1459"/>
      <c r="UC61" s="1459"/>
      <c r="UD61" s="1460"/>
      <c r="UE61" s="1461"/>
      <c r="UF61" s="1462"/>
      <c r="UG61" s="1463"/>
      <c r="UH61" s="1459"/>
      <c r="UI61" s="1459"/>
      <c r="UJ61" s="1460"/>
      <c r="UK61" s="1461"/>
      <c r="UL61" s="1462"/>
      <c r="UM61" s="1463"/>
      <c r="UN61" s="1459"/>
      <c r="UO61" s="1459"/>
      <c r="UP61" s="1460"/>
      <c r="UQ61" s="1461"/>
      <c r="UR61" s="1462"/>
      <c r="US61" s="1463"/>
      <c r="UT61" s="1459"/>
      <c r="UU61" s="1459"/>
      <c r="UV61" s="1460"/>
      <c r="UW61" s="1461"/>
      <c r="UX61" s="1462"/>
      <c r="UY61" s="1463"/>
      <c r="UZ61" s="1459"/>
      <c r="VA61" s="1459"/>
      <c r="VB61" s="1460"/>
      <c r="VC61" s="1461"/>
      <c r="VD61" s="1462"/>
      <c r="VE61" s="1463"/>
      <c r="VF61" s="1459"/>
      <c r="VG61" s="1459"/>
      <c r="VH61" s="1460"/>
      <c r="VI61" s="1461"/>
      <c r="VJ61" s="1462"/>
      <c r="VK61" s="1463"/>
      <c r="VL61" s="1459"/>
      <c r="VM61" s="1459"/>
      <c r="VN61" s="1460"/>
      <c r="VO61" s="1461"/>
      <c r="VP61" s="1462"/>
      <c r="VQ61" s="1463"/>
      <c r="VR61" s="1459"/>
      <c r="VS61" s="1459"/>
      <c r="VT61" s="1460"/>
      <c r="VU61" s="1461"/>
      <c r="VV61" s="1462"/>
      <c r="VW61" s="1463"/>
      <c r="VX61" s="1459"/>
      <c r="VY61" s="1459"/>
      <c r="VZ61" s="1460"/>
      <c r="WA61" s="1461"/>
      <c r="WB61" s="1462"/>
      <c r="WC61" s="1463"/>
      <c r="WD61" s="1459"/>
      <c r="WE61" s="1459"/>
      <c r="WF61" s="1460"/>
      <c r="WG61" s="1461"/>
      <c r="WH61" s="1462"/>
      <c r="WI61" s="1463"/>
      <c r="WJ61" s="1459"/>
      <c r="WK61" s="1459"/>
      <c r="WL61" s="1460"/>
      <c r="WM61" s="1461"/>
      <c r="WN61" s="1462"/>
      <c r="WO61" s="1463"/>
      <c r="WP61" s="1459"/>
      <c r="WQ61" s="1459"/>
      <c r="WR61" s="1460"/>
      <c r="WS61" s="1461"/>
      <c r="WT61" s="1462"/>
      <c r="WU61" s="1463"/>
      <c r="WV61" s="1459"/>
      <c r="WW61" s="1459"/>
      <c r="WX61" s="1460"/>
      <c r="WY61" s="1461"/>
      <c r="WZ61" s="1462"/>
      <c r="XA61" s="1463"/>
      <c r="XB61" s="1459"/>
      <c r="XC61" s="1459"/>
      <c r="XD61" s="1460"/>
      <c r="XE61" s="1461"/>
      <c r="XF61" s="1462"/>
      <c r="XG61" s="1463"/>
      <c r="XH61" s="1459"/>
      <c r="XI61" s="1459"/>
      <c r="XJ61" s="1460"/>
      <c r="XK61" s="1461"/>
      <c r="XL61" s="1462"/>
      <c r="XM61" s="1463"/>
      <c r="XN61" s="1459"/>
      <c r="XO61" s="1459"/>
      <c r="XP61" s="1460"/>
      <c r="XQ61" s="1461"/>
      <c r="XR61" s="1462"/>
      <c r="XS61" s="1463"/>
      <c r="XT61" s="1459"/>
      <c r="XU61" s="1459"/>
      <c r="XV61" s="1460"/>
      <c r="XW61" s="1461"/>
      <c r="XX61" s="1462"/>
      <c r="XY61" s="1463"/>
      <c r="XZ61" s="1459"/>
      <c r="YA61" s="1459"/>
      <c r="YB61" s="1460"/>
      <c r="YC61" s="1461"/>
      <c r="YD61" s="1462"/>
      <c r="YE61" s="1463"/>
      <c r="YF61" s="1459"/>
      <c r="YG61" s="1459"/>
      <c r="YH61" s="1460"/>
      <c r="YI61" s="1461"/>
      <c r="YJ61" s="1462"/>
      <c r="YK61" s="1463"/>
      <c r="YL61" s="1459"/>
      <c r="YM61" s="1459"/>
      <c r="YN61" s="1460"/>
      <c r="YO61" s="1461"/>
      <c r="YP61" s="1462"/>
      <c r="YQ61" s="1463"/>
      <c r="YR61" s="1459"/>
      <c r="YS61" s="1459"/>
      <c r="YT61" s="1460"/>
      <c r="YU61" s="1461"/>
      <c r="YV61" s="1462"/>
      <c r="YW61" s="1463"/>
      <c r="YX61" s="1459"/>
      <c r="YY61" s="1459"/>
      <c r="YZ61" s="1460"/>
      <c r="ZA61" s="1461"/>
      <c r="ZB61" s="1462"/>
      <c r="ZC61" s="1463"/>
      <c r="ZD61" s="1459"/>
      <c r="ZE61" s="1459"/>
      <c r="ZF61" s="1460"/>
      <c r="ZG61" s="1461"/>
      <c r="ZH61" s="1462"/>
      <c r="ZI61" s="1463"/>
      <c r="ZJ61" s="1459"/>
      <c r="ZK61" s="1459"/>
      <c r="ZL61" s="1460"/>
      <c r="ZM61" s="1461"/>
      <c r="ZN61" s="1462"/>
      <c r="ZO61" s="1463"/>
      <c r="ZP61" s="1459"/>
      <c r="ZQ61" s="1459"/>
      <c r="ZR61" s="1460"/>
      <c r="ZS61" s="1461"/>
      <c r="ZT61" s="1462"/>
      <c r="ZU61" s="1463"/>
      <c r="ZV61" s="1459"/>
      <c r="ZW61" s="1459"/>
      <c r="ZX61" s="1460"/>
      <c r="ZY61" s="1461"/>
      <c r="ZZ61" s="1462"/>
      <c r="AAA61" s="1463"/>
      <c r="AAB61" s="1459"/>
      <c r="AAC61" s="1459"/>
      <c r="AAD61" s="1460"/>
      <c r="AAE61" s="1461"/>
      <c r="AAF61" s="1462"/>
      <c r="AAG61" s="1463"/>
      <c r="AAH61" s="1459"/>
      <c r="AAI61" s="1459"/>
      <c r="AAJ61" s="1460"/>
      <c r="AAK61" s="1461"/>
      <c r="AAL61" s="1462"/>
      <c r="AAM61" s="1463"/>
      <c r="AAN61" s="1459"/>
      <c r="AAO61" s="1459"/>
      <c r="AAP61" s="1460"/>
      <c r="AAQ61" s="1461"/>
      <c r="AAR61" s="1462"/>
      <c r="AAS61" s="1463"/>
      <c r="AAT61" s="1459"/>
      <c r="AAU61" s="1459"/>
      <c r="AAV61" s="1460"/>
      <c r="AAW61" s="1461"/>
      <c r="AAX61" s="1462"/>
      <c r="AAY61" s="1463"/>
      <c r="AAZ61" s="1459"/>
      <c r="ABA61" s="1459"/>
      <c r="ABB61" s="1460"/>
      <c r="ABC61" s="1461"/>
      <c r="ABD61" s="1462"/>
      <c r="ABE61" s="1463"/>
      <c r="ABF61" s="1459"/>
      <c r="ABG61" s="1459"/>
      <c r="ABH61" s="1460"/>
      <c r="ABI61" s="1461"/>
      <c r="ABJ61" s="1462"/>
      <c r="ABK61" s="1463"/>
      <c r="ABL61" s="1459"/>
      <c r="ABM61" s="1459"/>
      <c r="ABN61" s="1460"/>
      <c r="ABO61" s="1461"/>
      <c r="ABP61" s="1462"/>
      <c r="ABQ61" s="1463"/>
      <c r="ABR61" s="1459"/>
      <c r="ABS61" s="1459"/>
      <c r="ABT61" s="1460"/>
      <c r="ABU61" s="1461"/>
      <c r="ABV61" s="1462"/>
      <c r="ABW61" s="1463"/>
      <c r="ABX61" s="1459"/>
      <c r="ABY61" s="1459"/>
      <c r="ABZ61" s="1460"/>
      <c r="ACA61" s="1461"/>
      <c r="ACB61" s="1462"/>
      <c r="ACC61" s="1463"/>
      <c r="ACD61" s="1459"/>
      <c r="ACE61" s="1459"/>
      <c r="ACF61" s="1460"/>
      <c r="ACG61" s="1461"/>
      <c r="ACH61" s="1462"/>
      <c r="ACI61" s="1463"/>
      <c r="ACJ61" s="1459"/>
      <c r="ACK61" s="1459"/>
      <c r="ACL61" s="1460"/>
      <c r="ACM61" s="1461"/>
      <c r="ACN61" s="1462"/>
      <c r="ACO61" s="1463"/>
      <c r="ACP61" s="1459"/>
      <c r="ACQ61" s="1459"/>
      <c r="ACR61" s="1460"/>
      <c r="ACS61" s="1461"/>
      <c r="ACT61" s="1462"/>
      <c r="ACU61" s="1463"/>
      <c r="ACV61" s="1459"/>
      <c r="ACW61" s="1459"/>
      <c r="ACX61" s="1460"/>
      <c r="ACY61" s="1461"/>
      <c r="ACZ61" s="1462"/>
      <c r="ADA61" s="1463"/>
      <c r="ADB61" s="1459"/>
      <c r="ADC61" s="1459"/>
      <c r="ADD61" s="1460"/>
      <c r="ADE61" s="1461"/>
      <c r="ADF61" s="1462"/>
      <c r="ADG61" s="1463"/>
      <c r="ADH61" s="1459"/>
      <c r="ADI61" s="1459"/>
      <c r="ADJ61" s="1460"/>
      <c r="ADK61" s="1461"/>
      <c r="ADL61" s="1462"/>
      <c r="ADM61" s="1463"/>
      <c r="ADN61" s="1459"/>
      <c r="ADO61" s="1459"/>
      <c r="ADP61" s="1460"/>
      <c r="ADQ61" s="1461"/>
      <c r="ADR61" s="1462"/>
      <c r="ADS61" s="1463"/>
      <c r="ADT61" s="1459"/>
      <c r="ADU61" s="1459"/>
      <c r="ADV61" s="1460"/>
      <c r="ADW61" s="1461"/>
      <c r="ADX61" s="1462"/>
      <c r="ADY61" s="1463"/>
      <c r="ADZ61" s="1459"/>
      <c r="AEA61" s="1459"/>
      <c r="AEB61" s="1460"/>
      <c r="AEC61" s="1461"/>
      <c r="AED61" s="1462"/>
      <c r="AEE61" s="1463"/>
      <c r="AEF61" s="1459"/>
      <c r="AEG61" s="1459"/>
      <c r="AEH61" s="1460"/>
      <c r="AEI61" s="1461"/>
      <c r="AEJ61" s="1462"/>
      <c r="AEK61" s="1463"/>
      <c r="AEL61" s="1459"/>
      <c r="AEM61" s="1459"/>
      <c r="AEN61" s="1460"/>
      <c r="AEO61" s="1461"/>
      <c r="AEP61" s="1462"/>
      <c r="AEQ61" s="1463"/>
      <c r="AER61" s="1459"/>
      <c r="AES61" s="1459"/>
      <c r="AET61" s="1460"/>
      <c r="AEU61" s="1461"/>
      <c r="AEV61" s="1462"/>
      <c r="AEW61" s="1463"/>
      <c r="AEX61" s="1459"/>
      <c r="AEY61" s="1459"/>
      <c r="AEZ61" s="1460"/>
      <c r="AFA61" s="1461"/>
      <c r="AFB61" s="1462"/>
      <c r="AFC61" s="1463"/>
      <c r="AFD61" s="1459"/>
      <c r="AFE61" s="1459"/>
      <c r="AFF61" s="1460"/>
      <c r="AFG61" s="1461"/>
      <c r="AFH61" s="1462"/>
      <c r="AFI61" s="1463"/>
      <c r="AFJ61" s="1459"/>
      <c r="AFK61" s="1459"/>
      <c r="AFL61" s="1460"/>
      <c r="AFM61" s="1461"/>
      <c r="AFN61" s="1462"/>
      <c r="AFO61" s="1463"/>
      <c r="AFP61" s="1459"/>
      <c r="AFQ61" s="1459"/>
      <c r="AFR61" s="1460"/>
      <c r="AFS61" s="1461"/>
      <c r="AFT61" s="1462"/>
      <c r="AFU61" s="1463"/>
      <c r="AFV61" s="1459"/>
      <c r="AFW61" s="1459"/>
      <c r="AFX61" s="1460"/>
      <c r="AFY61" s="1461"/>
      <c r="AFZ61" s="1462"/>
      <c r="AGA61" s="1463"/>
      <c r="AGB61" s="1459"/>
      <c r="AGC61" s="1459"/>
      <c r="AGD61" s="1460"/>
      <c r="AGE61" s="1461"/>
      <c r="AGF61" s="1462"/>
      <c r="AGG61" s="1463"/>
      <c r="AGH61" s="1459"/>
      <c r="AGI61" s="1459"/>
      <c r="AGJ61" s="1460"/>
      <c r="AGK61" s="1461"/>
      <c r="AGL61" s="1462"/>
      <c r="AGM61" s="1463"/>
      <c r="AGN61" s="1459"/>
      <c r="AGO61" s="1459"/>
      <c r="AGP61" s="1460"/>
      <c r="AGQ61" s="1461"/>
      <c r="AGR61" s="1462"/>
      <c r="AGS61" s="1463"/>
      <c r="AGT61" s="1459"/>
      <c r="AGU61" s="1459"/>
      <c r="AGV61" s="1460"/>
      <c r="AGW61" s="1461"/>
      <c r="AGX61" s="1462"/>
      <c r="AGY61" s="1463"/>
      <c r="AGZ61" s="1459"/>
      <c r="AHA61" s="1459"/>
      <c r="AHB61" s="1460"/>
      <c r="AHC61" s="1461"/>
      <c r="AHD61" s="1462"/>
      <c r="AHE61" s="1463"/>
      <c r="AHF61" s="1459"/>
      <c r="AHG61" s="1459"/>
      <c r="AHH61" s="1460"/>
      <c r="AHI61" s="1461"/>
      <c r="AHJ61" s="1462"/>
      <c r="AHK61" s="1463"/>
      <c r="AHL61" s="1459"/>
      <c r="AHM61" s="1459"/>
      <c r="AHN61" s="1460"/>
      <c r="AHO61" s="1461"/>
      <c r="AHP61" s="1462"/>
      <c r="AHQ61" s="1463"/>
      <c r="AHR61" s="1459"/>
      <c r="AHS61" s="1459"/>
      <c r="AHT61" s="1460"/>
      <c r="AHU61" s="1461"/>
      <c r="AHV61" s="1462"/>
      <c r="AHW61" s="1463"/>
      <c r="AHX61" s="1459"/>
      <c r="AHY61" s="1459"/>
      <c r="AHZ61" s="1460"/>
      <c r="AIA61" s="1461"/>
      <c r="AIB61" s="1462"/>
      <c r="AIC61" s="1463"/>
      <c r="AID61" s="1459"/>
      <c r="AIE61" s="1459"/>
      <c r="AIF61" s="1460"/>
      <c r="AIG61" s="1461"/>
      <c r="AIH61" s="1462"/>
      <c r="AII61" s="1463"/>
      <c r="AIJ61" s="1459"/>
      <c r="AIK61" s="1459"/>
      <c r="AIL61" s="1460"/>
      <c r="AIM61" s="1461"/>
      <c r="AIN61" s="1462"/>
      <c r="AIO61" s="1463"/>
      <c r="AIP61" s="1459"/>
      <c r="AIQ61" s="1459"/>
      <c r="AIR61" s="1460"/>
      <c r="AIS61" s="1461"/>
      <c r="AIT61" s="1462"/>
      <c r="AIU61" s="1463"/>
      <c r="AIV61" s="1459"/>
      <c r="AIW61" s="1459"/>
      <c r="AIX61" s="1460"/>
      <c r="AIY61" s="1461"/>
      <c r="AIZ61" s="1462"/>
      <c r="AJA61" s="1463"/>
      <c r="AJB61" s="1459"/>
      <c r="AJC61" s="1459"/>
      <c r="AJD61" s="1460"/>
      <c r="AJE61" s="1461"/>
      <c r="AJF61" s="1462"/>
      <c r="AJG61" s="1463"/>
      <c r="AJH61" s="1459"/>
      <c r="AJI61" s="1459"/>
      <c r="AJJ61" s="1460"/>
      <c r="AJK61" s="1461"/>
      <c r="AJL61" s="1462"/>
      <c r="AJM61" s="1463"/>
      <c r="AJN61" s="1459"/>
      <c r="AJO61" s="1459"/>
      <c r="AJP61" s="1460"/>
      <c r="AJQ61" s="1461"/>
      <c r="AJR61" s="1462"/>
      <c r="AJS61" s="1463"/>
      <c r="AJT61" s="1459"/>
      <c r="AJU61" s="1459"/>
      <c r="AJV61" s="1460"/>
      <c r="AJW61" s="1461"/>
      <c r="AJX61" s="1462"/>
      <c r="AJY61" s="1463"/>
      <c r="AJZ61" s="1459"/>
      <c r="AKA61" s="1459"/>
      <c r="AKB61" s="1460"/>
      <c r="AKC61" s="1461"/>
      <c r="AKD61" s="1462"/>
      <c r="AKE61" s="1463"/>
      <c r="AKF61" s="1459"/>
      <c r="AKG61" s="1459"/>
      <c r="AKH61" s="1460"/>
      <c r="AKI61" s="1461"/>
      <c r="AKJ61" s="1462"/>
      <c r="AKK61" s="1463"/>
      <c r="AKL61" s="1459"/>
      <c r="AKM61" s="1459"/>
      <c r="AKN61" s="1460"/>
      <c r="AKO61" s="1461"/>
      <c r="AKP61" s="1462"/>
      <c r="AKQ61" s="1463"/>
      <c r="AKR61" s="1459"/>
      <c r="AKS61" s="1459"/>
      <c r="AKT61" s="1460"/>
      <c r="AKU61" s="1461"/>
      <c r="AKV61" s="1462"/>
      <c r="AKW61" s="1463"/>
      <c r="AKX61" s="1459"/>
      <c r="AKY61" s="1459"/>
      <c r="AKZ61" s="1460"/>
      <c r="ALA61" s="1461"/>
      <c r="ALB61" s="1462"/>
      <c r="ALC61" s="1463"/>
      <c r="ALD61" s="1459"/>
      <c r="ALE61" s="1459"/>
      <c r="ALF61" s="1460"/>
      <c r="ALG61" s="1461"/>
      <c r="ALH61" s="1462"/>
      <c r="ALI61" s="1463"/>
      <c r="ALJ61" s="1459"/>
      <c r="ALK61" s="1459"/>
      <c r="ALL61" s="1460"/>
      <c r="ALM61" s="1461"/>
      <c r="ALN61" s="1462"/>
      <c r="ALO61" s="1463"/>
      <c r="ALP61" s="1459"/>
      <c r="ALQ61" s="1459"/>
      <c r="ALR61" s="1460"/>
      <c r="ALS61" s="1461"/>
      <c r="ALT61" s="1462"/>
      <c r="ALU61" s="1463"/>
      <c r="ALV61" s="1459"/>
      <c r="ALW61" s="1459"/>
      <c r="ALX61" s="1460"/>
      <c r="ALY61" s="1461"/>
      <c r="ALZ61" s="1462"/>
      <c r="AMA61" s="1463"/>
      <c r="AMB61" s="1459"/>
      <c r="AMC61" s="1459"/>
      <c r="AMD61" s="1460"/>
      <c r="AME61" s="1461"/>
      <c r="AMF61" s="1462"/>
      <c r="AMG61" s="1463"/>
      <c r="AMH61" s="1459"/>
      <c r="AMI61" s="1459"/>
      <c r="AMJ61" s="1460"/>
      <c r="AMK61" s="1461"/>
      <c r="AML61" s="1462"/>
      <c r="AMM61" s="1463"/>
      <c r="AMN61" s="1459"/>
      <c r="AMO61" s="1459"/>
      <c r="AMP61" s="1460"/>
      <c r="AMQ61" s="1461"/>
      <c r="AMR61" s="1462"/>
      <c r="AMS61" s="1463"/>
      <c r="AMT61" s="1459"/>
      <c r="AMU61" s="1459"/>
      <c r="AMV61" s="1460"/>
      <c r="AMW61" s="1461"/>
      <c r="AMX61" s="1462"/>
      <c r="AMY61" s="1463"/>
      <c r="AMZ61" s="1459"/>
      <c r="ANA61" s="1459"/>
      <c r="ANB61" s="1460"/>
      <c r="ANC61" s="1461"/>
      <c r="AND61" s="1462"/>
      <c r="ANE61" s="1463"/>
      <c r="ANF61" s="1459"/>
      <c r="ANG61" s="1459"/>
      <c r="ANH61" s="1460"/>
      <c r="ANI61" s="1461"/>
      <c r="ANJ61" s="1462"/>
      <c r="ANK61" s="1463"/>
      <c r="ANL61" s="1459"/>
      <c r="ANM61" s="1459"/>
      <c r="ANN61" s="1460"/>
      <c r="ANO61" s="1461"/>
      <c r="ANP61" s="1462"/>
      <c r="ANQ61" s="1463"/>
      <c r="ANR61" s="1459"/>
      <c r="ANS61" s="1459"/>
      <c r="ANT61" s="1460"/>
      <c r="ANU61" s="1461"/>
      <c r="ANV61" s="1462"/>
      <c r="ANW61" s="1463"/>
      <c r="ANX61" s="1459"/>
      <c r="ANY61" s="1459"/>
      <c r="ANZ61" s="1460"/>
      <c r="AOA61" s="1461"/>
      <c r="AOB61" s="1462"/>
      <c r="AOC61" s="1463"/>
      <c r="AOD61" s="1459"/>
      <c r="AOE61" s="1459"/>
      <c r="AOF61" s="1460"/>
      <c r="AOG61" s="1461"/>
      <c r="AOH61" s="1462"/>
      <c r="AOI61" s="1463"/>
      <c r="AOJ61" s="1459"/>
      <c r="AOK61" s="1459"/>
      <c r="AOL61" s="1460"/>
      <c r="AOM61" s="1461"/>
      <c r="AON61" s="1462"/>
      <c r="AOO61" s="1463"/>
      <c r="AOP61" s="1459"/>
      <c r="AOQ61" s="1459"/>
      <c r="AOR61" s="1460"/>
      <c r="AOS61" s="1461"/>
      <c r="AOT61" s="1462"/>
      <c r="AOU61" s="1463"/>
      <c r="AOV61" s="1459"/>
      <c r="AOW61" s="1459"/>
      <c r="AOX61" s="1460"/>
      <c r="AOY61" s="1461"/>
      <c r="AOZ61" s="1462"/>
      <c r="APA61" s="1463"/>
      <c r="APB61" s="1459"/>
      <c r="APC61" s="1459"/>
      <c r="APD61" s="1460"/>
      <c r="APE61" s="1461"/>
      <c r="APF61" s="1462"/>
      <c r="APG61" s="1463"/>
      <c r="APH61" s="1459"/>
      <c r="API61" s="1459"/>
      <c r="APJ61" s="1460"/>
      <c r="APK61" s="1461"/>
      <c r="APL61" s="1462"/>
      <c r="APM61" s="1463"/>
      <c r="APN61" s="1459"/>
      <c r="APO61" s="1459"/>
      <c r="APP61" s="1460"/>
      <c r="APQ61" s="1461"/>
      <c r="APR61" s="1462"/>
      <c r="APS61" s="1463"/>
      <c r="APT61" s="1459"/>
      <c r="APU61" s="1459"/>
      <c r="APV61" s="1460"/>
      <c r="APW61" s="1461"/>
      <c r="APX61" s="1462"/>
      <c r="APY61" s="1463"/>
      <c r="APZ61" s="1459"/>
      <c r="AQA61" s="1459"/>
      <c r="AQB61" s="1460"/>
      <c r="AQC61" s="1461"/>
      <c r="AQD61" s="1462"/>
      <c r="AQE61" s="1463"/>
      <c r="AQF61" s="1459"/>
      <c r="AQG61" s="1459"/>
      <c r="AQH61" s="1460"/>
      <c r="AQI61" s="1461"/>
      <c r="AQJ61" s="1462"/>
      <c r="AQK61" s="1463"/>
      <c r="AQL61" s="1459"/>
      <c r="AQM61" s="1459"/>
      <c r="AQN61" s="1460"/>
      <c r="AQO61" s="1461"/>
      <c r="AQP61" s="1462"/>
      <c r="AQQ61" s="1463"/>
      <c r="AQR61" s="1459"/>
      <c r="AQS61" s="1459"/>
      <c r="AQT61" s="1460"/>
      <c r="AQU61" s="1461"/>
      <c r="AQV61" s="1462"/>
      <c r="AQW61" s="1463"/>
      <c r="AQX61" s="1459"/>
      <c r="AQY61" s="1459"/>
      <c r="AQZ61" s="1460"/>
      <c r="ARA61" s="1461"/>
      <c r="ARB61" s="1462"/>
      <c r="ARC61" s="1463"/>
      <c r="ARD61" s="1459"/>
      <c r="ARE61" s="1459"/>
      <c r="ARF61" s="1460"/>
      <c r="ARG61" s="1461"/>
      <c r="ARH61" s="1462"/>
      <c r="ARI61" s="1463"/>
      <c r="ARJ61" s="1459"/>
      <c r="ARK61" s="1459"/>
      <c r="ARL61" s="1460"/>
      <c r="ARM61" s="1461"/>
      <c r="ARN61" s="1462"/>
      <c r="ARO61" s="1463"/>
      <c r="ARP61" s="1459"/>
      <c r="ARQ61" s="1459"/>
      <c r="ARR61" s="1460"/>
      <c r="ARS61" s="1461"/>
      <c r="ART61" s="1462"/>
      <c r="ARU61" s="1463"/>
      <c r="ARV61" s="1459"/>
      <c r="ARW61" s="1459"/>
      <c r="ARX61" s="1460"/>
      <c r="ARY61" s="1461"/>
      <c r="ARZ61" s="1462"/>
      <c r="ASA61" s="1463"/>
      <c r="ASB61" s="1459"/>
      <c r="ASC61" s="1459"/>
      <c r="ASD61" s="1460"/>
      <c r="ASE61" s="1461"/>
      <c r="ASF61" s="1462"/>
      <c r="ASG61" s="1463"/>
      <c r="ASH61" s="1459"/>
      <c r="ASI61" s="1459"/>
      <c r="ASJ61" s="1460"/>
      <c r="ASK61" s="1461"/>
      <c r="ASL61" s="1462"/>
      <c r="ASM61" s="1463"/>
      <c r="ASN61" s="1459"/>
      <c r="ASO61" s="1459"/>
      <c r="ASP61" s="1460"/>
      <c r="ASQ61" s="1461"/>
      <c r="ASR61" s="1462"/>
      <c r="ASS61" s="1463"/>
      <c r="AST61" s="1459"/>
      <c r="ASU61" s="1459"/>
      <c r="ASV61" s="1460"/>
      <c r="ASW61" s="1461"/>
      <c r="ASX61" s="1462"/>
      <c r="ASY61" s="1463"/>
      <c r="ASZ61" s="1459"/>
      <c r="ATA61" s="1459"/>
      <c r="ATB61" s="1460"/>
      <c r="ATC61" s="1461"/>
      <c r="ATD61" s="1462"/>
      <c r="ATE61" s="1463"/>
      <c r="ATF61" s="1459"/>
      <c r="ATG61" s="1459"/>
      <c r="ATH61" s="1460"/>
      <c r="ATI61" s="1461"/>
      <c r="ATJ61" s="1462"/>
      <c r="ATK61" s="1463"/>
      <c r="ATL61" s="1459"/>
      <c r="ATM61" s="1459"/>
      <c r="ATN61" s="1460"/>
      <c r="ATO61" s="1461"/>
      <c r="ATP61" s="1462"/>
      <c r="ATQ61" s="1463"/>
      <c r="ATR61" s="1459"/>
      <c r="ATS61" s="1459"/>
      <c r="ATT61" s="1460"/>
      <c r="ATU61" s="1461"/>
      <c r="ATV61" s="1462"/>
      <c r="ATW61" s="1463"/>
      <c r="ATX61" s="1459"/>
      <c r="ATY61" s="1459"/>
      <c r="ATZ61" s="1460"/>
      <c r="AUA61" s="1461"/>
      <c r="AUB61" s="1462"/>
      <c r="AUC61" s="1463"/>
      <c r="AUD61" s="1459"/>
      <c r="AUE61" s="1459"/>
      <c r="AUF61" s="1460"/>
      <c r="AUG61" s="1461"/>
      <c r="AUH61" s="1462"/>
      <c r="AUI61" s="1463"/>
      <c r="AUJ61" s="1459"/>
      <c r="AUK61" s="1459"/>
      <c r="AUL61" s="1460"/>
      <c r="AUM61" s="1461"/>
      <c r="AUN61" s="1462"/>
      <c r="AUO61" s="1463"/>
      <c r="AUP61" s="1459"/>
      <c r="AUQ61" s="1459"/>
      <c r="AUR61" s="1460"/>
      <c r="AUS61" s="1461"/>
      <c r="AUT61" s="1462"/>
      <c r="AUU61" s="1463"/>
      <c r="AUV61" s="1459"/>
      <c r="AUW61" s="1459"/>
      <c r="AUX61" s="1460"/>
      <c r="AUY61" s="1461"/>
      <c r="AUZ61" s="1462"/>
      <c r="AVA61" s="1463"/>
      <c r="AVB61" s="1459"/>
      <c r="AVC61" s="1459"/>
      <c r="AVD61" s="1460"/>
      <c r="AVE61" s="1461"/>
      <c r="AVF61" s="1462"/>
      <c r="AVG61" s="1463"/>
      <c r="AVH61" s="1459"/>
      <c r="AVI61" s="1459"/>
      <c r="AVJ61" s="1460"/>
      <c r="AVK61" s="1461"/>
      <c r="AVL61" s="1462"/>
      <c r="AVM61" s="1463"/>
      <c r="AVN61" s="1459"/>
      <c r="AVO61" s="1459"/>
      <c r="AVP61" s="1460"/>
      <c r="AVQ61" s="1461"/>
      <c r="AVR61" s="1462"/>
      <c r="AVS61" s="1463"/>
      <c r="AVT61" s="1459"/>
      <c r="AVU61" s="1459"/>
      <c r="AVV61" s="1460"/>
      <c r="AVW61" s="1461"/>
      <c r="AVX61" s="1462"/>
      <c r="AVY61" s="1463"/>
      <c r="AVZ61" s="1459"/>
      <c r="AWA61" s="1459"/>
      <c r="AWB61" s="1460"/>
      <c r="AWC61" s="1461"/>
      <c r="AWD61" s="1462"/>
      <c r="AWE61" s="1463"/>
      <c r="AWF61" s="1459"/>
      <c r="AWG61" s="1459"/>
      <c r="AWH61" s="1460"/>
      <c r="AWI61" s="1461"/>
      <c r="AWJ61" s="1462"/>
      <c r="AWK61" s="1463"/>
      <c r="AWL61" s="1459"/>
      <c r="AWM61" s="1459"/>
      <c r="AWN61" s="1460"/>
      <c r="AWO61" s="1461"/>
      <c r="AWP61" s="1462"/>
      <c r="AWQ61" s="1463"/>
      <c r="AWR61" s="1459"/>
      <c r="AWS61" s="1459"/>
      <c r="AWT61" s="1460"/>
      <c r="AWU61" s="1461"/>
      <c r="AWV61" s="1462"/>
      <c r="AWW61" s="1463"/>
      <c r="AWX61" s="1459"/>
      <c r="AWY61" s="1459"/>
      <c r="AWZ61" s="1460"/>
      <c r="AXA61" s="1461"/>
      <c r="AXB61" s="1462"/>
      <c r="AXC61" s="1463"/>
      <c r="AXD61" s="1459"/>
      <c r="AXE61" s="1459"/>
      <c r="AXF61" s="1460"/>
      <c r="AXG61" s="1461"/>
      <c r="AXH61" s="1462"/>
      <c r="AXI61" s="1463"/>
      <c r="AXJ61" s="1459"/>
      <c r="AXK61" s="1459"/>
      <c r="AXL61" s="1460"/>
      <c r="AXM61" s="1461"/>
      <c r="AXN61" s="1462"/>
      <c r="AXO61" s="1463"/>
      <c r="AXP61" s="1459"/>
      <c r="AXQ61" s="1459"/>
      <c r="AXR61" s="1460"/>
      <c r="AXS61" s="1461"/>
      <c r="AXT61" s="1462"/>
      <c r="AXU61" s="1463"/>
      <c r="AXV61" s="1459"/>
      <c r="AXW61" s="1459"/>
      <c r="AXX61" s="1460"/>
      <c r="AXY61" s="1461"/>
      <c r="AXZ61" s="1462"/>
      <c r="AYA61" s="1463"/>
      <c r="AYB61" s="1459"/>
      <c r="AYC61" s="1459"/>
      <c r="AYD61" s="1460"/>
      <c r="AYE61" s="1461"/>
      <c r="AYF61" s="1462"/>
      <c r="AYG61" s="1463"/>
      <c r="AYH61" s="1459"/>
      <c r="AYI61" s="1459"/>
      <c r="AYJ61" s="1460"/>
      <c r="AYK61" s="1461"/>
      <c r="AYL61" s="1462"/>
      <c r="AYM61" s="1463"/>
      <c r="AYN61" s="1459"/>
      <c r="AYO61" s="1459"/>
      <c r="AYP61" s="1460"/>
      <c r="AYQ61" s="1461"/>
      <c r="AYR61" s="1462"/>
      <c r="AYS61" s="1463"/>
      <c r="AYT61" s="1459"/>
      <c r="AYU61" s="1459"/>
      <c r="AYV61" s="1460"/>
      <c r="AYW61" s="1461"/>
      <c r="AYX61" s="1462"/>
      <c r="AYY61" s="1463"/>
      <c r="AYZ61" s="1459"/>
      <c r="AZA61" s="1459"/>
      <c r="AZB61" s="1460"/>
      <c r="AZC61" s="1461"/>
      <c r="AZD61" s="1462"/>
      <c r="AZE61" s="1463"/>
      <c r="AZF61" s="1459"/>
      <c r="AZG61" s="1459"/>
      <c r="AZH61" s="1460"/>
      <c r="AZI61" s="1461"/>
      <c r="AZJ61" s="1462"/>
      <c r="AZK61" s="1463"/>
      <c r="AZL61" s="1459"/>
      <c r="AZM61" s="1459"/>
      <c r="AZN61" s="1460"/>
      <c r="AZO61" s="1461"/>
      <c r="AZP61" s="1462"/>
      <c r="AZQ61" s="1463"/>
      <c r="AZR61" s="1459"/>
      <c r="AZS61" s="1459"/>
      <c r="AZT61" s="1460"/>
      <c r="AZU61" s="1461"/>
      <c r="AZV61" s="1462"/>
      <c r="AZW61" s="1463"/>
      <c r="AZX61" s="1459"/>
      <c r="AZY61" s="1459"/>
      <c r="AZZ61" s="1460"/>
      <c r="BAA61" s="1461"/>
      <c r="BAB61" s="1462"/>
      <c r="BAC61" s="1463"/>
      <c r="BAD61" s="1459"/>
      <c r="BAE61" s="1459"/>
      <c r="BAF61" s="1460"/>
      <c r="BAG61" s="1461"/>
      <c r="BAH61" s="1462"/>
      <c r="BAI61" s="1463"/>
      <c r="BAJ61" s="1459"/>
      <c r="BAK61" s="1459"/>
      <c r="BAL61" s="1460"/>
      <c r="BAM61" s="1461"/>
      <c r="BAN61" s="1462"/>
      <c r="BAO61" s="1463"/>
      <c r="BAP61" s="1459"/>
      <c r="BAQ61" s="1459"/>
      <c r="BAR61" s="1460"/>
      <c r="BAS61" s="1461"/>
      <c r="BAT61" s="1462"/>
      <c r="BAU61" s="1463"/>
      <c r="BAV61" s="1459"/>
      <c r="BAW61" s="1459"/>
      <c r="BAX61" s="1460"/>
      <c r="BAY61" s="1461"/>
      <c r="BAZ61" s="1462"/>
      <c r="BBA61" s="1463"/>
      <c r="BBB61" s="1459"/>
      <c r="BBC61" s="1459"/>
      <c r="BBD61" s="1460"/>
      <c r="BBE61" s="1461"/>
      <c r="BBF61" s="1462"/>
      <c r="BBG61" s="1463"/>
      <c r="BBH61" s="1459"/>
      <c r="BBI61" s="1459"/>
      <c r="BBJ61" s="1460"/>
      <c r="BBK61" s="1461"/>
      <c r="BBL61" s="1462"/>
      <c r="BBM61" s="1463"/>
      <c r="BBN61" s="1459"/>
      <c r="BBO61" s="1459"/>
      <c r="BBP61" s="1460"/>
      <c r="BBQ61" s="1461"/>
      <c r="BBR61" s="1462"/>
      <c r="BBS61" s="1463"/>
      <c r="BBT61" s="1459"/>
      <c r="BBU61" s="1459"/>
      <c r="BBV61" s="1460"/>
      <c r="BBW61" s="1461"/>
      <c r="BBX61" s="1462"/>
      <c r="BBY61" s="1463"/>
      <c r="BBZ61" s="1459"/>
      <c r="BCA61" s="1459"/>
      <c r="BCB61" s="1460"/>
      <c r="BCC61" s="1461"/>
      <c r="BCD61" s="1462"/>
      <c r="BCE61" s="1463"/>
      <c r="BCF61" s="1459"/>
      <c r="BCG61" s="1459"/>
      <c r="BCH61" s="1460"/>
      <c r="BCI61" s="1461"/>
      <c r="BCJ61" s="1462"/>
      <c r="BCK61" s="1463"/>
      <c r="BCL61" s="1459"/>
      <c r="BCM61" s="1459"/>
      <c r="BCN61" s="1460"/>
      <c r="BCO61" s="1461"/>
      <c r="BCP61" s="1462"/>
      <c r="BCQ61" s="1463"/>
      <c r="BCR61" s="1459"/>
      <c r="BCS61" s="1459"/>
      <c r="BCT61" s="1460"/>
      <c r="BCU61" s="1461"/>
      <c r="BCV61" s="1462"/>
      <c r="BCW61" s="1463"/>
      <c r="BCX61" s="1459"/>
      <c r="BCY61" s="1459"/>
      <c r="BCZ61" s="1460"/>
      <c r="BDA61" s="1461"/>
      <c r="BDB61" s="1462"/>
      <c r="BDC61" s="1463"/>
      <c r="BDD61" s="1459"/>
      <c r="BDE61" s="1459"/>
      <c r="BDF61" s="1460"/>
      <c r="BDG61" s="1461"/>
      <c r="BDH61" s="1462"/>
      <c r="BDI61" s="1463"/>
      <c r="BDJ61" s="1459"/>
      <c r="BDK61" s="1459"/>
      <c r="BDL61" s="1460"/>
      <c r="BDM61" s="1461"/>
      <c r="BDN61" s="1462"/>
      <c r="BDO61" s="1463"/>
      <c r="BDP61" s="1459"/>
      <c r="BDQ61" s="1459"/>
      <c r="BDR61" s="1460"/>
      <c r="BDS61" s="1461"/>
      <c r="BDT61" s="1462"/>
      <c r="BDU61" s="1463"/>
      <c r="BDV61" s="1459"/>
      <c r="BDW61" s="1459"/>
      <c r="BDX61" s="1460"/>
      <c r="BDY61" s="1461"/>
      <c r="BDZ61" s="1462"/>
      <c r="BEA61" s="1463"/>
      <c r="BEB61" s="1459"/>
      <c r="BEC61" s="1459"/>
      <c r="BED61" s="1460"/>
      <c r="BEE61" s="1461"/>
      <c r="BEF61" s="1462"/>
      <c r="BEG61" s="1463"/>
      <c r="BEH61" s="1459"/>
      <c r="BEI61" s="1459"/>
      <c r="BEJ61" s="1460"/>
      <c r="BEK61" s="1461"/>
      <c r="BEL61" s="1462"/>
      <c r="BEM61" s="1463"/>
      <c r="BEN61" s="1459"/>
      <c r="BEO61" s="1459"/>
      <c r="BEP61" s="1460"/>
      <c r="BEQ61" s="1461"/>
      <c r="BER61" s="1462"/>
      <c r="BES61" s="1463"/>
      <c r="BET61" s="1459"/>
      <c r="BEU61" s="1459"/>
      <c r="BEV61" s="1460"/>
      <c r="BEW61" s="1461"/>
      <c r="BEX61" s="1462"/>
      <c r="BEY61" s="1463"/>
      <c r="BEZ61" s="1459"/>
      <c r="BFA61" s="1459"/>
      <c r="BFB61" s="1460"/>
      <c r="BFC61" s="1461"/>
      <c r="BFD61" s="1462"/>
      <c r="BFE61" s="1463"/>
      <c r="BFF61" s="1459"/>
      <c r="BFG61" s="1459"/>
      <c r="BFH61" s="1460"/>
      <c r="BFI61" s="1461"/>
      <c r="BFJ61" s="1462"/>
      <c r="BFK61" s="1463"/>
      <c r="BFL61" s="1459"/>
      <c r="BFM61" s="1459"/>
      <c r="BFN61" s="1460"/>
      <c r="BFO61" s="1461"/>
      <c r="BFP61" s="1462"/>
      <c r="BFQ61" s="1463"/>
      <c r="BFR61" s="1459"/>
      <c r="BFS61" s="1459"/>
      <c r="BFT61" s="1460"/>
      <c r="BFU61" s="1461"/>
      <c r="BFV61" s="1462"/>
      <c r="BFW61" s="1463"/>
      <c r="BFX61" s="1459"/>
      <c r="BFY61" s="1459"/>
      <c r="BFZ61" s="1460"/>
      <c r="BGA61" s="1461"/>
      <c r="BGB61" s="1462"/>
      <c r="BGC61" s="1463"/>
      <c r="BGD61" s="1459"/>
      <c r="BGE61" s="1459"/>
      <c r="BGF61" s="1460"/>
      <c r="BGG61" s="1461"/>
      <c r="BGH61" s="1462"/>
      <c r="BGI61" s="1463"/>
      <c r="BGJ61" s="1459"/>
      <c r="BGK61" s="1459"/>
      <c r="BGL61" s="1460"/>
      <c r="BGM61" s="1461"/>
      <c r="BGN61" s="1462"/>
      <c r="BGO61" s="1463"/>
      <c r="BGP61" s="1459"/>
      <c r="BGQ61" s="1459"/>
      <c r="BGR61" s="1460"/>
      <c r="BGS61" s="1461"/>
      <c r="BGT61" s="1462"/>
      <c r="BGU61" s="1463"/>
      <c r="BGV61" s="1459"/>
      <c r="BGW61" s="1459"/>
      <c r="BGX61" s="1460"/>
      <c r="BGY61" s="1461"/>
      <c r="BGZ61" s="1462"/>
      <c r="BHA61" s="1463"/>
      <c r="BHB61" s="1459"/>
      <c r="BHC61" s="1459"/>
      <c r="BHD61" s="1460"/>
      <c r="BHE61" s="1461"/>
      <c r="BHF61" s="1462"/>
      <c r="BHG61" s="1463"/>
      <c r="BHH61" s="1459"/>
      <c r="BHI61" s="1459"/>
      <c r="BHJ61" s="1460"/>
      <c r="BHK61" s="1461"/>
      <c r="BHL61" s="1462"/>
      <c r="BHM61" s="1463"/>
      <c r="BHN61" s="1459"/>
      <c r="BHO61" s="1459"/>
      <c r="BHP61" s="1460"/>
      <c r="BHQ61" s="1461"/>
      <c r="BHR61" s="1462"/>
      <c r="BHS61" s="1463"/>
      <c r="BHT61" s="1459"/>
      <c r="BHU61" s="1459"/>
      <c r="BHV61" s="1460"/>
      <c r="BHW61" s="1461"/>
      <c r="BHX61" s="1462"/>
      <c r="BHY61" s="1463"/>
      <c r="BHZ61" s="1459"/>
      <c r="BIA61" s="1459"/>
      <c r="BIB61" s="1460"/>
      <c r="BIC61" s="1461"/>
      <c r="BID61" s="1462"/>
      <c r="BIE61" s="1463"/>
      <c r="BIF61" s="1459"/>
      <c r="BIG61" s="1459"/>
      <c r="BIH61" s="1460"/>
      <c r="BII61" s="1461"/>
      <c r="BIJ61" s="1462"/>
      <c r="BIK61" s="1463"/>
      <c r="BIL61" s="1459"/>
      <c r="BIM61" s="1459"/>
      <c r="BIN61" s="1460"/>
      <c r="BIO61" s="1461"/>
      <c r="BIP61" s="1462"/>
      <c r="BIQ61" s="1463"/>
      <c r="BIR61" s="1459"/>
      <c r="BIS61" s="1459"/>
      <c r="BIT61" s="1460"/>
      <c r="BIU61" s="1461"/>
      <c r="BIV61" s="1462"/>
      <c r="BIW61" s="1463"/>
      <c r="BIX61" s="1459"/>
      <c r="BIY61" s="1459"/>
      <c r="BIZ61" s="1460"/>
      <c r="BJA61" s="1461"/>
      <c r="BJB61" s="1462"/>
      <c r="BJC61" s="1463"/>
      <c r="BJD61" s="1459"/>
      <c r="BJE61" s="1459"/>
      <c r="BJF61" s="1460"/>
      <c r="BJG61" s="1461"/>
      <c r="BJH61" s="1462"/>
      <c r="BJI61" s="1463"/>
      <c r="BJJ61" s="1459"/>
      <c r="BJK61" s="1459"/>
      <c r="BJL61" s="1460"/>
      <c r="BJM61" s="1461"/>
      <c r="BJN61" s="1462"/>
      <c r="BJO61" s="1463"/>
      <c r="BJP61" s="1459"/>
      <c r="BJQ61" s="1459"/>
      <c r="BJR61" s="1460"/>
      <c r="BJS61" s="1461"/>
      <c r="BJT61" s="1462"/>
      <c r="BJU61" s="1463"/>
      <c r="BJV61" s="1459"/>
      <c r="BJW61" s="1459"/>
      <c r="BJX61" s="1460"/>
      <c r="BJY61" s="1461"/>
      <c r="BJZ61" s="1462"/>
      <c r="BKA61" s="1463"/>
      <c r="BKB61" s="1459"/>
      <c r="BKC61" s="1459"/>
      <c r="BKD61" s="1460"/>
      <c r="BKE61" s="1461"/>
      <c r="BKF61" s="1462"/>
      <c r="BKG61" s="1463"/>
      <c r="BKH61" s="1459"/>
      <c r="BKI61" s="1459"/>
      <c r="BKJ61" s="1460"/>
      <c r="BKK61" s="1461"/>
      <c r="BKL61" s="1462"/>
      <c r="BKM61" s="1463"/>
      <c r="BKN61" s="1459"/>
      <c r="BKO61" s="1459"/>
      <c r="BKP61" s="1460"/>
      <c r="BKQ61" s="1461"/>
      <c r="BKR61" s="1462"/>
      <c r="BKS61" s="1463"/>
      <c r="BKT61" s="1459"/>
      <c r="BKU61" s="1459"/>
      <c r="BKV61" s="1460"/>
      <c r="BKW61" s="1461"/>
      <c r="BKX61" s="1462"/>
      <c r="BKY61" s="1463"/>
      <c r="BKZ61" s="1459"/>
      <c r="BLA61" s="1459"/>
      <c r="BLB61" s="1460"/>
      <c r="BLC61" s="1461"/>
      <c r="BLD61" s="1462"/>
      <c r="BLE61" s="1463"/>
      <c r="BLF61" s="1459"/>
      <c r="BLG61" s="1459"/>
      <c r="BLH61" s="1460"/>
      <c r="BLI61" s="1461"/>
      <c r="BLJ61" s="1462"/>
      <c r="BLK61" s="1463"/>
      <c r="BLL61" s="1459"/>
      <c r="BLM61" s="1459"/>
      <c r="BLN61" s="1460"/>
      <c r="BLO61" s="1461"/>
      <c r="BLP61" s="1462"/>
      <c r="BLQ61" s="1463"/>
      <c r="BLR61" s="1459"/>
      <c r="BLS61" s="1459"/>
      <c r="BLT61" s="1460"/>
      <c r="BLU61" s="1461"/>
      <c r="BLV61" s="1462"/>
      <c r="BLW61" s="1463"/>
      <c r="BLX61" s="1459"/>
      <c r="BLY61" s="1459"/>
      <c r="BLZ61" s="1460"/>
      <c r="BMA61" s="1461"/>
      <c r="BMB61" s="1462"/>
      <c r="BMC61" s="1463"/>
      <c r="BMD61" s="1459"/>
      <c r="BME61" s="1459"/>
      <c r="BMF61" s="1460"/>
      <c r="BMG61" s="1461"/>
      <c r="BMH61" s="1462"/>
      <c r="BMI61" s="1463"/>
      <c r="BMJ61" s="1459"/>
      <c r="BMK61" s="1459"/>
      <c r="BML61" s="1460"/>
      <c r="BMM61" s="1461"/>
      <c r="BMN61" s="1462"/>
      <c r="BMO61" s="1463"/>
      <c r="BMP61" s="1459"/>
      <c r="BMQ61" s="1459"/>
      <c r="BMR61" s="1460"/>
      <c r="BMS61" s="1461"/>
      <c r="BMT61" s="1462"/>
      <c r="BMU61" s="1463"/>
      <c r="BMV61" s="1459"/>
      <c r="BMW61" s="1459"/>
      <c r="BMX61" s="1460"/>
      <c r="BMY61" s="1461"/>
      <c r="BMZ61" s="1462"/>
      <c r="BNA61" s="1463"/>
      <c r="BNB61" s="1459"/>
      <c r="BNC61" s="1459"/>
      <c r="BND61" s="1460"/>
      <c r="BNE61" s="1461"/>
      <c r="BNF61" s="1462"/>
      <c r="BNG61" s="1463"/>
      <c r="BNH61" s="1459"/>
      <c r="BNI61" s="1459"/>
      <c r="BNJ61" s="1460"/>
      <c r="BNK61" s="1461"/>
      <c r="BNL61" s="1462"/>
      <c r="BNM61" s="1463"/>
      <c r="BNN61" s="1459"/>
      <c r="BNO61" s="1459"/>
      <c r="BNP61" s="1460"/>
      <c r="BNQ61" s="1461"/>
      <c r="BNR61" s="1462"/>
      <c r="BNS61" s="1463"/>
      <c r="BNT61" s="1459"/>
      <c r="BNU61" s="1459"/>
      <c r="BNV61" s="1460"/>
      <c r="BNW61" s="1461"/>
      <c r="BNX61" s="1462"/>
      <c r="BNY61" s="1463"/>
      <c r="BNZ61" s="1459"/>
      <c r="BOA61" s="1459"/>
      <c r="BOB61" s="1460"/>
      <c r="BOC61" s="1461"/>
      <c r="BOD61" s="1462"/>
      <c r="BOE61" s="1463"/>
      <c r="BOF61" s="1459"/>
      <c r="BOG61" s="1459"/>
      <c r="BOH61" s="1460"/>
      <c r="BOI61" s="1461"/>
      <c r="BOJ61" s="1462"/>
      <c r="BOK61" s="1463"/>
      <c r="BOL61" s="1459"/>
      <c r="BOM61" s="1459"/>
      <c r="BON61" s="1460"/>
      <c r="BOO61" s="1461"/>
      <c r="BOP61" s="1462"/>
      <c r="BOQ61" s="1463"/>
      <c r="BOR61" s="1459"/>
      <c r="BOS61" s="1459"/>
      <c r="BOT61" s="1460"/>
      <c r="BOU61" s="1461"/>
      <c r="BOV61" s="1462"/>
      <c r="BOW61" s="1463"/>
      <c r="BOX61" s="1459"/>
      <c r="BOY61" s="1459"/>
      <c r="BOZ61" s="1460"/>
      <c r="BPA61" s="1461"/>
      <c r="BPB61" s="1462"/>
      <c r="BPC61" s="1463"/>
      <c r="BPD61" s="1459"/>
      <c r="BPE61" s="1459"/>
      <c r="BPF61" s="1460"/>
      <c r="BPG61" s="1461"/>
      <c r="BPH61" s="1462"/>
      <c r="BPI61" s="1463"/>
      <c r="BPJ61" s="1459"/>
      <c r="BPK61" s="1459"/>
      <c r="BPL61" s="1460"/>
      <c r="BPM61" s="1461"/>
      <c r="BPN61" s="1462"/>
      <c r="BPO61" s="1463"/>
      <c r="BPP61" s="1459"/>
      <c r="BPQ61" s="1459"/>
      <c r="BPR61" s="1460"/>
      <c r="BPS61" s="1461"/>
      <c r="BPT61" s="1462"/>
      <c r="BPU61" s="1463"/>
      <c r="BPV61" s="1459"/>
      <c r="BPW61" s="1459"/>
      <c r="BPX61" s="1460"/>
      <c r="BPY61" s="1461"/>
      <c r="BPZ61" s="1462"/>
      <c r="BQA61" s="1463"/>
      <c r="BQB61" s="1459"/>
      <c r="BQC61" s="1459"/>
      <c r="BQD61" s="1460"/>
      <c r="BQE61" s="1461"/>
      <c r="BQF61" s="1462"/>
      <c r="BQG61" s="1463"/>
      <c r="BQH61" s="1459"/>
      <c r="BQI61" s="1459"/>
      <c r="BQJ61" s="1460"/>
      <c r="BQK61" s="1461"/>
      <c r="BQL61" s="1462"/>
      <c r="BQM61" s="1463"/>
      <c r="BQN61" s="1459"/>
      <c r="BQO61" s="1459"/>
      <c r="BQP61" s="1460"/>
      <c r="BQQ61" s="1461"/>
      <c r="BQR61" s="1462"/>
      <c r="BQS61" s="1463"/>
      <c r="BQT61" s="1459"/>
      <c r="BQU61" s="1459"/>
      <c r="BQV61" s="1460"/>
      <c r="BQW61" s="1461"/>
      <c r="BQX61" s="1462"/>
      <c r="BQY61" s="1463"/>
      <c r="BQZ61" s="1459"/>
      <c r="BRA61" s="1459"/>
      <c r="BRB61" s="1460"/>
      <c r="BRC61" s="1461"/>
      <c r="BRD61" s="1462"/>
      <c r="BRE61" s="1463"/>
      <c r="BRF61" s="1459"/>
      <c r="BRG61" s="1459"/>
      <c r="BRH61" s="1460"/>
      <c r="BRI61" s="1461"/>
      <c r="BRJ61" s="1462"/>
      <c r="BRK61" s="1463"/>
      <c r="BRL61" s="1459"/>
      <c r="BRM61" s="1459"/>
      <c r="BRN61" s="1460"/>
      <c r="BRO61" s="1461"/>
      <c r="BRP61" s="1462"/>
      <c r="BRQ61" s="1463"/>
      <c r="BRR61" s="1459"/>
      <c r="BRS61" s="1459"/>
      <c r="BRT61" s="1460"/>
      <c r="BRU61" s="1461"/>
      <c r="BRV61" s="1462"/>
      <c r="BRW61" s="1463"/>
      <c r="BRX61" s="1459"/>
      <c r="BRY61" s="1459"/>
      <c r="BRZ61" s="1460"/>
      <c r="BSA61" s="1461"/>
      <c r="BSB61" s="1462"/>
      <c r="BSC61" s="1463"/>
      <c r="BSD61" s="1459"/>
      <c r="BSE61" s="1459"/>
      <c r="BSF61" s="1460"/>
      <c r="BSG61" s="1461"/>
      <c r="BSH61" s="1462"/>
      <c r="BSI61" s="1463"/>
      <c r="BSJ61" s="1459"/>
      <c r="BSK61" s="1459"/>
      <c r="BSL61" s="1460"/>
      <c r="BSM61" s="1461"/>
      <c r="BSN61" s="1462"/>
      <c r="BSO61" s="1463"/>
      <c r="BSP61" s="1459"/>
      <c r="BSQ61" s="1459"/>
      <c r="BSR61" s="1460"/>
      <c r="BSS61" s="1461"/>
      <c r="BST61" s="1462"/>
      <c r="BSU61" s="1463"/>
      <c r="BSV61" s="1459"/>
      <c r="BSW61" s="1459"/>
      <c r="BSX61" s="1460"/>
      <c r="BSY61" s="1461"/>
      <c r="BSZ61" s="1462"/>
      <c r="BTA61" s="1463"/>
      <c r="BTB61" s="1459"/>
      <c r="BTC61" s="1459"/>
      <c r="BTD61" s="1460"/>
      <c r="BTE61" s="1461"/>
      <c r="BTF61" s="1462"/>
      <c r="BTG61" s="1463"/>
      <c r="BTH61" s="1459"/>
      <c r="BTI61" s="1459"/>
      <c r="BTJ61" s="1460"/>
      <c r="BTK61" s="1461"/>
      <c r="BTL61" s="1462"/>
      <c r="BTM61" s="1463"/>
      <c r="BTN61" s="1459"/>
      <c r="BTO61" s="1459"/>
      <c r="BTP61" s="1460"/>
      <c r="BTQ61" s="1461"/>
      <c r="BTR61" s="1462"/>
      <c r="BTS61" s="1463"/>
      <c r="BTT61" s="1459"/>
      <c r="BTU61" s="1459"/>
      <c r="BTV61" s="1460"/>
      <c r="BTW61" s="1461"/>
      <c r="BTX61" s="1462"/>
      <c r="BTY61" s="1463"/>
      <c r="BTZ61" s="1459"/>
      <c r="BUA61" s="1459"/>
      <c r="BUB61" s="1460"/>
      <c r="BUC61" s="1461"/>
      <c r="BUD61" s="1462"/>
      <c r="BUE61" s="1463"/>
      <c r="BUF61" s="1459"/>
      <c r="BUG61" s="1459"/>
      <c r="BUH61" s="1460"/>
      <c r="BUI61" s="1461"/>
      <c r="BUJ61" s="1462"/>
      <c r="BUK61" s="1463"/>
      <c r="BUL61" s="1459"/>
      <c r="BUM61" s="1459"/>
      <c r="BUN61" s="1460"/>
      <c r="BUO61" s="1461"/>
      <c r="BUP61" s="1462"/>
      <c r="BUQ61" s="1463"/>
      <c r="BUR61" s="1459"/>
      <c r="BUS61" s="1459"/>
      <c r="BUT61" s="1460"/>
      <c r="BUU61" s="1461"/>
      <c r="BUV61" s="1462"/>
      <c r="BUW61" s="1463"/>
      <c r="BUX61" s="1459"/>
      <c r="BUY61" s="1459"/>
      <c r="BUZ61" s="1460"/>
      <c r="BVA61" s="1461"/>
      <c r="BVB61" s="1462"/>
      <c r="BVC61" s="1463"/>
      <c r="BVD61" s="1459"/>
      <c r="BVE61" s="1459"/>
      <c r="BVF61" s="1460"/>
      <c r="BVG61" s="1461"/>
      <c r="BVH61" s="1462"/>
      <c r="BVI61" s="1463"/>
      <c r="BVJ61" s="1459"/>
      <c r="BVK61" s="1459"/>
      <c r="BVL61" s="1460"/>
      <c r="BVM61" s="1461"/>
      <c r="BVN61" s="1462"/>
      <c r="BVO61" s="1463"/>
      <c r="BVP61" s="1459"/>
      <c r="BVQ61" s="1459"/>
      <c r="BVR61" s="1460"/>
      <c r="BVS61" s="1461"/>
      <c r="BVT61" s="1462"/>
      <c r="BVU61" s="1463"/>
      <c r="BVV61" s="1459"/>
      <c r="BVW61" s="1459"/>
      <c r="BVX61" s="1460"/>
      <c r="BVY61" s="1461"/>
      <c r="BVZ61" s="1462"/>
      <c r="BWA61" s="1463"/>
      <c r="BWB61" s="1459"/>
      <c r="BWC61" s="1459"/>
      <c r="BWD61" s="1460"/>
      <c r="BWE61" s="1461"/>
      <c r="BWF61" s="1462"/>
      <c r="BWG61" s="1463"/>
      <c r="BWH61" s="1459"/>
      <c r="BWI61" s="1459"/>
      <c r="BWJ61" s="1460"/>
      <c r="BWK61" s="1461"/>
      <c r="BWL61" s="1462"/>
      <c r="BWM61" s="1463"/>
      <c r="BWN61" s="1459"/>
      <c r="BWO61" s="1459"/>
      <c r="BWP61" s="1460"/>
      <c r="BWQ61" s="1461"/>
      <c r="BWR61" s="1462"/>
      <c r="BWS61" s="1463"/>
      <c r="BWT61" s="1459"/>
      <c r="BWU61" s="1459"/>
      <c r="BWV61" s="1460"/>
      <c r="BWW61" s="1461"/>
      <c r="BWX61" s="1462"/>
      <c r="BWY61" s="1463"/>
      <c r="BWZ61" s="1459"/>
      <c r="BXA61" s="1459"/>
      <c r="BXB61" s="1460"/>
      <c r="BXC61" s="1461"/>
      <c r="BXD61" s="1462"/>
      <c r="BXE61" s="1463"/>
      <c r="BXF61" s="1459"/>
      <c r="BXG61" s="1459"/>
      <c r="BXH61" s="1460"/>
      <c r="BXI61" s="1461"/>
      <c r="BXJ61" s="1462"/>
      <c r="BXK61" s="1463"/>
      <c r="BXL61" s="1459"/>
      <c r="BXM61" s="1459"/>
      <c r="BXN61" s="1460"/>
      <c r="BXO61" s="1461"/>
      <c r="BXP61" s="1462"/>
      <c r="BXQ61" s="1463"/>
      <c r="BXR61" s="1459"/>
      <c r="BXS61" s="1459"/>
      <c r="BXT61" s="1460"/>
      <c r="BXU61" s="1461"/>
      <c r="BXV61" s="1462"/>
      <c r="BXW61" s="1463"/>
      <c r="BXX61" s="1459"/>
      <c r="BXY61" s="1459"/>
      <c r="BXZ61" s="1460"/>
      <c r="BYA61" s="1461"/>
      <c r="BYB61" s="1462"/>
      <c r="BYC61" s="1463"/>
      <c r="BYD61" s="1459"/>
      <c r="BYE61" s="1459"/>
      <c r="BYF61" s="1460"/>
      <c r="BYG61" s="1461"/>
      <c r="BYH61" s="1462"/>
      <c r="BYI61" s="1463"/>
      <c r="BYJ61" s="1459"/>
      <c r="BYK61" s="1459"/>
      <c r="BYL61" s="1460"/>
      <c r="BYM61" s="1461"/>
      <c r="BYN61" s="1462"/>
      <c r="BYO61" s="1463"/>
      <c r="BYP61" s="1459"/>
      <c r="BYQ61" s="1459"/>
      <c r="BYR61" s="1460"/>
      <c r="BYS61" s="1461"/>
      <c r="BYT61" s="1462"/>
      <c r="BYU61" s="1463"/>
      <c r="BYV61" s="1459"/>
      <c r="BYW61" s="1459"/>
      <c r="BYX61" s="1460"/>
      <c r="BYY61" s="1461"/>
      <c r="BYZ61" s="1462"/>
      <c r="BZA61" s="1463"/>
      <c r="BZB61" s="1459"/>
      <c r="BZC61" s="1459"/>
      <c r="BZD61" s="1460"/>
      <c r="BZE61" s="1461"/>
      <c r="BZF61" s="1462"/>
      <c r="BZG61" s="1463"/>
      <c r="BZH61" s="1459"/>
      <c r="BZI61" s="1459"/>
      <c r="BZJ61" s="1460"/>
      <c r="BZK61" s="1461"/>
      <c r="BZL61" s="1462"/>
      <c r="BZM61" s="1463"/>
      <c r="BZN61" s="1459"/>
      <c r="BZO61" s="1459"/>
      <c r="BZP61" s="1460"/>
      <c r="BZQ61" s="1461"/>
      <c r="BZR61" s="1462"/>
      <c r="BZS61" s="1463"/>
      <c r="BZT61" s="1459"/>
      <c r="BZU61" s="1459"/>
      <c r="BZV61" s="1460"/>
      <c r="BZW61" s="1461"/>
      <c r="BZX61" s="1462"/>
      <c r="BZY61" s="1463"/>
      <c r="BZZ61" s="1459"/>
      <c r="CAA61" s="1459"/>
      <c r="CAB61" s="1460"/>
      <c r="CAC61" s="1461"/>
      <c r="CAD61" s="1462"/>
      <c r="CAE61" s="1463"/>
      <c r="CAF61" s="1459"/>
      <c r="CAG61" s="1459"/>
      <c r="CAH61" s="1460"/>
      <c r="CAI61" s="1461"/>
      <c r="CAJ61" s="1462"/>
      <c r="CAK61" s="1463"/>
      <c r="CAL61" s="1459"/>
      <c r="CAM61" s="1459"/>
      <c r="CAN61" s="1460"/>
      <c r="CAO61" s="1461"/>
      <c r="CAP61" s="1462"/>
      <c r="CAQ61" s="1463"/>
      <c r="CAR61" s="1459"/>
      <c r="CAS61" s="1459"/>
      <c r="CAT61" s="1460"/>
      <c r="CAU61" s="1461"/>
      <c r="CAV61" s="1462"/>
      <c r="CAW61" s="1463"/>
      <c r="CAX61" s="1459"/>
      <c r="CAY61" s="1459"/>
      <c r="CAZ61" s="1460"/>
      <c r="CBA61" s="1461"/>
      <c r="CBB61" s="1462"/>
      <c r="CBC61" s="1463"/>
      <c r="CBD61" s="1459"/>
      <c r="CBE61" s="1459"/>
      <c r="CBF61" s="1460"/>
      <c r="CBG61" s="1461"/>
      <c r="CBH61" s="1462"/>
      <c r="CBI61" s="1463"/>
      <c r="CBJ61" s="1459"/>
      <c r="CBK61" s="1459"/>
      <c r="CBL61" s="1460"/>
      <c r="CBM61" s="1461"/>
      <c r="CBN61" s="1462"/>
      <c r="CBO61" s="1463"/>
      <c r="CBP61" s="1459"/>
      <c r="CBQ61" s="1459"/>
      <c r="CBR61" s="1460"/>
      <c r="CBS61" s="1461"/>
      <c r="CBT61" s="1462"/>
      <c r="CBU61" s="1463"/>
      <c r="CBV61" s="1459"/>
      <c r="CBW61" s="1459"/>
      <c r="CBX61" s="1460"/>
      <c r="CBY61" s="1461"/>
      <c r="CBZ61" s="1462"/>
      <c r="CCA61" s="1463"/>
      <c r="CCB61" s="1459"/>
      <c r="CCC61" s="1459"/>
      <c r="CCD61" s="1460"/>
      <c r="CCE61" s="1461"/>
      <c r="CCF61" s="1462"/>
      <c r="CCG61" s="1463"/>
      <c r="CCH61" s="1459"/>
      <c r="CCI61" s="1459"/>
      <c r="CCJ61" s="1460"/>
      <c r="CCK61" s="1461"/>
      <c r="CCL61" s="1462"/>
      <c r="CCM61" s="1463"/>
      <c r="CCN61" s="1459"/>
      <c r="CCO61" s="1459"/>
      <c r="CCP61" s="1460"/>
      <c r="CCQ61" s="1461"/>
      <c r="CCR61" s="1462"/>
      <c r="CCS61" s="1463"/>
      <c r="CCT61" s="1459"/>
      <c r="CCU61" s="1459"/>
      <c r="CCV61" s="1460"/>
      <c r="CCW61" s="1461"/>
      <c r="CCX61" s="1462"/>
      <c r="CCY61" s="1463"/>
      <c r="CCZ61" s="1459"/>
      <c r="CDA61" s="1459"/>
      <c r="CDB61" s="1460"/>
      <c r="CDC61" s="1461"/>
      <c r="CDD61" s="1462"/>
      <c r="CDE61" s="1463"/>
      <c r="CDF61" s="1459"/>
      <c r="CDG61" s="1459"/>
      <c r="CDH61" s="1460"/>
      <c r="CDI61" s="1461"/>
      <c r="CDJ61" s="1462"/>
      <c r="CDK61" s="1463"/>
      <c r="CDL61" s="1459"/>
      <c r="CDM61" s="1459"/>
      <c r="CDN61" s="1460"/>
      <c r="CDO61" s="1461"/>
      <c r="CDP61" s="1462"/>
      <c r="CDQ61" s="1463"/>
      <c r="CDR61" s="1459"/>
      <c r="CDS61" s="1459"/>
      <c r="CDT61" s="1460"/>
      <c r="CDU61" s="1461"/>
      <c r="CDV61" s="1462"/>
      <c r="CDW61" s="1463"/>
      <c r="CDX61" s="1459"/>
      <c r="CDY61" s="1459"/>
      <c r="CDZ61" s="1460"/>
      <c r="CEA61" s="1461"/>
      <c r="CEB61" s="1462"/>
      <c r="CEC61" s="1463"/>
      <c r="CED61" s="1459"/>
      <c r="CEE61" s="1459"/>
      <c r="CEF61" s="1460"/>
      <c r="CEG61" s="1461"/>
      <c r="CEH61" s="1462"/>
      <c r="CEI61" s="1463"/>
      <c r="CEJ61" s="1459"/>
      <c r="CEK61" s="1459"/>
      <c r="CEL61" s="1460"/>
      <c r="CEM61" s="1461"/>
      <c r="CEN61" s="1462"/>
      <c r="CEO61" s="1463"/>
      <c r="CEP61" s="1459"/>
      <c r="CEQ61" s="1459"/>
      <c r="CER61" s="1460"/>
      <c r="CES61" s="1461"/>
      <c r="CET61" s="1462"/>
      <c r="CEU61" s="1463"/>
      <c r="CEV61" s="1459"/>
      <c r="CEW61" s="1459"/>
      <c r="CEX61" s="1460"/>
      <c r="CEY61" s="1461"/>
      <c r="CEZ61" s="1462"/>
      <c r="CFA61" s="1463"/>
      <c r="CFB61" s="1459"/>
      <c r="CFC61" s="1459"/>
      <c r="CFD61" s="1460"/>
      <c r="CFE61" s="1461"/>
      <c r="CFF61" s="1462"/>
      <c r="CFG61" s="1463"/>
      <c r="CFH61" s="1459"/>
      <c r="CFI61" s="1459"/>
      <c r="CFJ61" s="1460"/>
      <c r="CFK61" s="1461"/>
      <c r="CFL61" s="1462"/>
      <c r="CFM61" s="1463"/>
      <c r="CFN61" s="1459"/>
      <c r="CFO61" s="1459"/>
      <c r="CFP61" s="1460"/>
      <c r="CFQ61" s="1461"/>
      <c r="CFR61" s="1462"/>
      <c r="CFS61" s="1463"/>
      <c r="CFT61" s="1459"/>
      <c r="CFU61" s="1459"/>
      <c r="CFV61" s="1460"/>
      <c r="CFW61" s="1461"/>
      <c r="CFX61" s="1462"/>
      <c r="CFY61" s="1463"/>
      <c r="CFZ61" s="1459"/>
      <c r="CGA61" s="1459"/>
      <c r="CGB61" s="1460"/>
      <c r="CGC61" s="1461"/>
      <c r="CGD61" s="1462"/>
      <c r="CGE61" s="1463"/>
      <c r="CGF61" s="1459"/>
      <c r="CGG61" s="1459"/>
      <c r="CGH61" s="1460"/>
      <c r="CGI61" s="1461"/>
      <c r="CGJ61" s="1462"/>
      <c r="CGK61" s="1463"/>
      <c r="CGL61" s="1459"/>
      <c r="CGM61" s="1459"/>
      <c r="CGN61" s="1460"/>
      <c r="CGO61" s="1461"/>
      <c r="CGP61" s="1462"/>
      <c r="CGQ61" s="1463"/>
      <c r="CGR61" s="1459"/>
      <c r="CGS61" s="1459"/>
      <c r="CGT61" s="1460"/>
      <c r="CGU61" s="1461"/>
      <c r="CGV61" s="1462"/>
      <c r="CGW61" s="1463"/>
      <c r="CGX61" s="1459"/>
      <c r="CGY61" s="1459"/>
      <c r="CGZ61" s="1460"/>
      <c r="CHA61" s="1461"/>
      <c r="CHB61" s="1462"/>
      <c r="CHC61" s="1463"/>
      <c r="CHD61" s="1459"/>
      <c r="CHE61" s="1459"/>
      <c r="CHF61" s="1460"/>
      <c r="CHG61" s="1461"/>
      <c r="CHH61" s="1462"/>
      <c r="CHI61" s="1463"/>
      <c r="CHJ61" s="1459"/>
      <c r="CHK61" s="1459"/>
      <c r="CHL61" s="1460"/>
      <c r="CHM61" s="1461"/>
      <c r="CHN61" s="1462"/>
      <c r="CHO61" s="1463"/>
      <c r="CHP61" s="1459"/>
      <c r="CHQ61" s="1459"/>
      <c r="CHR61" s="1460"/>
      <c r="CHS61" s="1461"/>
      <c r="CHT61" s="1462"/>
      <c r="CHU61" s="1463"/>
      <c r="CHV61" s="1459"/>
      <c r="CHW61" s="1459"/>
      <c r="CHX61" s="1460"/>
      <c r="CHY61" s="1461"/>
      <c r="CHZ61" s="1462"/>
      <c r="CIA61" s="1463"/>
      <c r="CIB61" s="1459"/>
      <c r="CIC61" s="1459"/>
      <c r="CID61" s="1460"/>
      <c r="CIE61" s="1461"/>
      <c r="CIF61" s="1462"/>
      <c r="CIG61" s="1463"/>
      <c r="CIH61" s="1459"/>
      <c r="CII61" s="1459"/>
      <c r="CIJ61" s="1460"/>
      <c r="CIK61" s="1461"/>
      <c r="CIL61" s="1462"/>
      <c r="CIM61" s="1463"/>
      <c r="CIN61" s="1459"/>
      <c r="CIO61" s="1459"/>
      <c r="CIP61" s="1460"/>
      <c r="CIQ61" s="1461"/>
      <c r="CIR61" s="1462"/>
      <c r="CIS61" s="1463"/>
      <c r="CIT61" s="1459"/>
      <c r="CIU61" s="1459"/>
      <c r="CIV61" s="1460"/>
      <c r="CIW61" s="1461"/>
      <c r="CIX61" s="1462"/>
      <c r="CIY61" s="1463"/>
      <c r="CIZ61" s="1459"/>
      <c r="CJA61" s="1459"/>
      <c r="CJB61" s="1460"/>
      <c r="CJC61" s="1461"/>
      <c r="CJD61" s="1462"/>
      <c r="CJE61" s="1463"/>
      <c r="CJF61" s="1459"/>
      <c r="CJG61" s="1459"/>
      <c r="CJH61" s="1460"/>
      <c r="CJI61" s="1461"/>
      <c r="CJJ61" s="1462"/>
      <c r="CJK61" s="1463"/>
      <c r="CJL61" s="1459"/>
      <c r="CJM61" s="1459"/>
      <c r="CJN61" s="1460"/>
      <c r="CJO61" s="1461"/>
      <c r="CJP61" s="1462"/>
      <c r="CJQ61" s="1463"/>
      <c r="CJR61" s="1459"/>
      <c r="CJS61" s="1459"/>
      <c r="CJT61" s="1460"/>
      <c r="CJU61" s="1461"/>
      <c r="CJV61" s="1462"/>
      <c r="CJW61" s="1463"/>
      <c r="CJX61" s="1459"/>
      <c r="CJY61" s="1459"/>
      <c r="CJZ61" s="1460"/>
      <c r="CKA61" s="1461"/>
      <c r="CKB61" s="1462"/>
      <c r="CKC61" s="1463"/>
      <c r="CKD61" s="1459"/>
      <c r="CKE61" s="1459"/>
      <c r="CKF61" s="1460"/>
      <c r="CKG61" s="1461"/>
      <c r="CKH61" s="1462"/>
      <c r="CKI61" s="1463"/>
      <c r="CKJ61" s="1459"/>
      <c r="CKK61" s="1459"/>
      <c r="CKL61" s="1460"/>
      <c r="CKM61" s="1461"/>
      <c r="CKN61" s="1462"/>
      <c r="CKO61" s="1463"/>
      <c r="CKP61" s="1459"/>
      <c r="CKQ61" s="1459"/>
      <c r="CKR61" s="1460"/>
      <c r="CKS61" s="1461"/>
      <c r="CKT61" s="1462"/>
      <c r="CKU61" s="1463"/>
      <c r="CKV61" s="1459"/>
      <c r="CKW61" s="1459"/>
      <c r="CKX61" s="1460"/>
      <c r="CKY61" s="1461"/>
      <c r="CKZ61" s="1462"/>
      <c r="CLA61" s="1463"/>
      <c r="CLB61" s="1459"/>
      <c r="CLC61" s="1459"/>
      <c r="CLD61" s="1460"/>
      <c r="CLE61" s="1461"/>
      <c r="CLF61" s="1462"/>
      <c r="CLG61" s="1463"/>
      <c r="CLH61" s="1459"/>
      <c r="CLI61" s="1459"/>
      <c r="CLJ61" s="1460"/>
      <c r="CLK61" s="1461"/>
      <c r="CLL61" s="1462"/>
      <c r="CLM61" s="1463"/>
      <c r="CLN61" s="1459"/>
      <c r="CLO61" s="1459"/>
      <c r="CLP61" s="1460"/>
      <c r="CLQ61" s="1461"/>
      <c r="CLR61" s="1462"/>
      <c r="CLS61" s="1463"/>
      <c r="CLT61" s="1459"/>
      <c r="CLU61" s="1459"/>
      <c r="CLV61" s="1460"/>
      <c r="CLW61" s="1461"/>
      <c r="CLX61" s="1462"/>
      <c r="CLY61" s="1463"/>
      <c r="CLZ61" s="1459"/>
      <c r="CMA61" s="1459"/>
      <c r="CMB61" s="1460"/>
      <c r="CMC61" s="1461"/>
      <c r="CMD61" s="1462"/>
      <c r="CME61" s="1463"/>
      <c r="CMF61" s="1459"/>
      <c r="CMG61" s="1459"/>
      <c r="CMH61" s="1460"/>
      <c r="CMI61" s="1461"/>
      <c r="CMJ61" s="1462"/>
      <c r="CMK61" s="1463"/>
      <c r="CML61" s="1459"/>
      <c r="CMM61" s="1459"/>
      <c r="CMN61" s="1460"/>
      <c r="CMO61" s="1461"/>
      <c r="CMP61" s="1462"/>
      <c r="CMQ61" s="1463"/>
      <c r="CMR61" s="1459"/>
      <c r="CMS61" s="1459"/>
      <c r="CMT61" s="1460"/>
      <c r="CMU61" s="1461"/>
      <c r="CMV61" s="1462"/>
      <c r="CMW61" s="1463"/>
      <c r="CMX61" s="1459"/>
      <c r="CMY61" s="1459"/>
      <c r="CMZ61" s="1460"/>
      <c r="CNA61" s="1461"/>
      <c r="CNB61" s="1462"/>
      <c r="CNC61" s="1463"/>
      <c r="CND61" s="1459"/>
      <c r="CNE61" s="1459"/>
      <c r="CNF61" s="1460"/>
      <c r="CNG61" s="1461"/>
      <c r="CNH61" s="1462"/>
      <c r="CNI61" s="1463"/>
      <c r="CNJ61" s="1459"/>
      <c r="CNK61" s="1459"/>
      <c r="CNL61" s="1460"/>
      <c r="CNM61" s="1461"/>
      <c r="CNN61" s="1462"/>
      <c r="CNO61" s="1463"/>
      <c r="CNP61" s="1459"/>
      <c r="CNQ61" s="1459"/>
      <c r="CNR61" s="1460"/>
      <c r="CNS61" s="1461"/>
      <c r="CNT61" s="1462"/>
      <c r="CNU61" s="1463"/>
      <c r="CNV61" s="1459"/>
      <c r="CNW61" s="1459"/>
      <c r="CNX61" s="1460"/>
      <c r="CNY61" s="1461"/>
      <c r="CNZ61" s="1462"/>
      <c r="COA61" s="1463"/>
      <c r="COB61" s="1459"/>
      <c r="COC61" s="1459"/>
      <c r="COD61" s="1460"/>
      <c r="COE61" s="1461"/>
      <c r="COF61" s="1462"/>
      <c r="COG61" s="1463"/>
      <c r="COH61" s="1459"/>
      <c r="COI61" s="1459"/>
      <c r="COJ61" s="1460"/>
      <c r="COK61" s="1461"/>
      <c r="COL61" s="1462"/>
      <c r="COM61" s="1463"/>
      <c r="CON61" s="1459"/>
      <c r="COO61" s="1459"/>
      <c r="COP61" s="1460"/>
      <c r="COQ61" s="1461"/>
      <c r="COR61" s="1462"/>
      <c r="COS61" s="1463"/>
      <c r="COT61" s="1459"/>
      <c r="COU61" s="1459"/>
      <c r="COV61" s="1460"/>
      <c r="COW61" s="1461"/>
      <c r="COX61" s="1462"/>
      <c r="COY61" s="1463"/>
      <c r="COZ61" s="1459"/>
      <c r="CPA61" s="1459"/>
      <c r="CPB61" s="1460"/>
      <c r="CPC61" s="1461"/>
      <c r="CPD61" s="1462"/>
      <c r="CPE61" s="1463"/>
      <c r="CPF61" s="1459"/>
      <c r="CPG61" s="1459"/>
      <c r="CPH61" s="1460"/>
      <c r="CPI61" s="1461"/>
      <c r="CPJ61" s="1462"/>
      <c r="CPK61" s="1463"/>
      <c r="CPL61" s="1459"/>
      <c r="CPM61" s="1459"/>
      <c r="CPN61" s="1460"/>
      <c r="CPO61" s="1461"/>
      <c r="CPP61" s="1462"/>
      <c r="CPQ61" s="1463"/>
      <c r="CPR61" s="1459"/>
      <c r="CPS61" s="1459"/>
      <c r="CPT61" s="1460"/>
      <c r="CPU61" s="1461"/>
      <c r="CPV61" s="1462"/>
      <c r="CPW61" s="1463"/>
      <c r="CPX61" s="1459"/>
      <c r="CPY61" s="1459"/>
      <c r="CPZ61" s="1460"/>
      <c r="CQA61" s="1461"/>
      <c r="CQB61" s="1462"/>
      <c r="CQC61" s="1463"/>
      <c r="CQD61" s="1459"/>
      <c r="CQE61" s="1459"/>
      <c r="CQF61" s="1460"/>
      <c r="CQG61" s="1461"/>
      <c r="CQH61" s="1462"/>
      <c r="CQI61" s="1463"/>
      <c r="CQJ61" s="1459"/>
      <c r="CQK61" s="1459"/>
      <c r="CQL61" s="1460"/>
      <c r="CQM61" s="1461"/>
      <c r="CQN61" s="1462"/>
      <c r="CQO61" s="1463"/>
      <c r="CQP61" s="1459"/>
      <c r="CQQ61" s="1459"/>
      <c r="CQR61" s="1460"/>
      <c r="CQS61" s="1461"/>
      <c r="CQT61" s="1462"/>
      <c r="CQU61" s="1463"/>
      <c r="CQV61" s="1459"/>
      <c r="CQW61" s="1459"/>
      <c r="CQX61" s="1460"/>
      <c r="CQY61" s="1461"/>
      <c r="CQZ61" s="1462"/>
      <c r="CRA61" s="1463"/>
      <c r="CRB61" s="1459"/>
      <c r="CRC61" s="1459"/>
      <c r="CRD61" s="1460"/>
      <c r="CRE61" s="1461"/>
      <c r="CRF61" s="1462"/>
      <c r="CRG61" s="1463"/>
      <c r="CRH61" s="1459"/>
      <c r="CRI61" s="1459"/>
      <c r="CRJ61" s="1460"/>
      <c r="CRK61" s="1461"/>
      <c r="CRL61" s="1462"/>
      <c r="CRM61" s="1463"/>
      <c r="CRN61" s="1459"/>
      <c r="CRO61" s="1459"/>
      <c r="CRP61" s="1460"/>
      <c r="CRQ61" s="1461"/>
      <c r="CRR61" s="1462"/>
      <c r="CRS61" s="1463"/>
      <c r="CRT61" s="1459"/>
      <c r="CRU61" s="1459"/>
      <c r="CRV61" s="1460"/>
      <c r="CRW61" s="1461"/>
      <c r="CRX61" s="1462"/>
      <c r="CRY61" s="1463"/>
      <c r="CRZ61" s="1459"/>
      <c r="CSA61" s="1459"/>
      <c r="CSB61" s="1460"/>
      <c r="CSC61" s="1461"/>
      <c r="CSD61" s="1462"/>
      <c r="CSE61" s="1463"/>
      <c r="CSF61" s="1459"/>
      <c r="CSG61" s="1459"/>
      <c r="CSH61" s="1460"/>
      <c r="CSI61" s="1461"/>
      <c r="CSJ61" s="1462"/>
      <c r="CSK61" s="1463"/>
      <c r="CSL61" s="1459"/>
      <c r="CSM61" s="1459"/>
      <c r="CSN61" s="1460"/>
      <c r="CSO61" s="1461"/>
      <c r="CSP61" s="1462"/>
      <c r="CSQ61" s="1463"/>
      <c r="CSR61" s="1459"/>
      <c r="CSS61" s="1459"/>
      <c r="CST61" s="1460"/>
      <c r="CSU61" s="1461"/>
      <c r="CSV61" s="1462"/>
      <c r="CSW61" s="1463"/>
      <c r="CSX61" s="1459"/>
      <c r="CSY61" s="1459"/>
      <c r="CSZ61" s="1460"/>
      <c r="CTA61" s="1461"/>
      <c r="CTB61" s="1462"/>
      <c r="CTC61" s="1463"/>
      <c r="CTD61" s="1459"/>
      <c r="CTE61" s="1459"/>
      <c r="CTF61" s="1460"/>
      <c r="CTG61" s="1461"/>
      <c r="CTH61" s="1462"/>
      <c r="CTI61" s="1463"/>
      <c r="CTJ61" s="1459"/>
      <c r="CTK61" s="1459"/>
      <c r="CTL61" s="1460"/>
      <c r="CTM61" s="1461"/>
      <c r="CTN61" s="1462"/>
      <c r="CTO61" s="1463"/>
      <c r="CTP61" s="1459"/>
      <c r="CTQ61" s="1459"/>
      <c r="CTR61" s="1460"/>
      <c r="CTS61" s="1461"/>
      <c r="CTT61" s="1462"/>
      <c r="CTU61" s="1463"/>
      <c r="CTV61" s="1459"/>
      <c r="CTW61" s="1459"/>
      <c r="CTX61" s="1460"/>
      <c r="CTY61" s="1461"/>
      <c r="CTZ61" s="1462"/>
      <c r="CUA61" s="1463"/>
      <c r="CUB61" s="1459"/>
      <c r="CUC61" s="1459"/>
      <c r="CUD61" s="1460"/>
      <c r="CUE61" s="1461"/>
      <c r="CUF61" s="1462"/>
      <c r="CUG61" s="1463"/>
      <c r="CUH61" s="1459"/>
      <c r="CUI61" s="1459"/>
      <c r="CUJ61" s="1460"/>
      <c r="CUK61" s="1461"/>
      <c r="CUL61" s="1462"/>
      <c r="CUM61" s="1463"/>
      <c r="CUN61" s="1459"/>
      <c r="CUO61" s="1459"/>
      <c r="CUP61" s="1460"/>
      <c r="CUQ61" s="1461"/>
      <c r="CUR61" s="1462"/>
      <c r="CUS61" s="1463"/>
      <c r="CUT61" s="1459"/>
      <c r="CUU61" s="1459"/>
      <c r="CUV61" s="1460"/>
      <c r="CUW61" s="1461"/>
      <c r="CUX61" s="1462"/>
      <c r="CUY61" s="1463"/>
      <c r="CUZ61" s="1459"/>
      <c r="CVA61" s="1459"/>
      <c r="CVB61" s="1460"/>
      <c r="CVC61" s="1461"/>
      <c r="CVD61" s="1462"/>
      <c r="CVE61" s="1463"/>
      <c r="CVF61" s="1459"/>
      <c r="CVG61" s="1459"/>
      <c r="CVH61" s="1460"/>
      <c r="CVI61" s="1461"/>
      <c r="CVJ61" s="1462"/>
      <c r="CVK61" s="1463"/>
      <c r="CVL61" s="1459"/>
      <c r="CVM61" s="1459"/>
      <c r="CVN61" s="1460"/>
      <c r="CVO61" s="1461"/>
      <c r="CVP61" s="1462"/>
      <c r="CVQ61" s="1463"/>
      <c r="CVR61" s="1459"/>
      <c r="CVS61" s="1459"/>
      <c r="CVT61" s="1460"/>
      <c r="CVU61" s="1461"/>
      <c r="CVV61" s="1462"/>
      <c r="CVW61" s="1463"/>
      <c r="CVX61" s="1459"/>
      <c r="CVY61" s="1459"/>
      <c r="CVZ61" s="1460"/>
      <c r="CWA61" s="1461"/>
      <c r="CWB61" s="1462"/>
      <c r="CWC61" s="1463"/>
      <c r="CWD61" s="1459"/>
      <c r="CWE61" s="1459"/>
      <c r="CWF61" s="1460"/>
      <c r="CWG61" s="1461"/>
      <c r="CWH61" s="1462"/>
      <c r="CWI61" s="1463"/>
      <c r="CWJ61" s="1459"/>
      <c r="CWK61" s="1459"/>
      <c r="CWL61" s="1460"/>
      <c r="CWM61" s="1461"/>
      <c r="CWN61" s="1462"/>
      <c r="CWO61" s="1463"/>
      <c r="CWP61" s="1459"/>
      <c r="CWQ61" s="1459"/>
      <c r="CWR61" s="1460"/>
      <c r="CWS61" s="1461"/>
      <c r="CWT61" s="1462"/>
      <c r="CWU61" s="1463"/>
      <c r="CWV61" s="1459"/>
      <c r="CWW61" s="1459"/>
      <c r="CWX61" s="1460"/>
      <c r="CWY61" s="1461"/>
      <c r="CWZ61" s="1462"/>
      <c r="CXA61" s="1463"/>
      <c r="CXB61" s="1459"/>
      <c r="CXC61" s="1459"/>
      <c r="CXD61" s="1460"/>
      <c r="CXE61" s="1461"/>
      <c r="CXF61" s="1462"/>
      <c r="CXG61" s="1463"/>
      <c r="CXH61" s="1459"/>
      <c r="CXI61" s="1459"/>
      <c r="CXJ61" s="1460"/>
      <c r="CXK61" s="1461"/>
      <c r="CXL61" s="1462"/>
      <c r="CXM61" s="1463"/>
      <c r="CXN61" s="1459"/>
      <c r="CXO61" s="1459"/>
      <c r="CXP61" s="1460"/>
      <c r="CXQ61" s="1461"/>
      <c r="CXR61" s="1462"/>
      <c r="CXS61" s="1463"/>
      <c r="CXT61" s="1459"/>
      <c r="CXU61" s="1459"/>
      <c r="CXV61" s="1460"/>
      <c r="CXW61" s="1461"/>
      <c r="CXX61" s="1462"/>
      <c r="CXY61" s="1463"/>
      <c r="CXZ61" s="1459"/>
      <c r="CYA61" s="1459"/>
      <c r="CYB61" s="1460"/>
      <c r="CYC61" s="1461"/>
      <c r="CYD61" s="1462"/>
      <c r="CYE61" s="1463"/>
      <c r="CYF61" s="1459"/>
      <c r="CYG61" s="1459"/>
      <c r="CYH61" s="1460"/>
      <c r="CYI61" s="1461"/>
      <c r="CYJ61" s="1462"/>
      <c r="CYK61" s="1463"/>
      <c r="CYL61" s="1459"/>
      <c r="CYM61" s="1459"/>
      <c r="CYN61" s="1460"/>
      <c r="CYO61" s="1461"/>
      <c r="CYP61" s="1462"/>
      <c r="CYQ61" s="1463"/>
      <c r="CYR61" s="1459"/>
      <c r="CYS61" s="1459"/>
      <c r="CYT61" s="1460"/>
      <c r="CYU61" s="1461"/>
      <c r="CYV61" s="1462"/>
      <c r="CYW61" s="1463"/>
      <c r="CYX61" s="1459"/>
      <c r="CYY61" s="1459"/>
      <c r="CYZ61" s="1460"/>
      <c r="CZA61" s="1461"/>
      <c r="CZB61" s="1462"/>
      <c r="CZC61" s="1463"/>
      <c r="CZD61" s="1459"/>
      <c r="CZE61" s="1459"/>
      <c r="CZF61" s="1460"/>
      <c r="CZG61" s="1461"/>
      <c r="CZH61" s="1462"/>
      <c r="CZI61" s="1463"/>
      <c r="CZJ61" s="1459"/>
      <c r="CZK61" s="1459"/>
      <c r="CZL61" s="1460"/>
      <c r="CZM61" s="1461"/>
      <c r="CZN61" s="1462"/>
      <c r="CZO61" s="1463"/>
      <c r="CZP61" s="1459"/>
      <c r="CZQ61" s="1459"/>
      <c r="CZR61" s="1460"/>
      <c r="CZS61" s="1461"/>
      <c r="CZT61" s="1462"/>
      <c r="CZU61" s="1463"/>
      <c r="CZV61" s="1459"/>
      <c r="CZW61" s="1459"/>
      <c r="CZX61" s="1460"/>
      <c r="CZY61" s="1461"/>
      <c r="CZZ61" s="1462"/>
      <c r="DAA61" s="1463"/>
      <c r="DAB61" s="1459"/>
      <c r="DAC61" s="1459"/>
      <c r="DAD61" s="1460"/>
      <c r="DAE61" s="1461"/>
      <c r="DAF61" s="1462"/>
      <c r="DAG61" s="1463"/>
      <c r="DAH61" s="1459"/>
      <c r="DAI61" s="1459"/>
      <c r="DAJ61" s="1460"/>
      <c r="DAK61" s="1461"/>
      <c r="DAL61" s="1462"/>
      <c r="DAM61" s="1463"/>
      <c r="DAN61" s="1459"/>
      <c r="DAO61" s="1459"/>
      <c r="DAP61" s="1460"/>
      <c r="DAQ61" s="1461"/>
      <c r="DAR61" s="1462"/>
      <c r="DAS61" s="1463"/>
      <c r="DAT61" s="1459"/>
      <c r="DAU61" s="1459"/>
      <c r="DAV61" s="1460"/>
      <c r="DAW61" s="1461"/>
      <c r="DAX61" s="1462"/>
      <c r="DAY61" s="1463"/>
      <c r="DAZ61" s="1459"/>
      <c r="DBA61" s="1459"/>
      <c r="DBB61" s="1460"/>
      <c r="DBC61" s="1461"/>
      <c r="DBD61" s="1462"/>
      <c r="DBE61" s="1463"/>
      <c r="DBF61" s="1459"/>
      <c r="DBG61" s="1459"/>
      <c r="DBH61" s="1460"/>
      <c r="DBI61" s="1461"/>
      <c r="DBJ61" s="1462"/>
      <c r="DBK61" s="1463"/>
      <c r="DBL61" s="1459"/>
      <c r="DBM61" s="1459"/>
      <c r="DBN61" s="1460"/>
      <c r="DBO61" s="1461"/>
      <c r="DBP61" s="1462"/>
      <c r="DBQ61" s="1463"/>
      <c r="DBR61" s="1459"/>
      <c r="DBS61" s="1459"/>
      <c r="DBT61" s="1460"/>
      <c r="DBU61" s="1461"/>
      <c r="DBV61" s="1462"/>
      <c r="DBW61" s="1463"/>
      <c r="DBX61" s="1459"/>
      <c r="DBY61" s="1459"/>
      <c r="DBZ61" s="1460"/>
      <c r="DCA61" s="1461"/>
      <c r="DCB61" s="1462"/>
      <c r="DCC61" s="1463"/>
      <c r="DCD61" s="1459"/>
      <c r="DCE61" s="1459"/>
      <c r="DCF61" s="1460"/>
      <c r="DCG61" s="1461"/>
      <c r="DCH61" s="1462"/>
      <c r="DCI61" s="1463"/>
      <c r="DCJ61" s="1459"/>
      <c r="DCK61" s="1459"/>
      <c r="DCL61" s="1460"/>
      <c r="DCM61" s="1461"/>
      <c r="DCN61" s="1462"/>
      <c r="DCO61" s="1463"/>
      <c r="DCP61" s="1459"/>
      <c r="DCQ61" s="1459"/>
      <c r="DCR61" s="1460"/>
      <c r="DCS61" s="1461"/>
      <c r="DCT61" s="1462"/>
      <c r="DCU61" s="1463"/>
      <c r="DCV61" s="1459"/>
      <c r="DCW61" s="1459"/>
      <c r="DCX61" s="1460"/>
      <c r="DCY61" s="1461"/>
      <c r="DCZ61" s="1462"/>
      <c r="DDA61" s="1463"/>
      <c r="DDB61" s="1459"/>
      <c r="DDC61" s="1459"/>
      <c r="DDD61" s="1460"/>
      <c r="DDE61" s="1461"/>
      <c r="DDF61" s="1462"/>
      <c r="DDG61" s="1463"/>
      <c r="DDH61" s="1459"/>
      <c r="DDI61" s="1459"/>
      <c r="DDJ61" s="1460"/>
      <c r="DDK61" s="1461"/>
      <c r="DDL61" s="1462"/>
      <c r="DDM61" s="1463"/>
      <c r="DDN61" s="1459"/>
      <c r="DDO61" s="1459"/>
      <c r="DDP61" s="1460"/>
      <c r="DDQ61" s="1461"/>
      <c r="DDR61" s="1462"/>
      <c r="DDS61" s="1463"/>
      <c r="DDT61" s="1459"/>
      <c r="DDU61" s="1459"/>
      <c r="DDV61" s="1460"/>
      <c r="DDW61" s="1461"/>
      <c r="DDX61" s="1462"/>
      <c r="DDY61" s="1463"/>
      <c r="DDZ61" s="1459"/>
      <c r="DEA61" s="1459"/>
      <c r="DEB61" s="1460"/>
      <c r="DEC61" s="1461"/>
      <c r="DED61" s="1462"/>
      <c r="DEE61" s="1463"/>
      <c r="DEF61" s="1459"/>
      <c r="DEG61" s="1459"/>
      <c r="DEH61" s="1460"/>
      <c r="DEI61" s="1461"/>
      <c r="DEJ61" s="1462"/>
      <c r="DEK61" s="1463"/>
      <c r="DEL61" s="1459"/>
      <c r="DEM61" s="1459"/>
      <c r="DEN61" s="1460"/>
      <c r="DEO61" s="1461"/>
      <c r="DEP61" s="1462"/>
      <c r="DEQ61" s="1463"/>
      <c r="DER61" s="1459"/>
      <c r="DES61" s="1459"/>
      <c r="DET61" s="1460"/>
      <c r="DEU61" s="1461"/>
      <c r="DEV61" s="1462"/>
      <c r="DEW61" s="1463"/>
      <c r="DEX61" s="1459"/>
      <c r="DEY61" s="1459"/>
      <c r="DEZ61" s="1460"/>
      <c r="DFA61" s="1461"/>
      <c r="DFB61" s="1462"/>
      <c r="DFC61" s="1463"/>
      <c r="DFD61" s="1459"/>
      <c r="DFE61" s="1459"/>
      <c r="DFF61" s="1460"/>
      <c r="DFG61" s="1461"/>
      <c r="DFH61" s="1462"/>
      <c r="DFI61" s="1463"/>
      <c r="DFJ61" s="1459"/>
      <c r="DFK61" s="1459"/>
      <c r="DFL61" s="1460"/>
      <c r="DFM61" s="1461"/>
      <c r="DFN61" s="1462"/>
      <c r="DFO61" s="1463"/>
      <c r="DFP61" s="1459"/>
      <c r="DFQ61" s="1459"/>
      <c r="DFR61" s="1460"/>
      <c r="DFS61" s="1461"/>
      <c r="DFT61" s="1462"/>
      <c r="DFU61" s="1463"/>
      <c r="DFV61" s="1459"/>
      <c r="DFW61" s="1459"/>
      <c r="DFX61" s="1460"/>
      <c r="DFY61" s="1461"/>
      <c r="DFZ61" s="1462"/>
      <c r="DGA61" s="1463"/>
      <c r="DGB61" s="1459"/>
      <c r="DGC61" s="1459"/>
      <c r="DGD61" s="1460"/>
      <c r="DGE61" s="1461"/>
      <c r="DGF61" s="1462"/>
      <c r="DGG61" s="1463"/>
      <c r="DGH61" s="1459"/>
      <c r="DGI61" s="1459"/>
      <c r="DGJ61" s="1460"/>
      <c r="DGK61" s="1461"/>
      <c r="DGL61" s="1462"/>
      <c r="DGM61" s="1463"/>
      <c r="DGN61" s="1459"/>
      <c r="DGO61" s="1459"/>
      <c r="DGP61" s="1460"/>
      <c r="DGQ61" s="1461"/>
      <c r="DGR61" s="1462"/>
      <c r="DGS61" s="1463"/>
      <c r="DGT61" s="1459"/>
      <c r="DGU61" s="1459"/>
      <c r="DGV61" s="1460"/>
      <c r="DGW61" s="1461"/>
      <c r="DGX61" s="1462"/>
      <c r="DGY61" s="1463"/>
      <c r="DGZ61" s="1459"/>
      <c r="DHA61" s="1459"/>
      <c r="DHB61" s="1460"/>
      <c r="DHC61" s="1461"/>
      <c r="DHD61" s="1462"/>
      <c r="DHE61" s="1463"/>
      <c r="DHF61" s="1459"/>
      <c r="DHG61" s="1459"/>
      <c r="DHH61" s="1460"/>
      <c r="DHI61" s="1461"/>
      <c r="DHJ61" s="1462"/>
      <c r="DHK61" s="1463"/>
      <c r="DHL61" s="1459"/>
      <c r="DHM61" s="1459"/>
      <c r="DHN61" s="1460"/>
      <c r="DHO61" s="1461"/>
      <c r="DHP61" s="1462"/>
      <c r="DHQ61" s="1463"/>
      <c r="DHR61" s="1459"/>
      <c r="DHS61" s="1459"/>
      <c r="DHT61" s="1460"/>
      <c r="DHU61" s="1461"/>
      <c r="DHV61" s="1462"/>
      <c r="DHW61" s="1463"/>
      <c r="DHX61" s="1459"/>
      <c r="DHY61" s="1459"/>
      <c r="DHZ61" s="1460"/>
      <c r="DIA61" s="1461"/>
      <c r="DIB61" s="1462"/>
      <c r="DIC61" s="1463"/>
      <c r="DID61" s="1459"/>
      <c r="DIE61" s="1459"/>
      <c r="DIF61" s="1460"/>
      <c r="DIG61" s="1461"/>
      <c r="DIH61" s="1462"/>
      <c r="DII61" s="1463"/>
      <c r="DIJ61" s="1459"/>
      <c r="DIK61" s="1459"/>
      <c r="DIL61" s="1460"/>
      <c r="DIM61" s="1461"/>
      <c r="DIN61" s="1462"/>
      <c r="DIO61" s="1463"/>
      <c r="DIP61" s="1459"/>
      <c r="DIQ61" s="1459"/>
      <c r="DIR61" s="1460"/>
      <c r="DIS61" s="1461"/>
      <c r="DIT61" s="1462"/>
      <c r="DIU61" s="1463"/>
      <c r="DIV61" s="1459"/>
      <c r="DIW61" s="1459"/>
      <c r="DIX61" s="1460"/>
      <c r="DIY61" s="1461"/>
      <c r="DIZ61" s="1462"/>
      <c r="DJA61" s="1463"/>
      <c r="DJB61" s="1459"/>
      <c r="DJC61" s="1459"/>
      <c r="DJD61" s="1460"/>
      <c r="DJE61" s="1461"/>
      <c r="DJF61" s="1462"/>
      <c r="DJG61" s="1463"/>
      <c r="DJH61" s="1459"/>
      <c r="DJI61" s="1459"/>
      <c r="DJJ61" s="1460"/>
      <c r="DJK61" s="1461"/>
      <c r="DJL61" s="1462"/>
      <c r="DJM61" s="1463"/>
      <c r="DJN61" s="1459"/>
      <c r="DJO61" s="1459"/>
      <c r="DJP61" s="1460"/>
      <c r="DJQ61" s="1461"/>
      <c r="DJR61" s="1462"/>
      <c r="DJS61" s="1463"/>
      <c r="DJT61" s="1459"/>
      <c r="DJU61" s="1459"/>
      <c r="DJV61" s="1460"/>
      <c r="DJW61" s="1461"/>
      <c r="DJX61" s="1462"/>
      <c r="DJY61" s="1463"/>
      <c r="DJZ61" s="1459"/>
      <c r="DKA61" s="1459"/>
      <c r="DKB61" s="1460"/>
      <c r="DKC61" s="1461"/>
      <c r="DKD61" s="1462"/>
      <c r="DKE61" s="1463"/>
      <c r="DKF61" s="1459"/>
      <c r="DKG61" s="1459"/>
      <c r="DKH61" s="1460"/>
      <c r="DKI61" s="1461"/>
      <c r="DKJ61" s="1462"/>
      <c r="DKK61" s="1463"/>
      <c r="DKL61" s="1459"/>
      <c r="DKM61" s="1459"/>
      <c r="DKN61" s="1460"/>
      <c r="DKO61" s="1461"/>
      <c r="DKP61" s="1462"/>
      <c r="DKQ61" s="1463"/>
      <c r="DKR61" s="1459"/>
      <c r="DKS61" s="1459"/>
      <c r="DKT61" s="1460"/>
      <c r="DKU61" s="1461"/>
      <c r="DKV61" s="1462"/>
      <c r="DKW61" s="1463"/>
      <c r="DKX61" s="1459"/>
      <c r="DKY61" s="1459"/>
      <c r="DKZ61" s="1460"/>
      <c r="DLA61" s="1461"/>
      <c r="DLB61" s="1462"/>
      <c r="DLC61" s="1463"/>
      <c r="DLD61" s="1459"/>
      <c r="DLE61" s="1459"/>
      <c r="DLF61" s="1460"/>
      <c r="DLG61" s="1461"/>
      <c r="DLH61" s="1462"/>
      <c r="DLI61" s="1463"/>
      <c r="DLJ61" s="1459"/>
      <c r="DLK61" s="1459"/>
      <c r="DLL61" s="1460"/>
      <c r="DLM61" s="1461"/>
      <c r="DLN61" s="1462"/>
      <c r="DLO61" s="1463"/>
      <c r="DLP61" s="1459"/>
      <c r="DLQ61" s="1459"/>
      <c r="DLR61" s="1460"/>
      <c r="DLS61" s="1461"/>
      <c r="DLT61" s="1462"/>
      <c r="DLU61" s="1463"/>
      <c r="DLV61" s="1459"/>
      <c r="DLW61" s="1459"/>
      <c r="DLX61" s="1460"/>
      <c r="DLY61" s="1461"/>
      <c r="DLZ61" s="1462"/>
      <c r="DMA61" s="1463"/>
      <c r="DMB61" s="1459"/>
      <c r="DMC61" s="1459"/>
      <c r="DMD61" s="1460"/>
      <c r="DME61" s="1461"/>
      <c r="DMF61" s="1462"/>
      <c r="DMG61" s="1463"/>
      <c r="DMH61" s="1459"/>
      <c r="DMI61" s="1459"/>
      <c r="DMJ61" s="1460"/>
      <c r="DMK61" s="1461"/>
      <c r="DML61" s="1462"/>
      <c r="DMM61" s="1463"/>
      <c r="DMN61" s="1459"/>
      <c r="DMO61" s="1459"/>
      <c r="DMP61" s="1460"/>
      <c r="DMQ61" s="1461"/>
      <c r="DMR61" s="1462"/>
      <c r="DMS61" s="1463"/>
      <c r="DMT61" s="1459"/>
      <c r="DMU61" s="1459"/>
      <c r="DMV61" s="1460"/>
      <c r="DMW61" s="1461"/>
      <c r="DMX61" s="1462"/>
      <c r="DMY61" s="1463"/>
      <c r="DMZ61" s="1459"/>
      <c r="DNA61" s="1459"/>
      <c r="DNB61" s="1460"/>
      <c r="DNC61" s="1461"/>
      <c r="DND61" s="1462"/>
      <c r="DNE61" s="1463"/>
      <c r="DNF61" s="1459"/>
      <c r="DNG61" s="1459"/>
      <c r="DNH61" s="1460"/>
      <c r="DNI61" s="1461"/>
      <c r="DNJ61" s="1462"/>
      <c r="DNK61" s="1463"/>
      <c r="DNL61" s="1459"/>
      <c r="DNM61" s="1459"/>
      <c r="DNN61" s="1460"/>
      <c r="DNO61" s="1461"/>
      <c r="DNP61" s="1462"/>
      <c r="DNQ61" s="1463"/>
      <c r="DNR61" s="1459"/>
      <c r="DNS61" s="1459"/>
      <c r="DNT61" s="1460"/>
      <c r="DNU61" s="1461"/>
      <c r="DNV61" s="1462"/>
      <c r="DNW61" s="1463"/>
      <c r="DNX61" s="1459"/>
      <c r="DNY61" s="1459"/>
      <c r="DNZ61" s="1460"/>
      <c r="DOA61" s="1461"/>
      <c r="DOB61" s="1462"/>
      <c r="DOC61" s="1463"/>
      <c r="DOD61" s="1459"/>
      <c r="DOE61" s="1459"/>
      <c r="DOF61" s="1460"/>
      <c r="DOG61" s="1461"/>
      <c r="DOH61" s="1462"/>
      <c r="DOI61" s="1463"/>
      <c r="DOJ61" s="1459"/>
      <c r="DOK61" s="1459"/>
      <c r="DOL61" s="1460"/>
      <c r="DOM61" s="1461"/>
      <c r="DON61" s="1462"/>
      <c r="DOO61" s="1463"/>
      <c r="DOP61" s="1459"/>
      <c r="DOQ61" s="1459"/>
      <c r="DOR61" s="1460"/>
      <c r="DOS61" s="1461"/>
      <c r="DOT61" s="1462"/>
      <c r="DOU61" s="1463"/>
      <c r="DOV61" s="1459"/>
      <c r="DOW61" s="1459"/>
      <c r="DOX61" s="1460"/>
      <c r="DOY61" s="1461"/>
      <c r="DOZ61" s="1462"/>
      <c r="DPA61" s="1463"/>
      <c r="DPB61" s="1459"/>
      <c r="DPC61" s="1459"/>
      <c r="DPD61" s="1460"/>
      <c r="DPE61" s="1461"/>
      <c r="DPF61" s="1462"/>
      <c r="DPG61" s="1463"/>
      <c r="DPH61" s="1459"/>
      <c r="DPI61" s="1459"/>
      <c r="DPJ61" s="1460"/>
      <c r="DPK61" s="1461"/>
      <c r="DPL61" s="1462"/>
      <c r="DPM61" s="1463"/>
      <c r="DPN61" s="1459"/>
      <c r="DPO61" s="1459"/>
      <c r="DPP61" s="1460"/>
      <c r="DPQ61" s="1461"/>
      <c r="DPR61" s="1462"/>
      <c r="DPS61" s="1463"/>
      <c r="DPT61" s="1459"/>
      <c r="DPU61" s="1459"/>
      <c r="DPV61" s="1460"/>
      <c r="DPW61" s="1461"/>
      <c r="DPX61" s="1462"/>
      <c r="DPY61" s="1463"/>
      <c r="DPZ61" s="1459"/>
      <c r="DQA61" s="1459"/>
      <c r="DQB61" s="1460"/>
      <c r="DQC61" s="1461"/>
      <c r="DQD61" s="1462"/>
      <c r="DQE61" s="1463"/>
      <c r="DQF61" s="1459"/>
      <c r="DQG61" s="1459"/>
      <c r="DQH61" s="1460"/>
      <c r="DQI61" s="1461"/>
      <c r="DQJ61" s="1462"/>
      <c r="DQK61" s="1463"/>
      <c r="DQL61" s="1459"/>
      <c r="DQM61" s="1459"/>
      <c r="DQN61" s="1460"/>
      <c r="DQO61" s="1461"/>
      <c r="DQP61" s="1462"/>
      <c r="DQQ61" s="1463"/>
      <c r="DQR61" s="1459"/>
      <c r="DQS61" s="1459"/>
      <c r="DQT61" s="1460"/>
      <c r="DQU61" s="1461"/>
      <c r="DQV61" s="1462"/>
      <c r="DQW61" s="1463"/>
      <c r="DQX61" s="1459"/>
      <c r="DQY61" s="1459"/>
      <c r="DQZ61" s="1460"/>
      <c r="DRA61" s="1461"/>
      <c r="DRB61" s="1462"/>
      <c r="DRC61" s="1463"/>
      <c r="DRD61" s="1459"/>
      <c r="DRE61" s="1459"/>
      <c r="DRF61" s="1460"/>
      <c r="DRG61" s="1461"/>
      <c r="DRH61" s="1462"/>
      <c r="DRI61" s="1463"/>
      <c r="DRJ61" s="1459"/>
      <c r="DRK61" s="1459"/>
      <c r="DRL61" s="1460"/>
      <c r="DRM61" s="1461"/>
      <c r="DRN61" s="1462"/>
      <c r="DRO61" s="1463"/>
      <c r="DRP61" s="1459"/>
      <c r="DRQ61" s="1459"/>
      <c r="DRR61" s="1460"/>
      <c r="DRS61" s="1461"/>
      <c r="DRT61" s="1462"/>
      <c r="DRU61" s="1463"/>
      <c r="DRV61" s="1459"/>
      <c r="DRW61" s="1459"/>
      <c r="DRX61" s="1460"/>
      <c r="DRY61" s="1461"/>
      <c r="DRZ61" s="1462"/>
      <c r="DSA61" s="1463"/>
      <c r="DSB61" s="1459"/>
      <c r="DSC61" s="1459"/>
      <c r="DSD61" s="1460"/>
      <c r="DSE61" s="1461"/>
      <c r="DSF61" s="1462"/>
      <c r="DSG61" s="1463"/>
      <c r="DSH61" s="1459"/>
      <c r="DSI61" s="1459"/>
      <c r="DSJ61" s="1460"/>
      <c r="DSK61" s="1461"/>
      <c r="DSL61" s="1462"/>
      <c r="DSM61" s="1463"/>
      <c r="DSN61" s="1459"/>
      <c r="DSO61" s="1459"/>
      <c r="DSP61" s="1460"/>
      <c r="DSQ61" s="1461"/>
      <c r="DSR61" s="1462"/>
      <c r="DSS61" s="1463"/>
      <c r="DST61" s="1459"/>
      <c r="DSU61" s="1459"/>
      <c r="DSV61" s="1460"/>
      <c r="DSW61" s="1461"/>
      <c r="DSX61" s="1462"/>
      <c r="DSY61" s="1463"/>
      <c r="DSZ61" s="1459"/>
      <c r="DTA61" s="1459"/>
      <c r="DTB61" s="1460"/>
      <c r="DTC61" s="1461"/>
      <c r="DTD61" s="1462"/>
      <c r="DTE61" s="1463"/>
      <c r="DTF61" s="1459"/>
      <c r="DTG61" s="1459"/>
      <c r="DTH61" s="1460"/>
      <c r="DTI61" s="1461"/>
      <c r="DTJ61" s="1462"/>
      <c r="DTK61" s="1463"/>
      <c r="DTL61" s="1459"/>
      <c r="DTM61" s="1459"/>
      <c r="DTN61" s="1460"/>
      <c r="DTO61" s="1461"/>
      <c r="DTP61" s="1462"/>
      <c r="DTQ61" s="1463"/>
      <c r="DTR61" s="1459"/>
      <c r="DTS61" s="1459"/>
      <c r="DTT61" s="1460"/>
      <c r="DTU61" s="1461"/>
      <c r="DTV61" s="1462"/>
      <c r="DTW61" s="1463"/>
      <c r="DTX61" s="1459"/>
      <c r="DTY61" s="1459"/>
      <c r="DTZ61" s="1460"/>
      <c r="DUA61" s="1461"/>
      <c r="DUB61" s="1462"/>
      <c r="DUC61" s="1463"/>
      <c r="DUD61" s="1459"/>
      <c r="DUE61" s="1459"/>
      <c r="DUF61" s="1460"/>
      <c r="DUG61" s="1461"/>
      <c r="DUH61" s="1462"/>
      <c r="DUI61" s="1463"/>
      <c r="DUJ61" s="1459"/>
      <c r="DUK61" s="1459"/>
      <c r="DUL61" s="1460"/>
      <c r="DUM61" s="1461"/>
      <c r="DUN61" s="1462"/>
      <c r="DUO61" s="1463"/>
      <c r="DUP61" s="1459"/>
      <c r="DUQ61" s="1459"/>
      <c r="DUR61" s="1460"/>
      <c r="DUS61" s="1461"/>
      <c r="DUT61" s="1462"/>
      <c r="DUU61" s="1463"/>
      <c r="DUV61" s="1459"/>
      <c r="DUW61" s="1459"/>
      <c r="DUX61" s="1460"/>
      <c r="DUY61" s="1461"/>
      <c r="DUZ61" s="1462"/>
      <c r="DVA61" s="1463"/>
      <c r="DVB61" s="1459"/>
      <c r="DVC61" s="1459"/>
      <c r="DVD61" s="1460"/>
      <c r="DVE61" s="1461"/>
      <c r="DVF61" s="1462"/>
      <c r="DVG61" s="1463"/>
      <c r="DVH61" s="1459"/>
      <c r="DVI61" s="1459"/>
      <c r="DVJ61" s="1460"/>
      <c r="DVK61" s="1461"/>
      <c r="DVL61" s="1462"/>
      <c r="DVM61" s="1463"/>
      <c r="DVN61" s="1459"/>
      <c r="DVO61" s="1459"/>
      <c r="DVP61" s="1460"/>
      <c r="DVQ61" s="1461"/>
      <c r="DVR61" s="1462"/>
      <c r="DVS61" s="1463"/>
      <c r="DVT61" s="1459"/>
      <c r="DVU61" s="1459"/>
      <c r="DVV61" s="1460"/>
      <c r="DVW61" s="1461"/>
      <c r="DVX61" s="1462"/>
      <c r="DVY61" s="1463"/>
      <c r="DVZ61" s="1459"/>
      <c r="DWA61" s="1459"/>
      <c r="DWB61" s="1460"/>
      <c r="DWC61" s="1461"/>
      <c r="DWD61" s="1462"/>
      <c r="DWE61" s="1463"/>
      <c r="DWF61" s="1459"/>
      <c r="DWG61" s="1459"/>
      <c r="DWH61" s="1460"/>
      <c r="DWI61" s="1461"/>
      <c r="DWJ61" s="1462"/>
      <c r="DWK61" s="1463"/>
      <c r="DWL61" s="1459"/>
      <c r="DWM61" s="1459"/>
      <c r="DWN61" s="1460"/>
      <c r="DWO61" s="1461"/>
      <c r="DWP61" s="1462"/>
      <c r="DWQ61" s="1463"/>
      <c r="DWR61" s="1459"/>
      <c r="DWS61" s="1459"/>
      <c r="DWT61" s="1460"/>
      <c r="DWU61" s="1461"/>
      <c r="DWV61" s="1462"/>
      <c r="DWW61" s="1463"/>
      <c r="DWX61" s="1459"/>
      <c r="DWY61" s="1459"/>
      <c r="DWZ61" s="1460"/>
      <c r="DXA61" s="1461"/>
      <c r="DXB61" s="1462"/>
      <c r="DXC61" s="1463"/>
      <c r="DXD61" s="1459"/>
      <c r="DXE61" s="1459"/>
      <c r="DXF61" s="1460"/>
      <c r="DXG61" s="1461"/>
      <c r="DXH61" s="1462"/>
      <c r="DXI61" s="1463"/>
      <c r="DXJ61" s="1459"/>
      <c r="DXK61" s="1459"/>
      <c r="DXL61" s="1460"/>
      <c r="DXM61" s="1461"/>
      <c r="DXN61" s="1462"/>
      <c r="DXO61" s="1463"/>
      <c r="DXP61" s="1459"/>
      <c r="DXQ61" s="1459"/>
      <c r="DXR61" s="1460"/>
      <c r="DXS61" s="1461"/>
      <c r="DXT61" s="1462"/>
      <c r="DXU61" s="1463"/>
      <c r="DXV61" s="1459"/>
      <c r="DXW61" s="1459"/>
      <c r="DXX61" s="1460"/>
      <c r="DXY61" s="1461"/>
      <c r="DXZ61" s="1462"/>
      <c r="DYA61" s="1463"/>
      <c r="DYB61" s="1459"/>
      <c r="DYC61" s="1459"/>
      <c r="DYD61" s="1460"/>
      <c r="DYE61" s="1461"/>
      <c r="DYF61" s="1462"/>
      <c r="DYG61" s="1463"/>
      <c r="DYH61" s="1459"/>
      <c r="DYI61" s="1459"/>
      <c r="DYJ61" s="1460"/>
      <c r="DYK61" s="1461"/>
      <c r="DYL61" s="1462"/>
      <c r="DYM61" s="1463"/>
      <c r="DYN61" s="1459"/>
      <c r="DYO61" s="1459"/>
      <c r="DYP61" s="1460"/>
      <c r="DYQ61" s="1461"/>
      <c r="DYR61" s="1462"/>
      <c r="DYS61" s="1463"/>
      <c r="DYT61" s="1459"/>
      <c r="DYU61" s="1459"/>
      <c r="DYV61" s="1460"/>
      <c r="DYW61" s="1461"/>
      <c r="DYX61" s="1462"/>
      <c r="DYY61" s="1463"/>
      <c r="DYZ61" s="1459"/>
      <c r="DZA61" s="1459"/>
      <c r="DZB61" s="1460"/>
      <c r="DZC61" s="1461"/>
      <c r="DZD61" s="1462"/>
      <c r="DZE61" s="1463"/>
      <c r="DZF61" s="1459"/>
      <c r="DZG61" s="1459"/>
      <c r="DZH61" s="1460"/>
      <c r="DZI61" s="1461"/>
      <c r="DZJ61" s="1462"/>
      <c r="DZK61" s="1463"/>
      <c r="DZL61" s="1459"/>
      <c r="DZM61" s="1459"/>
      <c r="DZN61" s="1460"/>
      <c r="DZO61" s="1461"/>
      <c r="DZP61" s="1462"/>
      <c r="DZQ61" s="1463"/>
      <c r="DZR61" s="1459"/>
      <c r="DZS61" s="1459"/>
      <c r="DZT61" s="1460"/>
      <c r="DZU61" s="1461"/>
      <c r="DZV61" s="1462"/>
      <c r="DZW61" s="1463"/>
      <c r="DZX61" s="1459"/>
      <c r="DZY61" s="1459"/>
      <c r="DZZ61" s="1460"/>
      <c r="EAA61" s="1461"/>
      <c r="EAB61" s="1462"/>
      <c r="EAC61" s="1463"/>
      <c r="EAD61" s="1459"/>
      <c r="EAE61" s="1459"/>
      <c r="EAF61" s="1460"/>
      <c r="EAG61" s="1461"/>
      <c r="EAH61" s="1462"/>
      <c r="EAI61" s="1463"/>
      <c r="EAJ61" s="1459"/>
      <c r="EAK61" s="1459"/>
      <c r="EAL61" s="1460"/>
      <c r="EAM61" s="1461"/>
      <c r="EAN61" s="1462"/>
      <c r="EAO61" s="1463"/>
      <c r="EAP61" s="1459"/>
      <c r="EAQ61" s="1459"/>
      <c r="EAR61" s="1460"/>
      <c r="EAS61" s="1461"/>
      <c r="EAT61" s="1462"/>
      <c r="EAU61" s="1463"/>
      <c r="EAV61" s="1459"/>
      <c r="EAW61" s="1459"/>
      <c r="EAX61" s="1460"/>
      <c r="EAY61" s="1461"/>
      <c r="EAZ61" s="1462"/>
      <c r="EBA61" s="1463"/>
      <c r="EBB61" s="1459"/>
      <c r="EBC61" s="1459"/>
      <c r="EBD61" s="1460"/>
      <c r="EBE61" s="1461"/>
      <c r="EBF61" s="1462"/>
      <c r="EBG61" s="1463"/>
      <c r="EBH61" s="1459"/>
      <c r="EBI61" s="1459"/>
      <c r="EBJ61" s="1460"/>
      <c r="EBK61" s="1461"/>
      <c r="EBL61" s="1462"/>
      <c r="EBM61" s="1463"/>
      <c r="EBN61" s="1459"/>
      <c r="EBO61" s="1459"/>
      <c r="EBP61" s="1460"/>
      <c r="EBQ61" s="1461"/>
      <c r="EBR61" s="1462"/>
      <c r="EBS61" s="1463"/>
      <c r="EBT61" s="1459"/>
      <c r="EBU61" s="1459"/>
      <c r="EBV61" s="1460"/>
      <c r="EBW61" s="1461"/>
      <c r="EBX61" s="1462"/>
      <c r="EBY61" s="1463"/>
      <c r="EBZ61" s="1459"/>
      <c r="ECA61" s="1459"/>
      <c r="ECB61" s="1460"/>
      <c r="ECC61" s="1461"/>
      <c r="ECD61" s="1462"/>
      <c r="ECE61" s="1463"/>
      <c r="ECF61" s="1459"/>
      <c r="ECG61" s="1459"/>
      <c r="ECH61" s="1460"/>
      <c r="ECI61" s="1461"/>
      <c r="ECJ61" s="1462"/>
      <c r="ECK61" s="1463"/>
      <c r="ECL61" s="1459"/>
      <c r="ECM61" s="1459"/>
      <c r="ECN61" s="1460"/>
      <c r="ECO61" s="1461"/>
      <c r="ECP61" s="1462"/>
      <c r="ECQ61" s="1463"/>
      <c r="ECR61" s="1459"/>
      <c r="ECS61" s="1459"/>
      <c r="ECT61" s="1460"/>
      <c r="ECU61" s="1461"/>
      <c r="ECV61" s="1462"/>
      <c r="ECW61" s="1463"/>
      <c r="ECX61" s="1459"/>
      <c r="ECY61" s="1459"/>
      <c r="ECZ61" s="1460"/>
      <c r="EDA61" s="1461"/>
      <c r="EDB61" s="1462"/>
      <c r="EDC61" s="1463"/>
      <c r="EDD61" s="1459"/>
      <c r="EDE61" s="1459"/>
      <c r="EDF61" s="1460"/>
      <c r="EDG61" s="1461"/>
      <c r="EDH61" s="1462"/>
      <c r="EDI61" s="1463"/>
      <c r="EDJ61" s="1459"/>
      <c r="EDK61" s="1459"/>
      <c r="EDL61" s="1460"/>
      <c r="EDM61" s="1461"/>
      <c r="EDN61" s="1462"/>
      <c r="EDO61" s="1463"/>
      <c r="EDP61" s="1459"/>
      <c r="EDQ61" s="1459"/>
      <c r="EDR61" s="1460"/>
      <c r="EDS61" s="1461"/>
      <c r="EDT61" s="1462"/>
      <c r="EDU61" s="1463"/>
      <c r="EDV61" s="1459"/>
      <c r="EDW61" s="1459"/>
      <c r="EDX61" s="1460"/>
      <c r="EDY61" s="1461"/>
      <c r="EDZ61" s="1462"/>
      <c r="EEA61" s="1463"/>
      <c r="EEB61" s="1459"/>
      <c r="EEC61" s="1459"/>
      <c r="EED61" s="1460"/>
      <c r="EEE61" s="1461"/>
      <c r="EEF61" s="1462"/>
      <c r="EEG61" s="1463"/>
      <c r="EEH61" s="1459"/>
      <c r="EEI61" s="1459"/>
      <c r="EEJ61" s="1460"/>
      <c r="EEK61" s="1461"/>
      <c r="EEL61" s="1462"/>
      <c r="EEM61" s="1463"/>
      <c r="EEN61" s="1459"/>
      <c r="EEO61" s="1459"/>
      <c r="EEP61" s="1460"/>
      <c r="EEQ61" s="1461"/>
      <c r="EER61" s="1462"/>
      <c r="EES61" s="1463"/>
      <c r="EET61" s="1459"/>
      <c r="EEU61" s="1459"/>
      <c r="EEV61" s="1460"/>
      <c r="EEW61" s="1461"/>
      <c r="EEX61" s="1462"/>
      <c r="EEY61" s="1463"/>
      <c r="EEZ61" s="1459"/>
      <c r="EFA61" s="1459"/>
      <c r="EFB61" s="1460"/>
      <c r="EFC61" s="1461"/>
      <c r="EFD61" s="1462"/>
      <c r="EFE61" s="1463"/>
      <c r="EFF61" s="1459"/>
      <c r="EFG61" s="1459"/>
      <c r="EFH61" s="1460"/>
      <c r="EFI61" s="1461"/>
      <c r="EFJ61" s="1462"/>
      <c r="EFK61" s="1463"/>
      <c r="EFL61" s="1459"/>
      <c r="EFM61" s="1459"/>
      <c r="EFN61" s="1460"/>
      <c r="EFO61" s="1461"/>
      <c r="EFP61" s="1462"/>
      <c r="EFQ61" s="1463"/>
      <c r="EFR61" s="1459"/>
      <c r="EFS61" s="1459"/>
      <c r="EFT61" s="1460"/>
      <c r="EFU61" s="1461"/>
      <c r="EFV61" s="1462"/>
      <c r="EFW61" s="1463"/>
      <c r="EFX61" s="1459"/>
      <c r="EFY61" s="1459"/>
      <c r="EFZ61" s="1460"/>
      <c r="EGA61" s="1461"/>
      <c r="EGB61" s="1462"/>
      <c r="EGC61" s="1463"/>
      <c r="EGD61" s="1459"/>
      <c r="EGE61" s="1459"/>
      <c r="EGF61" s="1460"/>
      <c r="EGG61" s="1461"/>
      <c r="EGH61" s="1462"/>
      <c r="EGI61" s="1463"/>
      <c r="EGJ61" s="1459"/>
      <c r="EGK61" s="1459"/>
      <c r="EGL61" s="1460"/>
      <c r="EGM61" s="1461"/>
      <c r="EGN61" s="1462"/>
      <c r="EGO61" s="1463"/>
      <c r="EGP61" s="1459"/>
      <c r="EGQ61" s="1459"/>
      <c r="EGR61" s="1460"/>
      <c r="EGS61" s="1461"/>
      <c r="EGT61" s="1462"/>
      <c r="EGU61" s="1463"/>
      <c r="EGV61" s="1459"/>
      <c r="EGW61" s="1459"/>
      <c r="EGX61" s="1460"/>
      <c r="EGY61" s="1461"/>
      <c r="EGZ61" s="1462"/>
      <c r="EHA61" s="1463"/>
      <c r="EHB61" s="1459"/>
      <c r="EHC61" s="1459"/>
      <c r="EHD61" s="1460"/>
      <c r="EHE61" s="1461"/>
      <c r="EHF61" s="1462"/>
      <c r="EHG61" s="1463"/>
      <c r="EHH61" s="1459"/>
      <c r="EHI61" s="1459"/>
      <c r="EHJ61" s="1460"/>
      <c r="EHK61" s="1461"/>
      <c r="EHL61" s="1462"/>
      <c r="EHM61" s="1463"/>
      <c r="EHN61" s="1459"/>
      <c r="EHO61" s="1459"/>
      <c r="EHP61" s="1460"/>
      <c r="EHQ61" s="1461"/>
      <c r="EHR61" s="1462"/>
      <c r="EHS61" s="1463"/>
      <c r="EHT61" s="1459"/>
      <c r="EHU61" s="1459"/>
      <c r="EHV61" s="1460"/>
      <c r="EHW61" s="1461"/>
      <c r="EHX61" s="1462"/>
      <c r="EHY61" s="1463"/>
      <c r="EHZ61" s="1459"/>
      <c r="EIA61" s="1459"/>
      <c r="EIB61" s="1460"/>
      <c r="EIC61" s="1461"/>
      <c r="EID61" s="1462"/>
      <c r="EIE61" s="1463"/>
      <c r="EIF61" s="1459"/>
      <c r="EIG61" s="1459"/>
      <c r="EIH61" s="1460"/>
      <c r="EII61" s="1461"/>
      <c r="EIJ61" s="1462"/>
      <c r="EIK61" s="1463"/>
      <c r="EIL61" s="1459"/>
      <c r="EIM61" s="1459"/>
      <c r="EIN61" s="1460"/>
      <c r="EIO61" s="1461"/>
      <c r="EIP61" s="1462"/>
      <c r="EIQ61" s="1463"/>
      <c r="EIR61" s="1459"/>
      <c r="EIS61" s="1459"/>
      <c r="EIT61" s="1460"/>
      <c r="EIU61" s="1461"/>
      <c r="EIV61" s="1462"/>
      <c r="EIW61" s="1463"/>
      <c r="EIX61" s="1459"/>
      <c r="EIY61" s="1459"/>
      <c r="EIZ61" s="1460"/>
      <c r="EJA61" s="1461"/>
      <c r="EJB61" s="1462"/>
      <c r="EJC61" s="1463"/>
      <c r="EJD61" s="1459"/>
      <c r="EJE61" s="1459"/>
      <c r="EJF61" s="1460"/>
      <c r="EJG61" s="1461"/>
      <c r="EJH61" s="1462"/>
      <c r="EJI61" s="1463"/>
      <c r="EJJ61" s="1459"/>
      <c r="EJK61" s="1459"/>
      <c r="EJL61" s="1460"/>
      <c r="EJM61" s="1461"/>
      <c r="EJN61" s="1462"/>
      <c r="EJO61" s="1463"/>
      <c r="EJP61" s="1459"/>
      <c r="EJQ61" s="1459"/>
      <c r="EJR61" s="1460"/>
      <c r="EJS61" s="1461"/>
      <c r="EJT61" s="1462"/>
      <c r="EJU61" s="1463"/>
      <c r="EJV61" s="1459"/>
      <c r="EJW61" s="1459"/>
      <c r="EJX61" s="1460"/>
      <c r="EJY61" s="1461"/>
      <c r="EJZ61" s="1462"/>
      <c r="EKA61" s="1463"/>
      <c r="EKB61" s="1459"/>
      <c r="EKC61" s="1459"/>
      <c r="EKD61" s="1460"/>
      <c r="EKE61" s="1461"/>
      <c r="EKF61" s="1462"/>
      <c r="EKG61" s="1463"/>
      <c r="EKH61" s="1459"/>
      <c r="EKI61" s="1459"/>
      <c r="EKJ61" s="1460"/>
      <c r="EKK61" s="1461"/>
      <c r="EKL61" s="1462"/>
      <c r="EKM61" s="1463"/>
      <c r="EKN61" s="1459"/>
      <c r="EKO61" s="1459"/>
      <c r="EKP61" s="1460"/>
      <c r="EKQ61" s="1461"/>
      <c r="EKR61" s="1462"/>
      <c r="EKS61" s="1463"/>
      <c r="EKT61" s="1459"/>
      <c r="EKU61" s="1459"/>
      <c r="EKV61" s="1460"/>
      <c r="EKW61" s="1461"/>
      <c r="EKX61" s="1462"/>
      <c r="EKY61" s="1463"/>
      <c r="EKZ61" s="1459"/>
      <c r="ELA61" s="1459"/>
      <c r="ELB61" s="1460"/>
      <c r="ELC61" s="1461"/>
      <c r="ELD61" s="1462"/>
      <c r="ELE61" s="1463"/>
      <c r="ELF61" s="1459"/>
      <c r="ELG61" s="1459"/>
      <c r="ELH61" s="1460"/>
      <c r="ELI61" s="1461"/>
      <c r="ELJ61" s="1462"/>
      <c r="ELK61" s="1463"/>
      <c r="ELL61" s="1459"/>
      <c r="ELM61" s="1459"/>
      <c r="ELN61" s="1460"/>
      <c r="ELO61" s="1461"/>
      <c r="ELP61" s="1462"/>
      <c r="ELQ61" s="1463"/>
      <c r="ELR61" s="1459"/>
      <c r="ELS61" s="1459"/>
      <c r="ELT61" s="1460"/>
      <c r="ELU61" s="1461"/>
      <c r="ELV61" s="1462"/>
      <c r="ELW61" s="1463"/>
      <c r="ELX61" s="1459"/>
      <c r="ELY61" s="1459"/>
      <c r="ELZ61" s="1460"/>
      <c r="EMA61" s="1461"/>
      <c r="EMB61" s="1462"/>
      <c r="EMC61" s="1463"/>
      <c r="EMD61" s="1459"/>
      <c r="EME61" s="1459"/>
      <c r="EMF61" s="1460"/>
      <c r="EMG61" s="1461"/>
      <c r="EMH61" s="1462"/>
      <c r="EMI61" s="1463"/>
      <c r="EMJ61" s="1459"/>
      <c r="EMK61" s="1459"/>
      <c r="EML61" s="1460"/>
      <c r="EMM61" s="1461"/>
      <c r="EMN61" s="1462"/>
      <c r="EMO61" s="1463"/>
      <c r="EMP61" s="1459"/>
      <c r="EMQ61" s="1459"/>
      <c r="EMR61" s="1460"/>
      <c r="EMS61" s="1461"/>
      <c r="EMT61" s="1462"/>
      <c r="EMU61" s="1463"/>
      <c r="EMV61" s="1459"/>
      <c r="EMW61" s="1459"/>
      <c r="EMX61" s="1460"/>
      <c r="EMY61" s="1461"/>
      <c r="EMZ61" s="1462"/>
      <c r="ENA61" s="1463"/>
      <c r="ENB61" s="1459"/>
      <c r="ENC61" s="1459"/>
      <c r="END61" s="1460"/>
      <c r="ENE61" s="1461"/>
      <c r="ENF61" s="1462"/>
      <c r="ENG61" s="1463"/>
      <c r="ENH61" s="1459"/>
      <c r="ENI61" s="1459"/>
      <c r="ENJ61" s="1460"/>
      <c r="ENK61" s="1461"/>
      <c r="ENL61" s="1462"/>
      <c r="ENM61" s="1463"/>
      <c r="ENN61" s="1459"/>
      <c r="ENO61" s="1459"/>
      <c r="ENP61" s="1460"/>
      <c r="ENQ61" s="1461"/>
      <c r="ENR61" s="1462"/>
      <c r="ENS61" s="1463"/>
      <c r="ENT61" s="1459"/>
      <c r="ENU61" s="1459"/>
      <c r="ENV61" s="1460"/>
      <c r="ENW61" s="1461"/>
      <c r="ENX61" s="1462"/>
      <c r="ENY61" s="1463"/>
      <c r="ENZ61" s="1459"/>
      <c r="EOA61" s="1459"/>
      <c r="EOB61" s="1460"/>
      <c r="EOC61" s="1461"/>
      <c r="EOD61" s="1462"/>
      <c r="EOE61" s="1463"/>
      <c r="EOF61" s="1459"/>
      <c r="EOG61" s="1459"/>
      <c r="EOH61" s="1460"/>
      <c r="EOI61" s="1461"/>
      <c r="EOJ61" s="1462"/>
      <c r="EOK61" s="1463"/>
      <c r="EOL61" s="1459"/>
      <c r="EOM61" s="1459"/>
      <c r="EON61" s="1460"/>
      <c r="EOO61" s="1461"/>
      <c r="EOP61" s="1462"/>
      <c r="EOQ61" s="1463"/>
      <c r="EOR61" s="1459"/>
      <c r="EOS61" s="1459"/>
      <c r="EOT61" s="1460"/>
      <c r="EOU61" s="1461"/>
      <c r="EOV61" s="1462"/>
      <c r="EOW61" s="1463"/>
      <c r="EOX61" s="1459"/>
      <c r="EOY61" s="1459"/>
      <c r="EOZ61" s="1460"/>
      <c r="EPA61" s="1461"/>
      <c r="EPB61" s="1462"/>
      <c r="EPC61" s="1463"/>
      <c r="EPD61" s="1459"/>
      <c r="EPE61" s="1459"/>
      <c r="EPF61" s="1460"/>
      <c r="EPG61" s="1461"/>
      <c r="EPH61" s="1462"/>
      <c r="EPI61" s="1463"/>
      <c r="EPJ61" s="1459"/>
      <c r="EPK61" s="1459"/>
      <c r="EPL61" s="1460"/>
      <c r="EPM61" s="1461"/>
      <c r="EPN61" s="1462"/>
      <c r="EPO61" s="1463"/>
      <c r="EPP61" s="1459"/>
      <c r="EPQ61" s="1459"/>
      <c r="EPR61" s="1460"/>
      <c r="EPS61" s="1461"/>
      <c r="EPT61" s="1462"/>
      <c r="EPU61" s="1463"/>
      <c r="EPV61" s="1459"/>
      <c r="EPW61" s="1459"/>
      <c r="EPX61" s="1460"/>
      <c r="EPY61" s="1461"/>
      <c r="EPZ61" s="1462"/>
      <c r="EQA61" s="1463"/>
      <c r="EQB61" s="1459"/>
      <c r="EQC61" s="1459"/>
      <c r="EQD61" s="1460"/>
      <c r="EQE61" s="1461"/>
      <c r="EQF61" s="1462"/>
      <c r="EQG61" s="1463"/>
      <c r="EQH61" s="1459"/>
      <c r="EQI61" s="1459"/>
      <c r="EQJ61" s="1460"/>
      <c r="EQK61" s="1461"/>
      <c r="EQL61" s="1462"/>
      <c r="EQM61" s="1463"/>
      <c r="EQN61" s="1459"/>
      <c r="EQO61" s="1459"/>
      <c r="EQP61" s="1460"/>
      <c r="EQQ61" s="1461"/>
      <c r="EQR61" s="1462"/>
      <c r="EQS61" s="1463"/>
      <c r="EQT61" s="1459"/>
      <c r="EQU61" s="1459"/>
      <c r="EQV61" s="1460"/>
      <c r="EQW61" s="1461"/>
      <c r="EQX61" s="1462"/>
      <c r="EQY61" s="1463"/>
      <c r="EQZ61" s="1459"/>
      <c r="ERA61" s="1459"/>
      <c r="ERB61" s="1460"/>
      <c r="ERC61" s="1461"/>
      <c r="ERD61" s="1462"/>
      <c r="ERE61" s="1463"/>
      <c r="ERF61" s="1459"/>
      <c r="ERG61" s="1459"/>
      <c r="ERH61" s="1460"/>
      <c r="ERI61" s="1461"/>
      <c r="ERJ61" s="1462"/>
      <c r="ERK61" s="1463"/>
      <c r="ERL61" s="1459"/>
      <c r="ERM61" s="1459"/>
      <c r="ERN61" s="1460"/>
      <c r="ERO61" s="1461"/>
      <c r="ERP61" s="1462"/>
      <c r="ERQ61" s="1463"/>
      <c r="ERR61" s="1459"/>
      <c r="ERS61" s="1459"/>
      <c r="ERT61" s="1460"/>
      <c r="ERU61" s="1461"/>
      <c r="ERV61" s="1462"/>
      <c r="ERW61" s="1463"/>
      <c r="ERX61" s="1459"/>
      <c r="ERY61" s="1459"/>
      <c r="ERZ61" s="1460"/>
      <c r="ESA61" s="1461"/>
      <c r="ESB61" s="1462"/>
      <c r="ESC61" s="1463"/>
      <c r="ESD61" s="1459"/>
      <c r="ESE61" s="1459"/>
      <c r="ESF61" s="1460"/>
      <c r="ESG61" s="1461"/>
      <c r="ESH61" s="1462"/>
      <c r="ESI61" s="1463"/>
      <c r="ESJ61" s="1459"/>
      <c r="ESK61" s="1459"/>
      <c r="ESL61" s="1460"/>
      <c r="ESM61" s="1461"/>
      <c r="ESN61" s="1462"/>
      <c r="ESO61" s="1463"/>
      <c r="ESP61" s="1459"/>
      <c r="ESQ61" s="1459"/>
      <c r="ESR61" s="1460"/>
      <c r="ESS61" s="1461"/>
      <c r="EST61" s="1462"/>
      <c r="ESU61" s="1463"/>
      <c r="ESV61" s="1459"/>
      <c r="ESW61" s="1459"/>
      <c r="ESX61" s="1460"/>
      <c r="ESY61" s="1461"/>
      <c r="ESZ61" s="1462"/>
      <c r="ETA61" s="1463"/>
      <c r="ETB61" s="1459"/>
      <c r="ETC61" s="1459"/>
      <c r="ETD61" s="1460"/>
      <c r="ETE61" s="1461"/>
      <c r="ETF61" s="1462"/>
      <c r="ETG61" s="1463"/>
      <c r="ETH61" s="1459"/>
      <c r="ETI61" s="1459"/>
      <c r="ETJ61" s="1460"/>
      <c r="ETK61" s="1461"/>
      <c r="ETL61" s="1462"/>
      <c r="ETM61" s="1463"/>
      <c r="ETN61" s="1459"/>
      <c r="ETO61" s="1459"/>
      <c r="ETP61" s="1460"/>
      <c r="ETQ61" s="1461"/>
      <c r="ETR61" s="1462"/>
      <c r="ETS61" s="1463"/>
      <c r="ETT61" s="1459"/>
      <c r="ETU61" s="1459"/>
      <c r="ETV61" s="1460"/>
      <c r="ETW61" s="1461"/>
      <c r="ETX61" s="1462"/>
      <c r="ETY61" s="1463"/>
      <c r="ETZ61" s="1459"/>
      <c r="EUA61" s="1459"/>
      <c r="EUB61" s="1460"/>
      <c r="EUC61" s="1461"/>
      <c r="EUD61" s="1462"/>
      <c r="EUE61" s="1463"/>
      <c r="EUF61" s="1459"/>
      <c r="EUG61" s="1459"/>
      <c r="EUH61" s="1460"/>
      <c r="EUI61" s="1461"/>
      <c r="EUJ61" s="1462"/>
      <c r="EUK61" s="1463"/>
      <c r="EUL61" s="1459"/>
      <c r="EUM61" s="1459"/>
      <c r="EUN61" s="1460"/>
      <c r="EUO61" s="1461"/>
      <c r="EUP61" s="1462"/>
      <c r="EUQ61" s="1463"/>
      <c r="EUR61" s="1459"/>
      <c r="EUS61" s="1459"/>
      <c r="EUT61" s="1460"/>
      <c r="EUU61" s="1461"/>
      <c r="EUV61" s="1462"/>
      <c r="EUW61" s="1463"/>
      <c r="EUX61" s="1459"/>
      <c r="EUY61" s="1459"/>
      <c r="EUZ61" s="1460"/>
      <c r="EVA61" s="1461"/>
      <c r="EVB61" s="1462"/>
      <c r="EVC61" s="1463"/>
      <c r="EVD61" s="1459"/>
      <c r="EVE61" s="1459"/>
      <c r="EVF61" s="1460"/>
      <c r="EVG61" s="1461"/>
      <c r="EVH61" s="1462"/>
      <c r="EVI61" s="1463"/>
      <c r="EVJ61" s="1459"/>
      <c r="EVK61" s="1459"/>
      <c r="EVL61" s="1460"/>
      <c r="EVM61" s="1461"/>
      <c r="EVN61" s="1462"/>
      <c r="EVO61" s="1463"/>
      <c r="EVP61" s="1459"/>
      <c r="EVQ61" s="1459"/>
      <c r="EVR61" s="1460"/>
      <c r="EVS61" s="1461"/>
      <c r="EVT61" s="1462"/>
      <c r="EVU61" s="1463"/>
      <c r="EVV61" s="1459"/>
      <c r="EVW61" s="1459"/>
      <c r="EVX61" s="1460"/>
      <c r="EVY61" s="1461"/>
      <c r="EVZ61" s="1462"/>
      <c r="EWA61" s="1463"/>
      <c r="EWB61" s="1459"/>
      <c r="EWC61" s="1459"/>
      <c r="EWD61" s="1460"/>
      <c r="EWE61" s="1461"/>
      <c r="EWF61" s="1462"/>
      <c r="EWG61" s="1463"/>
      <c r="EWH61" s="1459"/>
      <c r="EWI61" s="1459"/>
      <c r="EWJ61" s="1460"/>
      <c r="EWK61" s="1461"/>
      <c r="EWL61" s="1462"/>
      <c r="EWM61" s="1463"/>
      <c r="EWN61" s="1459"/>
      <c r="EWO61" s="1459"/>
      <c r="EWP61" s="1460"/>
      <c r="EWQ61" s="1461"/>
      <c r="EWR61" s="1462"/>
      <c r="EWS61" s="1463"/>
      <c r="EWT61" s="1459"/>
      <c r="EWU61" s="1459"/>
      <c r="EWV61" s="1460"/>
      <c r="EWW61" s="1461"/>
      <c r="EWX61" s="1462"/>
      <c r="EWY61" s="1463"/>
      <c r="EWZ61" s="1459"/>
      <c r="EXA61" s="1459"/>
      <c r="EXB61" s="1460"/>
      <c r="EXC61" s="1461"/>
      <c r="EXD61" s="1462"/>
      <c r="EXE61" s="1463"/>
      <c r="EXF61" s="1459"/>
      <c r="EXG61" s="1459"/>
      <c r="EXH61" s="1460"/>
      <c r="EXI61" s="1461"/>
      <c r="EXJ61" s="1462"/>
      <c r="EXK61" s="1463"/>
      <c r="EXL61" s="1459"/>
      <c r="EXM61" s="1459"/>
      <c r="EXN61" s="1460"/>
      <c r="EXO61" s="1461"/>
      <c r="EXP61" s="1462"/>
      <c r="EXQ61" s="1463"/>
      <c r="EXR61" s="1459"/>
      <c r="EXS61" s="1459"/>
      <c r="EXT61" s="1460"/>
      <c r="EXU61" s="1461"/>
      <c r="EXV61" s="1462"/>
      <c r="EXW61" s="1463"/>
      <c r="EXX61" s="1459"/>
      <c r="EXY61" s="1459"/>
      <c r="EXZ61" s="1460"/>
      <c r="EYA61" s="1461"/>
      <c r="EYB61" s="1462"/>
      <c r="EYC61" s="1463"/>
      <c r="EYD61" s="1459"/>
      <c r="EYE61" s="1459"/>
      <c r="EYF61" s="1460"/>
      <c r="EYG61" s="1461"/>
      <c r="EYH61" s="1462"/>
      <c r="EYI61" s="1463"/>
      <c r="EYJ61" s="1459"/>
      <c r="EYK61" s="1459"/>
      <c r="EYL61" s="1460"/>
      <c r="EYM61" s="1461"/>
      <c r="EYN61" s="1462"/>
      <c r="EYO61" s="1463"/>
      <c r="EYP61" s="1459"/>
      <c r="EYQ61" s="1459"/>
      <c r="EYR61" s="1460"/>
      <c r="EYS61" s="1461"/>
      <c r="EYT61" s="1462"/>
      <c r="EYU61" s="1463"/>
      <c r="EYV61" s="1459"/>
      <c r="EYW61" s="1459"/>
      <c r="EYX61" s="1460"/>
      <c r="EYY61" s="1461"/>
      <c r="EYZ61" s="1462"/>
      <c r="EZA61" s="1463"/>
      <c r="EZB61" s="1459"/>
      <c r="EZC61" s="1459"/>
      <c r="EZD61" s="1460"/>
      <c r="EZE61" s="1461"/>
      <c r="EZF61" s="1462"/>
      <c r="EZG61" s="1463"/>
      <c r="EZH61" s="1459"/>
      <c r="EZI61" s="1459"/>
      <c r="EZJ61" s="1460"/>
      <c r="EZK61" s="1461"/>
      <c r="EZL61" s="1462"/>
      <c r="EZM61" s="1463"/>
      <c r="EZN61" s="1459"/>
      <c r="EZO61" s="1459"/>
      <c r="EZP61" s="1460"/>
      <c r="EZQ61" s="1461"/>
      <c r="EZR61" s="1462"/>
      <c r="EZS61" s="1463"/>
      <c r="EZT61" s="1459"/>
      <c r="EZU61" s="1459"/>
      <c r="EZV61" s="1460"/>
      <c r="EZW61" s="1461"/>
      <c r="EZX61" s="1462"/>
      <c r="EZY61" s="1463"/>
      <c r="EZZ61" s="1459"/>
      <c r="FAA61" s="1459"/>
      <c r="FAB61" s="1460"/>
      <c r="FAC61" s="1461"/>
      <c r="FAD61" s="1462"/>
      <c r="FAE61" s="1463"/>
      <c r="FAF61" s="1459"/>
      <c r="FAG61" s="1459"/>
      <c r="FAH61" s="1460"/>
      <c r="FAI61" s="1461"/>
      <c r="FAJ61" s="1462"/>
      <c r="FAK61" s="1463"/>
      <c r="FAL61" s="1459"/>
      <c r="FAM61" s="1459"/>
      <c r="FAN61" s="1460"/>
      <c r="FAO61" s="1461"/>
      <c r="FAP61" s="1462"/>
      <c r="FAQ61" s="1463"/>
      <c r="FAR61" s="1459"/>
      <c r="FAS61" s="1459"/>
      <c r="FAT61" s="1460"/>
      <c r="FAU61" s="1461"/>
      <c r="FAV61" s="1462"/>
      <c r="FAW61" s="1463"/>
      <c r="FAX61" s="1459"/>
      <c r="FAY61" s="1459"/>
      <c r="FAZ61" s="1460"/>
      <c r="FBA61" s="1461"/>
      <c r="FBB61" s="1462"/>
      <c r="FBC61" s="1463"/>
      <c r="FBD61" s="1459"/>
      <c r="FBE61" s="1459"/>
      <c r="FBF61" s="1460"/>
      <c r="FBG61" s="1461"/>
      <c r="FBH61" s="1462"/>
      <c r="FBI61" s="1463"/>
      <c r="FBJ61" s="1459"/>
      <c r="FBK61" s="1459"/>
      <c r="FBL61" s="1460"/>
      <c r="FBM61" s="1461"/>
      <c r="FBN61" s="1462"/>
      <c r="FBO61" s="1463"/>
      <c r="FBP61" s="1459"/>
      <c r="FBQ61" s="1459"/>
      <c r="FBR61" s="1460"/>
      <c r="FBS61" s="1461"/>
      <c r="FBT61" s="1462"/>
      <c r="FBU61" s="1463"/>
      <c r="FBV61" s="1459"/>
      <c r="FBW61" s="1459"/>
      <c r="FBX61" s="1460"/>
      <c r="FBY61" s="1461"/>
      <c r="FBZ61" s="1462"/>
      <c r="FCA61" s="1463"/>
      <c r="FCB61" s="1459"/>
      <c r="FCC61" s="1459"/>
      <c r="FCD61" s="1460"/>
      <c r="FCE61" s="1461"/>
      <c r="FCF61" s="1462"/>
      <c r="FCG61" s="1463"/>
      <c r="FCH61" s="1459"/>
      <c r="FCI61" s="1459"/>
      <c r="FCJ61" s="1460"/>
      <c r="FCK61" s="1461"/>
      <c r="FCL61" s="1462"/>
      <c r="FCM61" s="1463"/>
      <c r="FCN61" s="1459"/>
      <c r="FCO61" s="1459"/>
      <c r="FCP61" s="1460"/>
      <c r="FCQ61" s="1461"/>
      <c r="FCR61" s="1462"/>
      <c r="FCS61" s="1463"/>
      <c r="FCT61" s="1459"/>
      <c r="FCU61" s="1459"/>
      <c r="FCV61" s="1460"/>
      <c r="FCW61" s="1461"/>
      <c r="FCX61" s="1462"/>
      <c r="FCY61" s="1463"/>
      <c r="FCZ61" s="1459"/>
      <c r="FDA61" s="1459"/>
      <c r="FDB61" s="1460"/>
      <c r="FDC61" s="1461"/>
      <c r="FDD61" s="1462"/>
      <c r="FDE61" s="1463"/>
      <c r="FDF61" s="1459"/>
      <c r="FDG61" s="1459"/>
      <c r="FDH61" s="1460"/>
      <c r="FDI61" s="1461"/>
      <c r="FDJ61" s="1462"/>
      <c r="FDK61" s="1463"/>
      <c r="FDL61" s="1459"/>
      <c r="FDM61" s="1459"/>
      <c r="FDN61" s="1460"/>
      <c r="FDO61" s="1461"/>
      <c r="FDP61" s="1462"/>
      <c r="FDQ61" s="1463"/>
      <c r="FDR61" s="1459"/>
      <c r="FDS61" s="1459"/>
      <c r="FDT61" s="1460"/>
      <c r="FDU61" s="1461"/>
      <c r="FDV61" s="1462"/>
      <c r="FDW61" s="1463"/>
      <c r="FDX61" s="1459"/>
      <c r="FDY61" s="1459"/>
      <c r="FDZ61" s="1460"/>
      <c r="FEA61" s="1461"/>
      <c r="FEB61" s="1462"/>
      <c r="FEC61" s="1463"/>
      <c r="FED61" s="1459"/>
      <c r="FEE61" s="1459"/>
      <c r="FEF61" s="1460"/>
      <c r="FEG61" s="1461"/>
      <c r="FEH61" s="1462"/>
      <c r="FEI61" s="1463"/>
      <c r="FEJ61" s="1459"/>
      <c r="FEK61" s="1459"/>
      <c r="FEL61" s="1460"/>
      <c r="FEM61" s="1461"/>
      <c r="FEN61" s="1462"/>
      <c r="FEO61" s="1463"/>
      <c r="FEP61" s="1459"/>
      <c r="FEQ61" s="1459"/>
      <c r="FER61" s="1460"/>
      <c r="FES61" s="1461"/>
      <c r="FET61" s="1462"/>
      <c r="FEU61" s="1463"/>
      <c r="FEV61" s="1459"/>
      <c r="FEW61" s="1459"/>
      <c r="FEX61" s="1460"/>
      <c r="FEY61" s="1461"/>
      <c r="FEZ61" s="1462"/>
      <c r="FFA61" s="1463"/>
      <c r="FFB61" s="1459"/>
      <c r="FFC61" s="1459"/>
      <c r="FFD61" s="1460"/>
      <c r="FFE61" s="1461"/>
      <c r="FFF61" s="1462"/>
      <c r="FFG61" s="1463"/>
      <c r="FFH61" s="1459"/>
      <c r="FFI61" s="1459"/>
      <c r="FFJ61" s="1460"/>
      <c r="FFK61" s="1461"/>
      <c r="FFL61" s="1462"/>
      <c r="FFM61" s="1463"/>
      <c r="FFN61" s="1459"/>
      <c r="FFO61" s="1459"/>
      <c r="FFP61" s="1460"/>
      <c r="FFQ61" s="1461"/>
      <c r="FFR61" s="1462"/>
      <c r="FFS61" s="1463"/>
      <c r="FFT61" s="1459"/>
      <c r="FFU61" s="1459"/>
      <c r="FFV61" s="1460"/>
      <c r="FFW61" s="1461"/>
      <c r="FFX61" s="1462"/>
      <c r="FFY61" s="1463"/>
      <c r="FFZ61" s="1459"/>
      <c r="FGA61" s="1459"/>
      <c r="FGB61" s="1460"/>
      <c r="FGC61" s="1461"/>
      <c r="FGD61" s="1462"/>
      <c r="FGE61" s="1463"/>
      <c r="FGF61" s="1459"/>
      <c r="FGG61" s="1459"/>
      <c r="FGH61" s="1460"/>
      <c r="FGI61" s="1461"/>
      <c r="FGJ61" s="1462"/>
      <c r="FGK61" s="1463"/>
      <c r="FGL61" s="1459"/>
      <c r="FGM61" s="1459"/>
      <c r="FGN61" s="1460"/>
      <c r="FGO61" s="1461"/>
      <c r="FGP61" s="1462"/>
      <c r="FGQ61" s="1463"/>
      <c r="FGR61" s="1459"/>
      <c r="FGS61" s="1459"/>
      <c r="FGT61" s="1460"/>
      <c r="FGU61" s="1461"/>
      <c r="FGV61" s="1462"/>
      <c r="FGW61" s="1463"/>
      <c r="FGX61" s="1459"/>
      <c r="FGY61" s="1459"/>
      <c r="FGZ61" s="1460"/>
      <c r="FHA61" s="1461"/>
      <c r="FHB61" s="1462"/>
      <c r="FHC61" s="1463"/>
      <c r="FHD61" s="1459"/>
      <c r="FHE61" s="1459"/>
      <c r="FHF61" s="1460"/>
      <c r="FHG61" s="1461"/>
      <c r="FHH61" s="1462"/>
      <c r="FHI61" s="1463"/>
      <c r="FHJ61" s="1459"/>
      <c r="FHK61" s="1459"/>
      <c r="FHL61" s="1460"/>
      <c r="FHM61" s="1461"/>
      <c r="FHN61" s="1462"/>
      <c r="FHO61" s="1463"/>
      <c r="FHP61" s="1459"/>
      <c r="FHQ61" s="1459"/>
      <c r="FHR61" s="1460"/>
      <c r="FHS61" s="1461"/>
      <c r="FHT61" s="1462"/>
      <c r="FHU61" s="1463"/>
      <c r="FHV61" s="1459"/>
      <c r="FHW61" s="1459"/>
      <c r="FHX61" s="1460"/>
      <c r="FHY61" s="1461"/>
      <c r="FHZ61" s="1462"/>
      <c r="FIA61" s="1463"/>
      <c r="FIB61" s="1459"/>
      <c r="FIC61" s="1459"/>
      <c r="FID61" s="1460"/>
      <c r="FIE61" s="1461"/>
      <c r="FIF61" s="1462"/>
      <c r="FIG61" s="1463"/>
      <c r="FIH61" s="1459"/>
      <c r="FII61" s="1459"/>
      <c r="FIJ61" s="1460"/>
      <c r="FIK61" s="1461"/>
      <c r="FIL61" s="1462"/>
      <c r="FIM61" s="1463"/>
      <c r="FIN61" s="1459"/>
      <c r="FIO61" s="1459"/>
      <c r="FIP61" s="1460"/>
      <c r="FIQ61" s="1461"/>
      <c r="FIR61" s="1462"/>
      <c r="FIS61" s="1463"/>
      <c r="FIT61" s="1459"/>
      <c r="FIU61" s="1459"/>
      <c r="FIV61" s="1460"/>
      <c r="FIW61" s="1461"/>
      <c r="FIX61" s="1462"/>
      <c r="FIY61" s="1463"/>
      <c r="FIZ61" s="1459"/>
      <c r="FJA61" s="1459"/>
      <c r="FJB61" s="1460"/>
      <c r="FJC61" s="1461"/>
      <c r="FJD61" s="1462"/>
      <c r="FJE61" s="1463"/>
      <c r="FJF61" s="1459"/>
      <c r="FJG61" s="1459"/>
      <c r="FJH61" s="1460"/>
      <c r="FJI61" s="1461"/>
      <c r="FJJ61" s="1462"/>
      <c r="FJK61" s="1463"/>
      <c r="FJL61" s="1459"/>
      <c r="FJM61" s="1459"/>
      <c r="FJN61" s="1460"/>
      <c r="FJO61" s="1461"/>
      <c r="FJP61" s="1462"/>
      <c r="FJQ61" s="1463"/>
      <c r="FJR61" s="1459"/>
      <c r="FJS61" s="1459"/>
      <c r="FJT61" s="1460"/>
      <c r="FJU61" s="1461"/>
      <c r="FJV61" s="1462"/>
      <c r="FJW61" s="1463"/>
      <c r="FJX61" s="1459"/>
      <c r="FJY61" s="1459"/>
      <c r="FJZ61" s="1460"/>
      <c r="FKA61" s="1461"/>
      <c r="FKB61" s="1462"/>
      <c r="FKC61" s="1463"/>
      <c r="FKD61" s="1459"/>
      <c r="FKE61" s="1459"/>
      <c r="FKF61" s="1460"/>
      <c r="FKG61" s="1461"/>
      <c r="FKH61" s="1462"/>
      <c r="FKI61" s="1463"/>
      <c r="FKJ61" s="1459"/>
      <c r="FKK61" s="1459"/>
      <c r="FKL61" s="1460"/>
      <c r="FKM61" s="1461"/>
      <c r="FKN61" s="1462"/>
      <c r="FKO61" s="1463"/>
      <c r="FKP61" s="1459"/>
      <c r="FKQ61" s="1459"/>
      <c r="FKR61" s="1460"/>
      <c r="FKS61" s="1461"/>
      <c r="FKT61" s="1462"/>
      <c r="FKU61" s="1463"/>
      <c r="FKV61" s="1459"/>
      <c r="FKW61" s="1459"/>
      <c r="FKX61" s="1460"/>
      <c r="FKY61" s="1461"/>
      <c r="FKZ61" s="1462"/>
      <c r="FLA61" s="1463"/>
      <c r="FLB61" s="1459"/>
      <c r="FLC61" s="1459"/>
      <c r="FLD61" s="1460"/>
      <c r="FLE61" s="1461"/>
      <c r="FLF61" s="1462"/>
      <c r="FLG61" s="1463"/>
      <c r="FLH61" s="1459"/>
      <c r="FLI61" s="1459"/>
      <c r="FLJ61" s="1460"/>
      <c r="FLK61" s="1461"/>
      <c r="FLL61" s="1462"/>
      <c r="FLM61" s="1463"/>
      <c r="FLN61" s="1459"/>
      <c r="FLO61" s="1459"/>
      <c r="FLP61" s="1460"/>
      <c r="FLQ61" s="1461"/>
      <c r="FLR61" s="1462"/>
      <c r="FLS61" s="1463"/>
      <c r="FLT61" s="1459"/>
      <c r="FLU61" s="1459"/>
      <c r="FLV61" s="1460"/>
      <c r="FLW61" s="1461"/>
      <c r="FLX61" s="1462"/>
      <c r="FLY61" s="1463"/>
      <c r="FLZ61" s="1459"/>
      <c r="FMA61" s="1459"/>
      <c r="FMB61" s="1460"/>
      <c r="FMC61" s="1461"/>
      <c r="FMD61" s="1462"/>
      <c r="FME61" s="1463"/>
      <c r="FMF61" s="1459"/>
      <c r="FMG61" s="1459"/>
      <c r="FMH61" s="1460"/>
      <c r="FMI61" s="1461"/>
      <c r="FMJ61" s="1462"/>
      <c r="FMK61" s="1463"/>
      <c r="FML61" s="1459"/>
      <c r="FMM61" s="1459"/>
      <c r="FMN61" s="1460"/>
      <c r="FMO61" s="1461"/>
      <c r="FMP61" s="1462"/>
      <c r="FMQ61" s="1463"/>
      <c r="FMR61" s="1459"/>
      <c r="FMS61" s="1459"/>
      <c r="FMT61" s="1460"/>
      <c r="FMU61" s="1461"/>
      <c r="FMV61" s="1462"/>
      <c r="FMW61" s="1463"/>
      <c r="FMX61" s="1459"/>
      <c r="FMY61" s="1459"/>
      <c r="FMZ61" s="1460"/>
      <c r="FNA61" s="1461"/>
      <c r="FNB61" s="1462"/>
      <c r="FNC61" s="1463"/>
      <c r="FND61" s="1459"/>
      <c r="FNE61" s="1459"/>
      <c r="FNF61" s="1460"/>
      <c r="FNG61" s="1461"/>
      <c r="FNH61" s="1462"/>
      <c r="FNI61" s="1463"/>
      <c r="FNJ61" s="1459"/>
      <c r="FNK61" s="1459"/>
      <c r="FNL61" s="1460"/>
      <c r="FNM61" s="1461"/>
      <c r="FNN61" s="1462"/>
      <c r="FNO61" s="1463"/>
      <c r="FNP61" s="1459"/>
      <c r="FNQ61" s="1459"/>
      <c r="FNR61" s="1460"/>
      <c r="FNS61" s="1461"/>
      <c r="FNT61" s="1462"/>
      <c r="FNU61" s="1463"/>
      <c r="FNV61" s="1459"/>
      <c r="FNW61" s="1459"/>
      <c r="FNX61" s="1460"/>
      <c r="FNY61" s="1461"/>
      <c r="FNZ61" s="1462"/>
      <c r="FOA61" s="1463"/>
      <c r="FOB61" s="1459"/>
      <c r="FOC61" s="1459"/>
      <c r="FOD61" s="1460"/>
      <c r="FOE61" s="1461"/>
      <c r="FOF61" s="1462"/>
      <c r="FOG61" s="1463"/>
      <c r="FOH61" s="1459"/>
      <c r="FOI61" s="1459"/>
      <c r="FOJ61" s="1460"/>
      <c r="FOK61" s="1461"/>
      <c r="FOL61" s="1462"/>
      <c r="FOM61" s="1463"/>
      <c r="FON61" s="1459"/>
      <c r="FOO61" s="1459"/>
      <c r="FOP61" s="1460"/>
      <c r="FOQ61" s="1461"/>
      <c r="FOR61" s="1462"/>
      <c r="FOS61" s="1463"/>
      <c r="FOT61" s="1459"/>
      <c r="FOU61" s="1459"/>
      <c r="FOV61" s="1460"/>
      <c r="FOW61" s="1461"/>
      <c r="FOX61" s="1462"/>
      <c r="FOY61" s="1463"/>
      <c r="FOZ61" s="1459"/>
      <c r="FPA61" s="1459"/>
      <c r="FPB61" s="1460"/>
      <c r="FPC61" s="1461"/>
      <c r="FPD61" s="1462"/>
      <c r="FPE61" s="1463"/>
      <c r="FPF61" s="1459"/>
      <c r="FPG61" s="1459"/>
      <c r="FPH61" s="1460"/>
      <c r="FPI61" s="1461"/>
      <c r="FPJ61" s="1462"/>
      <c r="FPK61" s="1463"/>
      <c r="FPL61" s="1459"/>
      <c r="FPM61" s="1459"/>
      <c r="FPN61" s="1460"/>
      <c r="FPO61" s="1461"/>
      <c r="FPP61" s="1462"/>
      <c r="FPQ61" s="1463"/>
      <c r="FPR61" s="1459"/>
      <c r="FPS61" s="1459"/>
      <c r="FPT61" s="1460"/>
      <c r="FPU61" s="1461"/>
      <c r="FPV61" s="1462"/>
      <c r="FPW61" s="1463"/>
      <c r="FPX61" s="1459"/>
      <c r="FPY61" s="1459"/>
      <c r="FPZ61" s="1460"/>
      <c r="FQA61" s="1461"/>
      <c r="FQB61" s="1462"/>
      <c r="FQC61" s="1463"/>
      <c r="FQD61" s="1459"/>
      <c r="FQE61" s="1459"/>
      <c r="FQF61" s="1460"/>
      <c r="FQG61" s="1461"/>
      <c r="FQH61" s="1462"/>
      <c r="FQI61" s="1463"/>
      <c r="FQJ61" s="1459"/>
      <c r="FQK61" s="1459"/>
      <c r="FQL61" s="1460"/>
      <c r="FQM61" s="1461"/>
      <c r="FQN61" s="1462"/>
      <c r="FQO61" s="1463"/>
      <c r="FQP61" s="1459"/>
      <c r="FQQ61" s="1459"/>
      <c r="FQR61" s="1460"/>
      <c r="FQS61" s="1461"/>
      <c r="FQT61" s="1462"/>
      <c r="FQU61" s="1463"/>
      <c r="FQV61" s="1459"/>
      <c r="FQW61" s="1459"/>
      <c r="FQX61" s="1460"/>
      <c r="FQY61" s="1461"/>
      <c r="FQZ61" s="1462"/>
      <c r="FRA61" s="1463"/>
      <c r="FRB61" s="1459"/>
      <c r="FRC61" s="1459"/>
      <c r="FRD61" s="1460"/>
      <c r="FRE61" s="1461"/>
      <c r="FRF61" s="1462"/>
      <c r="FRG61" s="1463"/>
      <c r="FRH61" s="1459"/>
      <c r="FRI61" s="1459"/>
      <c r="FRJ61" s="1460"/>
      <c r="FRK61" s="1461"/>
      <c r="FRL61" s="1462"/>
      <c r="FRM61" s="1463"/>
      <c r="FRN61" s="1459"/>
      <c r="FRO61" s="1459"/>
      <c r="FRP61" s="1460"/>
      <c r="FRQ61" s="1461"/>
      <c r="FRR61" s="1462"/>
      <c r="FRS61" s="1463"/>
      <c r="FRT61" s="1459"/>
      <c r="FRU61" s="1459"/>
      <c r="FRV61" s="1460"/>
      <c r="FRW61" s="1461"/>
      <c r="FRX61" s="1462"/>
      <c r="FRY61" s="1463"/>
      <c r="FRZ61" s="1459"/>
      <c r="FSA61" s="1459"/>
      <c r="FSB61" s="1460"/>
      <c r="FSC61" s="1461"/>
      <c r="FSD61" s="1462"/>
      <c r="FSE61" s="1463"/>
      <c r="FSF61" s="1459"/>
      <c r="FSG61" s="1459"/>
      <c r="FSH61" s="1460"/>
      <c r="FSI61" s="1461"/>
      <c r="FSJ61" s="1462"/>
      <c r="FSK61" s="1463"/>
      <c r="FSL61" s="1459"/>
      <c r="FSM61" s="1459"/>
      <c r="FSN61" s="1460"/>
      <c r="FSO61" s="1461"/>
      <c r="FSP61" s="1462"/>
      <c r="FSQ61" s="1463"/>
      <c r="FSR61" s="1459"/>
      <c r="FSS61" s="1459"/>
      <c r="FST61" s="1460"/>
      <c r="FSU61" s="1461"/>
      <c r="FSV61" s="1462"/>
      <c r="FSW61" s="1463"/>
      <c r="FSX61" s="1459"/>
      <c r="FSY61" s="1459"/>
      <c r="FSZ61" s="1460"/>
      <c r="FTA61" s="1461"/>
      <c r="FTB61" s="1462"/>
      <c r="FTC61" s="1463"/>
      <c r="FTD61" s="1459"/>
      <c r="FTE61" s="1459"/>
      <c r="FTF61" s="1460"/>
      <c r="FTG61" s="1461"/>
      <c r="FTH61" s="1462"/>
      <c r="FTI61" s="1463"/>
      <c r="FTJ61" s="1459"/>
      <c r="FTK61" s="1459"/>
      <c r="FTL61" s="1460"/>
      <c r="FTM61" s="1461"/>
      <c r="FTN61" s="1462"/>
      <c r="FTO61" s="1463"/>
      <c r="FTP61" s="1459"/>
      <c r="FTQ61" s="1459"/>
      <c r="FTR61" s="1460"/>
      <c r="FTS61" s="1461"/>
      <c r="FTT61" s="1462"/>
      <c r="FTU61" s="1463"/>
      <c r="FTV61" s="1459"/>
      <c r="FTW61" s="1459"/>
      <c r="FTX61" s="1460"/>
      <c r="FTY61" s="1461"/>
      <c r="FTZ61" s="1462"/>
      <c r="FUA61" s="1463"/>
      <c r="FUB61" s="1459"/>
      <c r="FUC61" s="1459"/>
      <c r="FUD61" s="1460"/>
      <c r="FUE61" s="1461"/>
      <c r="FUF61" s="1462"/>
      <c r="FUG61" s="1463"/>
      <c r="FUH61" s="1459"/>
      <c r="FUI61" s="1459"/>
      <c r="FUJ61" s="1460"/>
      <c r="FUK61" s="1461"/>
      <c r="FUL61" s="1462"/>
      <c r="FUM61" s="1463"/>
      <c r="FUN61" s="1459"/>
      <c r="FUO61" s="1459"/>
      <c r="FUP61" s="1460"/>
      <c r="FUQ61" s="1461"/>
      <c r="FUR61" s="1462"/>
      <c r="FUS61" s="1463"/>
      <c r="FUT61" s="1459"/>
      <c r="FUU61" s="1459"/>
      <c r="FUV61" s="1460"/>
      <c r="FUW61" s="1461"/>
      <c r="FUX61" s="1462"/>
      <c r="FUY61" s="1463"/>
      <c r="FUZ61" s="1459"/>
      <c r="FVA61" s="1459"/>
      <c r="FVB61" s="1460"/>
      <c r="FVC61" s="1461"/>
      <c r="FVD61" s="1462"/>
      <c r="FVE61" s="1463"/>
      <c r="FVF61" s="1459"/>
      <c r="FVG61" s="1459"/>
      <c r="FVH61" s="1460"/>
      <c r="FVI61" s="1461"/>
      <c r="FVJ61" s="1462"/>
      <c r="FVK61" s="1463"/>
      <c r="FVL61" s="1459"/>
      <c r="FVM61" s="1459"/>
      <c r="FVN61" s="1460"/>
      <c r="FVO61" s="1461"/>
      <c r="FVP61" s="1462"/>
      <c r="FVQ61" s="1463"/>
      <c r="FVR61" s="1459"/>
      <c r="FVS61" s="1459"/>
      <c r="FVT61" s="1460"/>
      <c r="FVU61" s="1461"/>
      <c r="FVV61" s="1462"/>
      <c r="FVW61" s="1463"/>
      <c r="FVX61" s="1459"/>
      <c r="FVY61" s="1459"/>
      <c r="FVZ61" s="1460"/>
      <c r="FWA61" s="1461"/>
      <c r="FWB61" s="1462"/>
      <c r="FWC61" s="1463"/>
      <c r="FWD61" s="1459"/>
      <c r="FWE61" s="1459"/>
      <c r="FWF61" s="1460"/>
      <c r="FWG61" s="1461"/>
      <c r="FWH61" s="1462"/>
      <c r="FWI61" s="1463"/>
      <c r="FWJ61" s="1459"/>
      <c r="FWK61" s="1459"/>
      <c r="FWL61" s="1460"/>
      <c r="FWM61" s="1461"/>
      <c r="FWN61" s="1462"/>
      <c r="FWO61" s="1463"/>
      <c r="FWP61" s="1459"/>
      <c r="FWQ61" s="1459"/>
      <c r="FWR61" s="1460"/>
      <c r="FWS61" s="1461"/>
      <c r="FWT61" s="1462"/>
      <c r="FWU61" s="1463"/>
      <c r="FWV61" s="1459"/>
      <c r="FWW61" s="1459"/>
      <c r="FWX61" s="1460"/>
      <c r="FWY61" s="1461"/>
      <c r="FWZ61" s="1462"/>
      <c r="FXA61" s="1463"/>
      <c r="FXB61" s="1459"/>
      <c r="FXC61" s="1459"/>
      <c r="FXD61" s="1460"/>
      <c r="FXE61" s="1461"/>
      <c r="FXF61" s="1462"/>
      <c r="FXG61" s="1463"/>
      <c r="FXH61" s="1459"/>
      <c r="FXI61" s="1459"/>
      <c r="FXJ61" s="1460"/>
      <c r="FXK61" s="1461"/>
      <c r="FXL61" s="1462"/>
      <c r="FXM61" s="1463"/>
      <c r="FXN61" s="1459"/>
      <c r="FXO61" s="1459"/>
      <c r="FXP61" s="1460"/>
      <c r="FXQ61" s="1461"/>
      <c r="FXR61" s="1462"/>
      <c r="FXS61" s="1463"/>
      <c r="FXT61" s="1459"/>
      <c r="FXU61" s="1459"/>
      <c r="FXV61" s="1460"/>
      <c r="FXW61" s="1461"/>
      <c r="FXX61" s="1462"/>
      <c r="FXY61" s="1463"/>
      <c r="FXZ61" s="1459"/>
      <c r="FYA61" s="1459"/>
      <c r="FYB61" s="1460"/>
      <c r="FYC61" s="1461"/>
      <c r="FYD61" s="1462"/>
      <c r="FYE61" s="1463"/>
      <c r="FYF61" s="1459"/>
      <c r="FYG61" s="1459"/>
      <c r="FYH61" s="1460"/>
      <c r="FYI61" s="1461"/>
      <c r="FYJ61" s="1462"/>
      <c r="FYK61" s="1463"/>
      <c r="FYL61" s="1459"/>
      <c r="FYM61" s="1459"/>
      <c r="FYN61" s="1460"/>
      <c r="FYO61" s="1461"/>
      <c r="FYP61" s="1462"/>
      <c r="FYQ61" s="1463"/>
      <c r="FYR61" s="1459"/>
      <c r="FYS61" s="1459"/>
      <c r="FYT61" s="1460"/>
      <c r="FYU61" s="1461"/>
      <c r="FYV61" s="1462"/>
      <c r="FYW61" s="1463"/>
      <c r="FYX61" s="1459"/>
      <c r="FYY61" s="1459"/>
      <c r="FYZ61" s="1460"/>
      <c r="FZA61" s="1461"/>
      <c r="FZB61" s="1462"/>
      <c r="FZC61" s="1463"/>
      <c r="FZD61" s="1459"/>
      <c r="FZE61" s="1459"/>
      <c r="FZF61" s="1460"/>
      <c r="FZG61" s="1461"/>
      <c r="FZH61" s="1462"/>
      <c r="FZI61" s="1463"/>
      <c r="FZJ61" s="1459"/>
      <c r="FZK61" s="1459"/>
      <c r="FZL61" s="1460"/>
      <c r="FZM61" s="1461"/>
      <c r="FZN61" s="1462"/>
      <c r="FZO61" s="1463"/>
      <c r="FZP61" s="1459"/>
      <c r="FZQ61" s="1459"/>
      <c r="FZR61" s="1460"/>
      <c r="FZS61" s="1461"/>
      <c r="FZT61" s="1462"/>
      <c r="FZU61" s="1463"/>
      <c r="FZV61" s="1459"/>
      <c r="FZW61" s="1459"/>
      <c r="FZX61" s="1460"/>
      <c r="FZY61" s="1461"/>
      <c r="FZZ61" s="1462"/>
      <c r="GAA61" s="1463"/>
      <c r="GAB61" s="1459"/>
      <c r="GAC61" s="1459"/>
      <c r="GAD61" s="1460"/>
      <c r="GAE61" s="1461"/>
      <c r="GAF61" s="1462"/>
      <c r="GAG61" s="1463"/>
      <c r="GAH61" s="1459"/>
      <c r="GAI61" s="1459"/>
      <c r="GAJ61" s="1460"/>
      <c r="GAK61" s="1461"/>
      <c r="GAL61" s="1462"/>
      <c r="GAM61" s="1463"/>
      <c r="GAN61" s="1459"/>
      <c r="GAO61" s="1459"/>
      <c r="GAP61" s="1460"/>
      <c r="GAQ61" s="1461"/>
      <c r="GAR61" s="1462"/>
      <c r="GAS61" s="1463"/>
      <c r="GAT61" s="1459"/>
      <c r="GAU61" s="1459"/>
      <c r="GAV61" s="1460"/>
      <c r="GAW61" s="1461"/>
      <c r="GAX61" s="1462"/>
      <c r="GAY61" s="1463"/>
      <c r="GAZ61" s="1459"/>
      <c r="GBA61" s="1459"/>
      <c r="GBB61" s="1460"/>
      <c r="GBC61" s="1461"/>
      <c r="GBD61" s="1462"/>
      <c r="GBE61" s="1463"/>
      <c r="GBF61" s="1459"/>
      <c r="GBG61" s="1459"/>
      <c r="GBH61" s="1460"/>
      <c r="GBI61" s="1461"/>
      <c r="GBJ61" s="1462"/>
      <c r="GBK61" s="1463"/>
      <c r="GBL61" s="1459"/>
      <c r="GBM61" s="1459"/>
      <c r="GBN61" s="1460"/>
      <c r="GBO61" s="1461"/>
      <c r="GBP61" s="1462"/>
      <c r="GBQ61" s="1463"/>
      <c r="GBR61" s="1459"/>
      <c r="GBS61" s="1459"/>
      <c r="GBT61" s="1460"/>
      <c r="GBU61" s="1461"/>
      <c r="GBV61" s="1462"/>
      <c r="GBW61" s="1463"/>
      <c r="GBX61" s="1459"/>
      <c r="GBY61" s="1459"/>
      <c r="GBZ61" s="1460"/>
      <c r="GCA61" s="1461"/>
      <c r="GCB61" s="1462"/>
      <c r="GCC61" s="1463"/>
      <c r="GCD61" s="1459"/>
      <c r="GCE61" s="1459"/>
      <c r="GCF61" s="1460"/>
      <c r="GCG61" s="1461"/>
      <c r="GCH61" s="1462"/>
      <c r="GCI61" s="1463"/>
      <c r="GCJ61" s="1459"/>
      <c r="GCK61" s="1459"/>
      <c r="GCL61" s="1460"/>
      <c r="GCM61" s="1461"/>
      <c r="GCN61" s="1462"/>
      <c r="GCO61" s="1463"/>
      <c r="GCP61" s="1459"/>
      <c r="GCQ61" s="1459"/>
      <c r="GCR61" s="1460"/>
      <c r="GCS61" s="1461"/>
      <c r="GCT61" s="1462"/>
      <c r="GCU61" s="1463"/>
      <c r="GCV61" s="1459"/>
      <c r="GCW61" s="1459"/>
      <c r="GCX61" s="1460"/>
      <c r="GCY61" s="1461"/>
      <c r="GCZ61" s="1462"/>
      <c r="GDA61" s="1463"/>
      <c r="GDB61" s="1459"/>
      <c r="GDC61" s="1459"/>
      <c r="GDD61" s="1460"/>
      <c r="GDE61" s="1461"/>
      <c r="GDF61" s="1462"/>
      <c r="GDG61" s="1463"/>
      <c r="GDH61" s="1459"/>
      <c r="GDI61" s="1459"/>
      <c r="GDJ61" s="1460"/>
      <c r="GDK61" s="1461"/>
      <c r="GDL61" s="1462"/>
      <c r="GDM61" s="1463"/>
      <c r="GDN61" s="1459"/>
      <c r="GDO61" s="1459"/>
      <c r="GDP61" s="1460"/>
      <c r="GDQ61" s="1461"/>
      <c r="GDR61" s="1462"/>
      <c r="GDS61" s="1463"/>
      <c r="GDT61" s="1459"/>
      <c r="GDU61" s="1459"/>
      <c r="GDV61" s="1460"/>
      <c r="GDW61" s="1461"/>
      <c r="GDX61" s="1462"/>
      <c r="GDY61" s="1463"/>
      <c r="GDZ61" s="1459"/>
      <c r="GEA61" s="1459"/>
      <c r="GEB61" s="1460"/>
      <c r="GEC61" s="1461"/>
      <c r="GED61" s="1462"/>
      <c r="GEE61" s="1463"/>
      <c r="GEF61" s="1459"/>
      <c r="GEG61" s="1459"/>
      <c r="GEH61" s="1460"/>
      <c r="GEI61" s="1461"/>
      <c r="GEJ61" s="1462"/>
      <c r="GEK61" s="1463"/>
      <c r="GEL61" s="1459"/>
      <c r="GEM61" s="1459"/>
      <c r="GEN61" s="1460"/>
      <c r="GEO61" s="1461"/>
      <c r="GEP61" s="1462"/>
      <c r="GEQ61" s="1463"/>
      <c r="GER61" s="1459"/>
      <c r="GES61" s="1459"/>
      <c r="GET61" s="1460"/>
      <c r="GEU61" s="1461"/>
      <c r="GEV61" s="1462"/>
      <c r="GEW61" s="1463"/>
      <c r="GEX61" s="1459"/>
      <c r="GEY61" s="1459"/>
      <c r="GEZ61" s="1460"/>
      <c r="GFA61" s="1461"/>
      <c r="GFB61" s="1462"/>
      <c r="GFC61" s="1463"/>
      <c r="GFD61" s="1459"/>
      <c r="GFE61" s="1459"/>
      <c r="GFF61" s="1460"/>
      <c r="GFG61" s="1461"/>
      <c r="GFH61" s="1462"/>
      <c r="GFI61" s="1463"/>
      <c r="GFJ61" s="1459"/>
      <c r="GFK61" s="1459"/>
      <c r="GFL61" s="1460"/>
      <c r="GFM61" s="1461"/>
      <c r="GFN61" s="1462"/>
      <c r="GFO61" s="1463"/>
      <c r="GFP61" s="1459"/>
      <c r="GFQ61" s="1459"/>
      <c r="GFR61" s="1460"/>
      <c r="GFS61" s="1461"/>
      <c r="GFT61" s="1462"/>
      <c r="GFU61" s="1463"/>
      <c r="GFV61" s="1459"/>
      <c r="GFW61" s="1459"/>
      <c r="GFX61" s="1460"/>
      <c r="GFY61" s="1461"/>
      <c r="GFZ61" s="1462"/>
      <c r="GGA61" s="1463"/>
      <c r="GGB61" s="1459"/>
      <c r="GGC61" s="1459"/>
      <c r="GGD61" s="1460"/>
      <c r="GGE61" s="1461"/>
      <c r="GGF61" s="1462"/>
      <c r="GGG61" s="1463"/>
      <c r="GGH61" s="1459"/>
      <c r="GGI61" s="1459"/>
      <c r="GGJ61" s="1460"/>
      <c r="GGK61" s="1461"/>
      <c r="GGL61" s="1462"/>
      <c r="GGM61" s="1463"/>
      <c r="GGN61" s="1459"/>
      <c r="GGO61" s="1459"/>
      <c r="GGP61" s="1460"/>
      <c r="GGQ61" s="1461"/>
      <c r="GGR61" s="1462"/>
      <c r="GGS61" s="1463"/>
      <c r="GGT61" s="1459"/>
      <c r="GGU61" s="1459"/>
      <c r="GGV61" s="1460"/>
      <c r="GGW61" s="1461"/>
      <c r="GGX61" s="1462"/>
      <c r="GGY61" s="1463"/>
      <c r="GGZ61" s="1459"/>
      <c r="GHA61" s="1459"/>
      <c r="GHB61" s="1460"/>
      <c r="GHC61" s="1461"/>
      <c r="GHD61" s="1462"/>
      <c r="GHE61" s="1463"/>
      <c r="GHF61" s="1459"/>
      <c r="GHG61" s="1459"/>
      <c r="GHH61" s="1460"/>
      <c r="GHI61" s="1461"/>
      <c r="GHJ61" s="1462"/>
      <c r="GHK61" s="1463"/>
      <c r="GHL61" s="1459"/>
      <c r="GHM61" s="1459"/>
      <c r="GHN61" s="1460"/>
      <c r="GHO61" s="1461"/>
      <c r="GHP61" s="1462"/>
      <c r="GHQ61" s="1463"/>
      <c r="GHR61" s="1459"/>
      <c r="GHS61" s="1459"/>
      <c r="GHT61" s="1460"/>
      <c r="GHU61" s="1461"/>
      <c r="GHV61" s="1462"/>
      <c r="GHW61" s="1463"/>
      <c r="GHX61" s="1459"/>
      <c r="GHY61" s="1459"/>
      <c r="GHZ61" s="1460"/>
      <c r="GIA61" s="1461"/>
      <c r="GIB61" s="1462"/>
      <c r="GIC61" s="1463"/>
      <c r="GID61" s="1459"/>
      <c r="GIE61" s="1459"/>
      <c r="GIF61" s="1460"/>
      <c r="GIG61" s="1461"/>
      <c r="GIH61" s="1462"/>
      <c r="GII61" s="1463"/>
      <c r="GIJ61" s="1459"/>
      <c r="GIK61" s="1459"/>
      <c r="GIL61" s="1460"/>
      <c r="GIM61" s="1461"/>
      <c r="GIN61" s="1462"/>
      <c r="GIO61" s="1463"/>
      <c r="GIP61" s="1459"/>
      <c r="GIQ61" s="1459"/>
      <c r="GIR61" s="1460"/>
      <c r="GIS61" s="1461"/>
      <c r="GIT61" s="1462"/>
      <c r="GIU61" s="1463"/>
      <c r="GIV61" s="1459"/>
      <c r="GIW61" s="1459"/>
      <c r="GIX61" s="1460"/>
      <c r="GIY61" s="1461"/>
      <c r="GIZ61" s="1462"/>
      <c r="GJA61" s="1463"/>
      <c r="GJB61" s="1459"/>
      <c r="GJC61" s="1459"/>
      <c r="GJD61" s="1460"/>
      <c r="GJE61" s="1461"/>
      <c r="GJF61" s="1462"/>
      <c r="GJG61" s="1463"/>
      <c r="GJH61" s="1459"/>
      <c r="GJI61" s="1459"/>
      <c r="GJJ61" s="1460"/>
      <c r="GJK61" s="1461"/>
      <c r="GJL61" s="1462"/>
      <c r="GJM61" s="1463"/>
      <c r="GJN61" s="1459"/>
      <c r="GJO61" s="1459"/>
      <c r="GJP61" s="1460"/>
      <c r="GJQ61" s="1461"/>
      <c r="GJR61" s="1462"/>
      <c r="GJS61" s="1463"/>
      <c r="GJT61" s="1459"/>
      <c r="GJU61" s="1459"/>
      <c r="GJV61" s="1460"/>
      <c r="GJW61" s="1461"/>
      <c r="GJX61" s="1462"/>
      <c r="GJY61" s="1463"/>
      <c r="GJZ61" s="1459"/>
      <c r="GKA61" s="1459"/>
      <c r="GKB61" s="1460"/>
      <c r="GKC61" s="1461"/>
      <c r="GKD61" s="1462"/>
      <c r="GKE61" s="1463"/>
      <c r="GKF61" s="1459"/>
      <c r="GKG61" s="1459"/>
      <c r="GKH61" s="1460"/>
      <c r="GKI61" s="1461"/>
      <c r="GKJ61" s="1462"/>
      <c r="GKK61" s="1463"/>
      <c r="GKL61" s="1459"/>
      <c r="GKM61" s="1459"/>
      <c r="GKN61" s="1460"/>
      <c r="GKO61" s="1461"/>
      <c r="GKP61" s="1462"/>
      <c r="GKQ61" s="1463"/>
      <c r="GKR61" s="1459"/>
      <c r="GKS61" s="1459"/>
      <c r="GKT61" s="1460"/>
      <c r="GKU61" s="1461"/>
      <c r="GKV61" s="1462"/>
      <c r="GKW61" s="1463"/>
      <c r="GKX61" s="1459"/>
      <c r="GKY61" s="1459"/>
      <c r="GKZ61" s="1460"/>
      <c r="GLA61" s="1461"/>
      <c r="GLB61" s="1462"/>
      <c r="GLC61" s="1463"/>
      <c r="GLD61" s="1459"/>
      <c r="GLE61" s="1459"/>
      <c r="GLF61" s="1460"/>
      <c r="GLG61" s="1461"/>
      <c r="GLH61" s="1462"/>
      <c r="GLI61" s="1463"/>
      <c r="GLJ61" s="1459"/>
      <c r="GLK61" s="1459"/>
      <c r="GLL61" s="1460"/>
      <c r="GLM61" s="1461"/>
      <c r="GLN61" s="1462"/>
      <c r="GLO61" s="1463"/>
      <c r="GLP61" s="1459"/>
      <c r="GLQ61" s="1459"/>
      <c r="GLR61" s="1460"/>
      <c r="GLS61" s="1461"/>
      <c r="GLT61" s="1462"/>
      <c r="GLU61" s="1463"/>
      <c r="GLV61" s="1459"/>
      <c r="GLW61" s="1459"/>
      <c r="GLX61" s="1460"/>
      <c r="GLY61" s="1461"/>
      <c r="GLZ61" s="1462"/>
      <c r="GMA61" s="1463"/>
      <c r="GMB61" s="1459"/>
      <c r="GMC61" s="1459"/>
      <c r="GMD61" s="1460"/>
      <c r="GME61" s="1461"/>
      <c r="GMF61" s="1462"/>
      <c r="GMG61" s="1463"/>
      <c r="GMH61" s="1459"/>
      <c r="GMI61" s="1459"/>
      <c r="GMJ61" s="1460"/>
      <c r="GMK61" s="1461"/>
      <c r="GML61" s="1462"/>
      <c r="GMM61" s="1463"/>
      <c r="GMN61" s="1459"/>
      <c r="GMO61" s="1459"/>
      <c r="GMP61" s="1460"/>
      <c r="GMQ61" s="1461"/>
      <c r="GMR61" s="1462"/>
      <c r="GMS61" s="1463"/>
      <c r="GMT61" s="1459"/>
      <c r="GMU61" s="1459"/>
      <c r="GMV61" s="1460"/>
      <c r="GMW61" s="1461"/>
      <c r="GMX61" s="1462"/>
      <c r="GMY61" s="1463"/>
      <c r="GMZ61" s="1459"/>
      <c r="GNA61" s="1459"/>
      <c r="GNB61" s="1460"/>
      <c r="GNC61" s="1461"/>
      <c r="GND61" s="1462"/>
      <c r="GNE61" s="1463"/>
      <c r="GNF61" s="1459"/>
      <c r="GNG61" s="1459"/>
      <c r="GNH61" s="1460"/>
      <c r="GNI61" s="1461"/>
      <c r="GNJ61" s="1462"/>
      <c r="GNK61" s="1463"/>
      <c r="GNL61" s="1459"/>
      <c r="GNM61" s="1459"/>
      <c r="GNN61" s="1460"/>
      <c r="GNO61" s="1461"/>
      <c r="GNP61" s="1462"/>
      <c r="GNQ61" s="1463"/>
      <c r="GNR61" s="1459"/>
      <c r="GNS61" s="1459"/>
      <c r="GNT61" s="1460"/>
      <c r="GNU61" s="1461"/>
      <c r="GNV61" s="1462"/>
      <c r="GNW61" s="1463"/>
      <c r="GNX61" s="1459"/>
      <c r="GNY61" s="1459"/>
      <c r="GNZ61" s="1460"/>
      <c r="GOA61" s="1461"/>
      <c r="GOB61" s="1462"/>
      <c r="GOC61" s="1463"/>
      <c r="GOD61" s="1459"/>
      <c r="GOE61" s="1459"/>
      <c r="GOF61" s="1460"/>
      <c r="GOG61" s="1461"/>
      <c r="GOH61" s="1462"/>
      <c r="GOI61" s="1463"/>
      <c r="GOJ61" s="1459"/>
      <c r="GOK61" s="1459"/>
      <c r="GOL61" s="1460"/>
      <c r="GOM61" s="1461"/>
      <c r="GON61" s="1462"/>
      <c r="GOO61" s="1463"/>
      <c r="GOP61" s="1459"/>
      <c r="GOQ61" s="1459"/>
      <c r="GOR61" s="1460"/>
      <c r="GOS61" s="1461"/>
      <c r="GOT61" s="1462"/>
      <c r="GOU61" s="1463"/>
      <c r="GOV61" s="1459"/>
      <c r="GOW61" s="1459"/>
      <c r="GOX61" s="1460"/>
      <c r="GOY61" s="1461"/>
      <c r="GOZ61" s="1462"/>
      <c r="GPA61" s="1463"/>
      <c r="GPB61" s="1459"/>
      <c r="GPC61" s="1459"/>
      <c r="GPD61" s="1460"/>
      <c r="GPE61" s="1461"/>
      <c r="GPF61" s="1462"/>
      <c r="GPG61" s="1463"/>
      <c r="GPH61" s="1459"/>
      <c r="GPI61" s="1459"/>
      <c r="GPJ61" s="1460"/>
      <c r="GPK61" s="1461"/>
      <c r="GPL61" s="1462"/>
      <c r="GPM61" s="1463"/>
      <c r="GPN61" s="1459"/>
      <c r="GPO61" s="1459"/>
      <c r="GPP61" s="1460"/>
      <c r="GPQ61" s="1461"/>
      <c r="GPR61" s="1462"/>
      <c r="GPS61" s="1463"/>
      <c r="GPT61" s="1459"/>
      <c r="GPU61" s="1459"/>
      <c r="GPV61" s="1460"/>
      <c r="GPW61" s="1461"/>
      <c r="GPX61" s="1462"/>
      <c r="GPY61" s="1463"/>
      <c r="GPZ61" s="1459"/>
      <c r="GQA61" s="1459"/>
      <c r="GQB61" s="1460"/>
      <c r="GQC61" s="1461"/>
      <c r="GQD61" s="1462"/>
      <c r="GQE61" s="1463"/>
      <c r="GQF61" s="1459"/>
      <c r="GQG61" s="1459"/>
      <c r="GQH61" s="1460"/>
      <c r="GQI61" s="1461"/>
      <c r="GQJ61" s="1462"/>
      <c r="GQK61" s="1463"/>
      <c r="GQL61" s="1459"/>
      <c r="GQM61" s="1459"/>
      <c r="GQN61" s="1460"/>
      <c r="GQO61" s="1461"/>
      <c r="GQP61" s="1462"/>
      <c r="GQQ61" s="1463"/>
      <c r="GQR61" s="1459"/>
      <c r="GQS61" s="1459"/>
      <c r="GQT61" s="1460"/>
      <c r="GQU61" s="1461"/>
      <c r="GQV61" s="1462"/>
      <c r="GQW61" s="1463"/>
      <c r="GQX61" s="1459"/>
      <c r="GQY61" s="1459"/>
      <c r="GQZ61" s="1460"/>
      <c r="GRA61" s="1461"/>
      <c r="GRB61" s="1462"/>
      <c r="GRC61" s="1463"/>
      <c r="GRD61" s="1459"/>
      <c r="GRE61" s="1459"/>
      <c r="GRF61" s="1460"/>
      <c r="GRG61" s="1461"/>
      <c r="GRH61" s="1462"/>
      <c r="GRI61" s="1463"/>
      <c r="GRJ61" s="1459"/>
      <c r="GRK61" s="1459"/>
      <c r="GRL61" s="1460"/>
      <c r="GRM61" s="1461"/>
      <c r="GRN61" s="1462"/>
      <c r="GRO61" s="1463"/>
      <c r="GRP61" s="1459"/>
      <c r="GRQ61" s="1459"/>
      <c r="GRR61" s="1460"/>
      <c r="GRS61" s="1461"/>
      <c r="GRT61" s="1462"/>
      <c r="GRU61" s="1463"/>
      <c r="GRV61" s="1459"/>
      <c r="GRW61" s="1459"/>
      <c r="GRX61" s="1460"/>
      <c r="GRY61" s="1461"/>
      <c r="GRZ61" s="1462"/>
      <c r="GSA61" s="1463"/>
      <c r="GSB61" s="1459"/>
      <c r="GSC61" s="1459"/>
      <c r="GSD61" s="1460"/>
      <c r="GSE61" s="1461"/>
      <c r="GSF61" s="1462"/>
      <c r="GSG61" s="1463"/>
      <c r="GSH61" s="1459"/>
      <c r="GSI61" s="1459"/>
      <c r="GSJ61" s="1460"/>
      <c r="GSK61" s="1461"/>
      <c r="GSL61" s="1462"/>
      <c r="GSM61" s="1463"/>
      <c r="GSN61" s="1459"/>
      <c r="GSO61" s="1459"/>
      <c r="GSP61" s="1460"/>
      <c r="GSQ61" s="1461"/>
      <c r="GSR61" s="1462"/>
      <c r="GSS61" s="1463"/>
      <c r="GST61" s="1459"/>
      <c r="GSU61" s="1459"/>
      <c r="GSV61" s="1460"/>
      <c r="GSW61" s="1461"/>
      <c r="GSX61" s="1462"/>
      <c r="GSY61" s="1463"/>
      <c r="GSZ61" s="1459"/>
      <c r="GTA61" s="1459"/>
      <c r="GTB61" s="1460"/>
      <c r="GTC61" s="1461"/>
      <c r="GTD61" s="1462"/>
      <c r="GTE61" s="1463"/>
      <c r="GTF61" s="1459"/>
      <c r="GTG61" s="1459"/>
      <c r="GTH61" s="1460"/>
      <c r="GTI61" s="1461"/>
      <c r="GTJ61" s="1462"/>
      <c r="GTK61" s="1463"/>
      <c r="GTL61" s="1459"/>
      <c r="GTM61" s="1459"/>
      <c r="GTN61" s="1460"/>
      <c r="GTO61" s="1461"/>
      <c r="GTP61" s="1462"/>
      <c r="GTQ61" s="1463"/>
      <c r="GTR61" s="1459"/>
      <c r="GTS61" s="1459"/>
      <c r="GTT61" s="1460"/>
      <c r="GTU61" s="1461"/>
      <c r="GTV61" s="1462"/>
      <c r="GTW61" s="1463"/>
      <c r="GTX61" s="1459"/>
      <c r="GTY61" s="1459"/>
      <c r="GTZ61" s="1460"/>
      <c r="GUA61" s="1461"/>
      <c r="GUB61" s="1462"/>
      <c r="GUC61" s="1463"/>
      <c r="GUD61" s="1459"/>
      <c r="GUE61" s="1459"/>
      <c r="GUF61" s="1460"/>
      <c r="GUG61" s="1461"/>
      <c r="GUH61" s="1462"/>
      <c r="GUI61" s="1463"/>
      <c r="GUJ61" s="1459"/>
      <c r="GUK61" s="1459"/>
      <c r="GUL61" s="1460"/>
      <c r="GUM61" s="1461"/>
      <c r="GUN61" s="1462"/>
      <c r="GUO61" s="1463"/>
      <c r="GUP61" s="1459"/>
      <c r="GUQ61" s="1459"/>
      <c r="GUR61" s="1460"/>
      <c r="GUS61" s="1461"/>
      <c r="GUT61" s="1462"/>
      <c r="GUU61" s="1463"/>
      <c r="GUV61" s="1459"/>
      <c r="GUW61" s="1459"/>
      <c r="GUX61" s="1460"/>
      <c r="GUY61" s="1461"/>
      <c r="GUZ61" s="1462"/>
      <c r="GVA61" s="1463"/>
      <c r="GVB61" s="1459"/>
      <c r="GVC61" s="1459"/>
      <c r="GVD61" s="1460"/>
      <c r="GVE61" s="1461"/>
      <c r="GVF61" s="1462"/>
      <c r="GVG61" s="1463"/>
      <c r="GVH61" s="1459"/>
      <c r="GVI61" s="1459"/>
      <c r="GVJ61" s="1460"/>
      <c r="GVK61" s="1461"/>
      <c r="GVL61" s="1462"/>
      <c r="GVM61" s="1463"/>
      <c r="GVN61" s="1459"/>
      <c r="GVO61" s="1459"/>
      <c r="GVP61" s="1460"/>
      <c r="GVQ61" s="1461"/>
      <c r="GVR61" s="1462"/>
      <c r="GVS61" s="1463"/>
      <c r="GVT61" s="1459"/>
      <c r="GVU61" s="1459"/>
      <c r="GVV61" s="1460"/>
      <c r="GVW61" s="1461"/>
      <c r="GVX61" s="1462"/>
      <c r="GVY61" s="1463"/>
      <c r="GVZ61" s="1459"/>
      <c r="GWA61" s="1459"/>
      <c r="GWB61" s="1460"/>
      <c r="GWC61" s="1461"/>
      <c r="GWD61" s="1462"/>
      <c r="GWE61" s="1463"/>
      <c r="GWF61" s="1459"/>
      <c r="GWG61" s="1459"/>
      <c r="GWH61" s="1460"/>
      <c r="GWI61" s="1461"/>
      <c r="GWJ61" s="1462"/>
      <c r="GWK61" s="1463"/>
      <c r="GWL61" s="1459"/>
      <c r="GWM61" s="1459"/>
      <c r="GWN61" s="1460"/>
      <c r="GWO61" s="1461"/>
      <c r="GWP61" s="1462"/>
      <c r="GWQ61" s="1463"/>
      <c r="GWR61" s="1459"/>
      <c r="GWS61" s="1459"/>
      <c r="GWT61" s="1460"/>
      <c r="GWU61" s="1461"/>
      <c r="GWV61" s="1462"/>
      <c r="GWW61" s="1463"/>
      <c r="GWX61" s="1459"/>
      <c r="GWY61" s="1459"/>
      <c r="GWZ61" s="1460"/>
      <c r="GXA61" s="1461"/>
      <c r="GXB61" s="1462"/>
      <c r="GXC61" s="1463"/>
      <c r="GXD61" s="1459"/>
      <c r="GXE61" s="1459"/>
      <c r="GXF61" s="1460"/>
      <c r="GXG61" s="1461"/>
      <c r="GXH61" s="1462"/>
      <c r="GXI61" s="1463"/>
      <c r="GXJ61" s="1459"/>
      <c r="GXK61" s="1459"/>
      <c r="GXL61" s="1460"/>
      <c r="GXM61" s="1461"/>
      <c r="GXN61" s="1462"/>
      <c r="GXO61" s="1463"/>
      <c r="GXP61" s="1459"/>
      <c r="GXQ61" s="1459"/>
      <c r="GXR61" s="1460"/>
      <c r="GXS61" s="1461"/>
      <c r="GXT61" s="1462"/>
      <c r="GXU61" s="1463"/>
      <c r="GXV61" s="1459"/>
      <c r="GXW61" s="1459"/>
      <c r="GXX61" s="1460"/>
      <c r="GXY61" s="1461"/>
      <c r="GXZ61" s="1462"/>
      <c r="GYA61" s="1463"/>
      <c r="GYB61" s="1459"/>
      <c r="GYC61" s="1459"/>
      <c r="GYD61" s="1460"/>
      <c r="GYE61" s="1461"/>
      <c r="GYF61" s="1462"/>
      <c r="GYG61" s="1463"/>
      <c r="GYH61" s="1459"/>
      <c r="GYI61" s="1459"/>
      <c r="GYJ61" s="1460"/>
      <c r="GYK61" s="1461"/>
      <c r="GYL61" s="1462"/>
      <c r="GYM61" s="1463"/>
      <c r="GYN61" s="1459"/>
      <c r="GYO61" s="1459"/>
      <c r="GYP61" s="1460"/>
      <c r="GYQ61" s="1461"/>
      <c r="GYR61" s="1462"/>
      <c r="GYS61" s="1463"/>
      <c r="GYT61" s="1459"/>
      <c r="GYU61" s="1459"/>
      <c r="GYV61" s="1460"/>
      <c r="GYW61" s="1461"/>
      <c r="GYX61" s="1462"/>
      <c r="GYY61" s="1463"/>
      <c r="GYZ61" s="1459"/>
      <c r="GZA61" s="1459"/>
      <c r="GZB61" s="1460"/>
      <c r="GZC61" s="1461"/>
      <c r="GZD61" s="1462"/>
      <c r="GZE61" s="1463"/>
      <c r="GZF61" s="1459"/>
      <c r="GZG61" s="1459"/>
      <c r="GZH61" s="1460"/>
      <c r="GZI61" s="1461"/>
      <c r="GZJ61" s="1462"/>
      <c r="GZK61" s="1463"/>
      <c r="GZL61" s="1459"/>
      <c r="GZM61" s="1459"/>
      <c r="GZN61" s="1460"/>
      <c r="GZO61" s="1461"/>
      <c r="GZP61" s="1462"/>
      <c r="GZQ61" s="1463"/>
      <c r="GZR61" s="1459"/>
      <c r="GZS61" s="1459"/>
      <c r="GZT61" s="1460"/>
      <c r="GZU61" s="1461"/>
      <c r="GZV61" s="1462"/>
      <c r="GZW61" s="1463"/>
      <c r="GZX61" s="1459"/>
      <c r="GZY61" s="1459"/>
      <c r="GZZ61" s="1460"/>
      <c r="HAA61" s="1461"/>
      <c r="HAB61" s="1462"/>
      <c r="HAC61" s="1463"/>
      <c r="HAD61" s="1459"/>
      <c r="HAE61" s="1459"/>
      <c r="HAF61" s="1460"/>
      <c r="HAG61" s="1461"/>
      <c r="HAH61" s="1462"/>
      <c r="HAI61" s="1463"/>
      <c r="HAJ61" s="1459"/>
      <c r="HAK61" s="1459"/>
      <c r="HAL61" s="1460"/>
      <c r="HAM61" s="1461"/>
      <c r="HAN61" s="1462"/>
      <c r="HAO61" s="1463"/>
      <c r="HAP61" s="1459"/>
      <c r="HAQ61" s="1459"/>
      <c r="HAR61" s="1460"/>
      <c r="HAS61" s="1461"/>
      <c r="HAT61" s="1462"/>
      <c r="HAU61" s="1463"/>
      <c r="HAV61" s="1459"/>
      <c r="HAW61" s="1459"/>
      <c r="HAX61" s="1460"/>
      <c r="HAY61" s="1461"/>
      <c r="HAZ61" s="1462"/>
      <c r="HBA61" s="1463"/>
      <c r="HBB61" s="1459"/>
      <c r="HBC61" s="1459"/>
      <c r="HBD61" s="1460"/>
      <c r="HBE61" s="1461"/>
      <c r="HBF61" s="1462"/>
      <c r="HBG61" s="1463"/>
      <c r="HBH61" s="1459"/>
      <c r="HBI61" s="1459"/>
      <c r="HBJ61" s="1460"/>
      <c r="HBK61" s="1461"/>
      <c r="HBL61" s="1462"/>
      <c r="HBM61" s="1463"/>
      <c r="HBN61" s="1459"/>
      <c r="HBO61" s="1459"/>
      <c r="HBP61" s="1460"/>
      <c r="HBQ61" s="1461"/>
      <c r="HBR61" s="1462"/>
      <c r="HBS61" s="1463"/>
      <c r="HBT61" s="1459"/>
      <c r="HBU61" s="1459"/>
      <c r="HBV61" s="1460"/>
      <c r="HBW61" s="1461"/>
      <c r="HBX61" s="1462"/>
      <c r="HBY61" s="1463"/>
      <c r="HBZ61" s="1459"/>
      <c r="HCA61" s="1459"/>
      <c r="HCB61" s="1460"/>
      <c r="HCC61" s="1461"/>
      <c r="HCD61" s="1462"/>
      <c r="HCE61" s="1463"/>
      <c r="HCF61" s="1459"/>
      <c r="HCG61" s="1459"/>
      <c r="HCH61" s="1460"/>
      <c r="HCI61" s="1461"/>
      <c r="HCJ61" s="1462"/>
      <c r="HCK61" s="1463"/>
      <c r="HCL61" s="1459"/>
      <c r="HCM61" s="1459"/>
      <c r="HCN61" s="1460"/>
      <c r="HCO61" s="1461"/>
      <c r="HCP61" s="1462"/>
      <c r="HCQ61" s="1463"/>
      <c r="HCR61" s="1459"/>
      <c r="HCS61" s="1459"/>
      <c r="HCT61" s="1460"/>
      <c r="HCU61" s="1461"/>
      <c r="HCV61" s="1462"/>
      <c r="HCW61" s="1463"/>
      <c r="HCX61" s="1459"/>
      <c r="HCY61" s="1459"/>
      <c r="HCZ61" s="1460"/>
      <c r="HDA61" s="1461"/>
      <c r="HDB61" s="1462"/>
      <c r="HDC61" s="1463"/>
      <c r="HDD61" s="1459"/>
      <c r="HDE61" s="1459"/>
      <c r="HDF61" s="1460"/>
      <c r="HDG61" s="1461"/>
      <c r="HDH61" s="1462"/>
      <c r="HDI61" s="1463"/>
      <c r="HDJ61" s="1459"/>
      <c r="HDK61" s="1459"/>
      <c r="HDL61" s="1460"/>
      <c r="HDM61" s="1461"/>
      <c r="HDN61" s="1462"/>
      <c r="HDO61" s="1463"/>
      <c r="HDP61" s="1459"/>
      <c r="HDQ61" s="1459"/>
      <c r="HDR61" s="1460"/>
      <c r="HDS61" s="1461"/>
      <c r="HDT61" s="1462"/>
      <c r="HDU61" s="1463"/>
      <c r="HDV61" s="1459"/>
      <c r="HDW61" s="1459"/>
      <c r="HDX61" s="1460"/>
      <c r="HDY61" s="1461"/>
      <c r="HDZ61" s="1462"/>
      <c r="HEA61" s="1463"/>
      <c r="HEB61" s="1459"/>
      <c r="HEC61" s="1459"/>
      <c r="HED61" s="1460"/>
      <c r="HEE61" s="1461"/>
      <c r="HEF61" s="1462"/>
      <c r="HEG61" s="1463"/>
      <c r="HEH61" s="1459"/>
      <c r="HEI61" s="1459"/>
      <c r="HEJ61" s="1460"/>
      <c r="HEK61" s="1461"/>
      <c r="HEL61" s="1462"/>
      <c r="HEM61" s="1463"/>
      <c r="HEN61" s="1459"/>
      <c r="HEO61" s="1459"/>
      <c r="HEP61" s="1460"/>
      <c r="HEQ61" s="1461"/>
      <c r="HER61" s="1462"/>
      <c r="HES61" s="1463"/>
      <c r="HET61" s="1459"/>
      <c r="HEU61" s="1459"/>
      <c r="HEV61" s="1460"/>
      <c r="HEW61" s="1461"/>
      <c r="HEX61" s="1462"/>
      <c r="HEY61" s="1463"/>
      <c r="HEZ61" s="1459"/>
      <c r="HFA61" s="1459"/>
      <c r="HFB61" s="1460"/>
      <c r="HFC61" s="1461"/>
      <c r="HFD61" s="1462"/>
      <c r="HFE61" s="1463"/>
      <c r="HFF61" s="1459"/>
      <c r="HFG61" s="1459"/>
      <c r="HFH61" s="1460"/>
      <c r="HFI61" s="1461"/>
      <c r="HFJ61" s="1462"/>
      <c r="HFK61" s="1463"/>
      <c r="HFL61" s="1459"/>
      <c r="HFM61" s="1459"/>
      <c r="HFN61" s="1460"/>
      <c r="HFO61" s="1461"/>
      <c r="HFP61" s="1462"/>
      <c r="HFQ61" s="1463"/>
      <c r="HFR61" s="1459"/>
      <c r="HFS61" s="1459"/>
      <c r="HFT61" s="1460"/>
      <c r="HFU61" s="1461"/>
      <c r="HFV61" s="1462"/>
      <c r="HFW61" s="1463"/>
      <c r="HFX61" s="1459"/>
      <c r="HFY61" s="1459"/>
      <c r="HFZ61" s="1460"/>
      <c r="HGA61" s="1461"/>
      <c r="HGB61" s="1462"/>
      <c r="HGC61" s="1463"/>
      <c r="HGD61" s="1459"/>
      <c r="HGE61" s="1459"/>
      <c r="HGF61" s="1460"/>
      <c r="HGG61" s="1461"/>
      <c r="HGH61" s="1462"/>
      <c r="HGI61" s="1463"/>
      <c r="HGJ61" s="1459"/>
      <c r="HGK61" s="1459"/>
      <c r="HGL61" s="1460"/>
      <c r="HGM61" s="1461"/>
      <c r="HGN61" s="1462"/>
      <c r="HGO61" s="1463"/>
      <c r="HGP61" s="1459"/>
      <c r="HGQ61" s="1459"/>
      <c r="HGR61" s="1460"/>
      <c r="HGS61" s="1461"/>
      <c r="HGT61" s="1462"/>
      <c r="HGU61" s="1463"/>
      <c r="HGV61" s="1459"/>
      <c r="HGW61" s="1459"/>
      <c r="HGX61" s="1460"/>
      <c r="HGY61" s="1461"/>
      <c r="HGZ61" s="1462"/>
      <c r="HHA61" s="1463"/>
      <c r="HHB61" s="1459"/>
      <c r="HHC61" s="1459"/>
      <c r="HHD61" s="1460"/>
      <c r="HHE61" s="1461"/>
      <c r="HHF61" s="1462"/>
      <c r="HHG61" s="1463"/>
      <c r="HHH61" s="1459"/>
      <c r="HHI61" s="1459"/>
      <c r="HHJ61" s="1460"/>
      <c r="HHK61" s="1461"/>
      <c r="HHL61" s="1462"/>
      <c r="HHM61" s="1463"/>
      <c r="HHN61" s="1459"/>
      <c r="HHO61" s="1459"/>
      <c r="HHP61" s="1460"/>
      <c r="HHQ61" s="1461"/>
      <c r="HHR61" s="1462"/>
      <c r="HHS61" s="1463"/>
      <c r="HHT61" s="1459"/>
      <c r="HHU61" s="1459"/>
      <c r="HHV61" s="1460"/>
      <c r="HHW61" s="1461"/>
      <c r="HHX61" s="1462"/>
      <c r="HHY61" s="1463"/>
      <c r="HHZ61" s="1459"/>
      <c r="HIA61" s="1459"/>
      <c r="HIB61" s="1460"/>
      <c r="HIC61" s="1461"/>
      <c r="HID61" s="1462"/>
      <c r="HIE61" s="1463"/>
      <c r="HIF61" s="1459"/>
      <c r="HIG61" s="1459"/>
      <c r="HIH61" s="1460"/>
      <c r="HII61" s="1461"/>
      <c r="HIJ61" s="1462"/>
      <c r="HIK61" s="1463"/>
      <c r="HIL61" s="1459"/>
      <c r="HIM61" s="1459"/>
      <c r="HIN61" s="1460"/>
      <c r="HIO61" s="1461"/>
      <c r="HIP61" s="1462"/>
      <c r="HIQ61" s="1463"/>
      <c r="HIR61" s="1459"/>
      <c r="HIS61" s="1459"/>
      <c r="HIT61" s="1460"/>
      <c r="HIU61" s="1461"/>
      <c r="HIV61" s="1462"/>
      <c r="HIW61" s="1463"/>
      <c r="HIX61" s="1459"/>
      <c r="HIY61" s="1459"/>
      <c r="HIZ61" s="1460"/>
      <c r="HJA61" s="1461"/>
      <c r="HJB61" s="1462"/>
      <c r="HJC61" s="1463"/>
      <c r="HJD61" s="1459"/>
      <c r="HJE61" s="1459"/>
      <c r="HJF61" s="1460"/>
      <c r="HJG61" s="1461"/>
      <c r="HJH61" s="1462"/>
      <c r="HJI61" s="1463"/>
      <c r="HJJ61" s="1459"/>
      <c r="HJK61" s="1459"/>
      <c r="HJL61" s="1460"/>
      <c r="HJM61" s="1461"/>
      <c r="HJN61" s="1462"/>
      <c r="HJO61" s="1463"/>
      <c r="HJP61" s="1459"/>
      <c r="HJQ61" s="1459"/>
      <c r="HJR61" s="1460"/>
      <c r="HJS61" s="1461"/>
      <c r="HJT61" s="1462"/>
      <c r="HJU61" s="1463"/>
      <c r="HJV61" s="1459"/>
      <c r="HJW61" s="1459"/>
      <c r="HJX61" s="1460"/>
      <c r="HJY61" s="1461"/>
      <c r="HJZ61" s="1462"/>
      <c r="HKA61" s="1463"/>
      <c r="HKB61" s="1459"/>
      <c r="HKC61" s="1459"/>
      <c r="HKD61" s="1460"/>
      <c r="HKE61" s="1461"/>
      <c r="HKF61" s="1462"/>
      <c r="HKG61" s="1463"/>
      <c r="HKH61" s="1459"/>
      <c r="HKI61" s="1459"/>
      <c r="HKJ61" s="1460"/>
      <c r="HKK61" s="1461"/>
      <c r="HKL61" s="1462"/>
      <c r="HKM61" s="1463"/>
      <c r="HKN61" s="1459"/>
      <c r="HKO61" s="1459"/>
      <c r="HKP61" s="1460"/>
      <c r="HKQ61" s="1461"/>
      <c r="HKR61" s="1462"/>
      <c r="HKS61" s="1463"/>
      <c r="HKT61" s="1459"/>
      <c r="HKU61" s="1459"/>
      <c r="HKV61" s="1460"/>
      <c r="HKW61" s="1461"/>
      <c r="HKX61" s="1462"/>
      <c r="HKY61" s="1463"/>
      <c r="HKZ61" s="1459"/>
      <c r="HLA61" s="1459"/>
      <c r="HLB61" s="1460"/>
      <c r="HLC61" s="1461"/>
      <c r="HLD61" s="1462"/>
      <c r="HLE61" s="1463"/>
      <c r="HLF61" s="1459"/>
      <c r="HLG61" s="1459"/>
      <c r="HLH61" s="1460"/>
      <c r="HLI61" s="1461"/>
      <c r="HLJ61" s="1462"/>
      <c r="HLK61" s="1463"/>
      <c r="HLL61" s="1459"/>
      <c r="HLM61" s="1459"/>
      <c r="HLN61" s="1460"/>
      <c r="HLO61" s="1461"/>
      <c r="HLP61" s="1462"/>
      <c r="HLQ61" s="1463"/>
      <c r="HLR61" s="1459"/>
      <c r="HLS61" s="1459"/>
      <c r="HLT61" s="1460"/>
      <c r="HLU61" s="1461"/>
      <c r="HLV61" s="1462"/>
      <c r="HLW61" s="1463"/>
      <c r="HLX61" s="1459"/>
      <c r="HLY61" s="1459"/>
      <c r="HLZ61" s="1460"/>
      <c r="HMA61" s="1461"/>
      <c r="HMB61" s="1462"/>
      <c r="HMC61" s="1463"/>
      <c r="HMD61" s="1459"/>
      <c r="HME61" s="1459"/>
      <c r="HMF61" s="1460"/>
      <c r="HMG61" s="1461"/>
      <c r="HMH61" s="1462"/>
      <c r="HMI61" s="1463"/>
      <c r="HMJ61" s="1459"/>
      <c r="HMK61" s="1459"/>
      <c r="HML61" s="1460"/>
      <c r="HMM61" s="1461"/>
      <c r="HMN61" s="1462"/>
      <c r="HMO61" s="1463"/>
      <c r="HMP61" s="1459"/>
      <c r="HMQ61" s="1459"/>
      <c r="HMR61" s="1460"/>
      <c r="HMS61" s="1461"/>
      <c r="HMT61" s="1462"/>
      <c r="HMU61" s="1463"/>
      <c r="HMV61" s="1459"/>
      <c r="HMW61" s="1459"/>
      <c r="HMX61" s="1460"/>
      <c r="HMY61" s="1461"/>
      <c r="HMZ61" s="1462"/>
      <c r="HNA61" s="1463"/>
      <c r="HNB61" s="1459"/>
      <c r="HNC61" s="1459"/>
      <c r="HND61" s="1460"/>
      <c r="HNE61" s="1461"/>
      <c r="HNF61" s="1462"/>
      <c r="HNG61" s="1463"/>
      <c r="HNH61" s="1459"/>
      <c r="HNI61" s="1459"/>
      <c r="HNJ61" s="1460"/>
      <c r="HNK61" s="1461"/>
      <c r="HNL61" s="1462"/>
      <c r="HNM61" s="1463"/>
      <c r="HNN61" s="1459"/>
      <c r="HNO61" s="1459"/>
      <c r="HNP61" s="1460"/>
      <c r="HNQ61" s="1461"/>
      <c r="HNR61" s="1462"/>
      <c r="HNS61" s="1463"/>
      <c r="HNT61" s="1459"/>
      <c r="HNU61" s="1459"/>
      <c r="HNV61" s="1460"/>
      <c r="HNW61" s="1461"/>
      <c r="HNX61" s="1462"/>
      <c r="HNY61" s="1463"/>
      <c r="HNZ61" s="1459"/>
      <c r="HOA61" s="1459"/>
      <c r="HOB61" s="1460"/>
      <c r="HOC61" s="1461"/>
      <c r="HOD61" s="1462"/>
      <c r="HOE61" s="1463"/>
      <c r="HOF61" s="1459"/>
      <c r="HOG61" s="1459"/>
      <c r="HOH61" s="1460"/>
      <c r="HOI61" s="1461"/>
      <c r="HOJ61" s="1462"/>
      <c r="HOK61" s="1463"/>
      <c r="HOL61" s="1459"/>
      <c r="HOM61" s="1459"/>
      <c r="HON61" s="1460"/>
      <c r="HOO61" s="1461"/>
      <c r="HOP61" s="1462"/>
      <c r="HOQ61" s="1463"/>
      <c r="HOR61" s="1459"/>
      <c r="HOS61" s="1459"/>
      <c r="HOT61" s="1460"/>
      <c r="HOU61" s="1461"/>
      <c r="HOV61" s="1462"/>
      <c r="HOW61" s="1463"/>
      <c r="HOX61" s="1459"/>
      <c r="HOY61" s="1459"/>
      <c r="HOZ61" s="1460"/>
      <c r="HPA61" s="1461"/>
      <c r="HPB61" s="1462"/>
      <c r="HPC61" s="1463"/>
      <c r="HPD61" s="1459"/>
      <c r="HPE61" s="1459"/>
      <c r="HPF61" s="1460"/>
      <c r="HPG61" s="1461"/>
      <c r="HPH61" s="1462"/>
      <c r="HPI61" s="1463"/>
      <c r="HPJ61" s="1459"/>
      <c r="HPK61" s="1459"/>
      <c r="HPL61" s="1460"/>
      <c r="HPM61" s="1461"/>
      <c r="HPN61" s="1462"/>
      <c r="HPO61" s="1463"/>
      <c r="HPP61" s="1459"/>
      <c r="HPQ61" s="1459"/>
      <c r="HPR61" s="1460"/>
      <c r="HPS61" s="1461"/>
      <c r="HPT61" s="1462"/>
      <c r="HPU61" s="1463"/>
      <c r="HPV61" s="1459"/>
      <c r="HPW61" s="1459"/>
      <c r="HPX61" s="1460"/>
      <c r="HPY61" s="1461"/>
      <c r="HPZ61" s="1462"/>
      <c r="HQA61" s="1463"/>
      <c r="HQB61" s="1459"/>
      <c r="HQC61" s="1459"/>
      <c r="HQD61" s="1460"/>
      <c r="HQE61" s="1461"/>
      <c r="HQF61" s="1462"/>
      <c r="HQG61" s="1463"/>
      <c r="HQH61" s="1459"/>
      <c r="HQI61" s="1459"/>
      <c r="HQJ61" s="1460"/>
      <c r="HQK61" s="1461"/>
      <c r="HQL61" s="1462"/>
      <c r="HQM61" s="1463"/>
      <c r="HQN61" s="1459"/>
      <c r="HQO61" s="1459"/>
      <c r="HQP61" s="1460"/>
      <c r="HQQ61" s="1461"/>
      <c r="HQR61" s="1462"/>
      <c r="HQS61" s="1463"/>
      <c r="HQT61" s="1459"/>
      <c r="HQU61" s="1459"/>
      <c r="HQV61" s="1460"/>
      <c r="HQW61" s="1461"/>
      <c r="HQX61" s="1462"/>
      <c r="HQY61" s="1463"/>
      <c r="HQZ61" s="1459"/>
      <c r="HRA61" s="1459"/>
      <c r="HRB61" s="1460"/>
      <c r="HRC61" s="1461"/>
      <c r="HRD61" s="1462"/>
      <c r="HRE61" s="1463"/>
      <c r="HRF61" s="1459"/>
      <c r="HRG61" s="1459"/>
      <c r="HRH61" s="1460"/>
      <c r="HRI61" s="1461"/>
      <c r="HRJ61" s="1462"/>
      <c r="HRK61" s="1463"/>
      <c r="HRL61" s="1459"/>
      <c r="HRM61" s="1459"/>
      <c r="HRN61" s="1460"/>
      <c r="HRO61" s="1461"/>
      <c r="HRP61" s="1462"/>
      <c r="HRQ61" s="1463"/>
      <c r="HRR61" s="1459"/>
      <c r="HRS61" s="1459"/>
      <c r="HRT61" s="1460"/>
      <c r="HRU61" s="1461"/>
      <c r="HRV61" s="1462"/>
      <c r="HRW61" s="1463"/>
      <c r="HRX61" s="1459"/>
      <c r="HRY61" s="1459"/>
      <c r="HRZ61" s="1460"/>
      <c r="HSA61" s="1461"/>
      <c r="HSB61" s="1462"/>
      <c r="HSC61" s="1463"/>
      <c r="HSD61" s="1459"/>
      <c r="HSE61" s="1459"/>
      <c r="HSF61" s="1460"/>
      <c r="HSG61" s="1461"/>
      <c r="HSH61" s="1462"/>
      <c r="HSI61" s="1463"/>
      <c r="HSJ61" s="1459"/>
      <c r="HSK61" s="1459"/>
      <c r="HSL61" s="1460"/>
      <c r="HSM61" s="1461"/>
      <c r="HSN61" s="1462"/>
      <c r="HSO61" s="1463"/>
      <c r="HSP61" s="1459"/>
      <c r="HSQ61" s="1459"/>
      <c r="HSR61" s="1460"/>
      <c r="HSS61" s="1461"/>
      <c r="HST61" s="1462"/>
      <c r="HSU61" s="1463"/>
      <c r="HSV61" s="1459"/>
      <c r="HSW61" s="1459"/>
      <c r="HSX61" s="1460"/>
      <c r="HSY61" s="1461"/>
      <c r="HSZ61" s="1462"/>
      <c r="HTA61" s="1463"/>
      <c r="HTB61" s="1459"/>
      <c r="HTC61" s="1459"/>
      <c r="HTD61" s="1460"/>
      <c r="HTE61" s="1461"/>
      <c r="HTF61" s="1462"/>
      <c r="HTG61" s="1463"/>
      <c r="HTH61" s="1459"/>
      <c r="HTI61" s="1459"/>
      <c r="HTJ61" s="1460"/>
      <c r="HTK61" s="1461"/>
      <c r="HTL61" s="1462"/>
      <c r="HTM61" s="1463"/>
      <c r="HTN61" s="1459"/>
      <c r="HTO61" s="1459"/>
      <c r="HTP61" s="1460"/>
      <c r="HTQ61" s="1461"/>
      <c r="HTR61" s="1462"/>
      <c r="HTS61" s="1463"/>
      <c r="HTT61" s="1459"/>
      <c r="HTU61" s="1459"/>
      <c r="HTV61" s="1460"/>
      <c r="HTW61" s="1461"/>
      <c r="HTX61" s="1462"/>
      <c r="HTY61" s="1463"/>
      <c r="HTZ61" s="1459"/>
      <c r="HUA61" s="1459"/>
      <c r="HUB61" s="1460"/>
      <c r="HUC61" s="1461"/>
      <c r="HUD61" s="1462"/>
      <c r="HUE61" s="1463"/>
      <c r="HUF61" s="1459"/>
      <c r="HUG61" s="1459"/>
      <c r="HUH61" s="1460"/>
      <c r="HUI61" s="1461"/>
      <c r="HUJ61" s="1462"/>
      <c r="HUK61" s="1463"/>
      <c r="HUL61" s="1459"/>
      <c r="HUM61" s="1459"/>
      <c r="HUN61" s="1460"/>
      <c r="HUO61" s="1461"/>
      <c r="HUP61" s="1462"/>
      <c r="HUQ61" s="1463"/>
      <c r="HUR61" s="1459"/>
      <c r="HUS61" s="1459"/>
      <c r="HUT61" s="1460"/>
      <c r="HUU61" s="1461"/>
      <c r="HUV61" s="1462"/>
      <c r="HUW61" s="1463"/>
      <c r="HUX61" s="1459"/>
      <c r="HUY61" s="1459"/>
      <c r="HUZ61" s="1460"/>
      <c r="HVA61" s="1461"/>
      <c r="HVB61" s="1462"/>
      <c r="HVC61" s="1463"/>
      <c r="HVD61" s="1459"/>
      <c r="HVE61" s="1459"/>
      <c r="HVF61" s="1460"/>
      <c r="HVG61" s="1461"/>
      <c r="HVH61" s="1462"/>
      <c r="HVI61" s="1463"/>
      <c r="HVJ61" s="1459"/>
      <c r="HVK61" s="1459"/>
      <c r="HVL61" s="1460"/>
      <c r="HVM61" s="1461"/>
      <c r="HVN61" s="1462"/>
      <c r="HVO61" s="1463"/>
      <c r="HVP61" s="1459"/>
      <c r="HVQ61" s="1459"/>
      <c r="HVR61" s="1460"/>
      <c r="HVS61" s="1461"/>
      <c r="HVT61" s="1462"/>
      <c r="HVU61" s="1463"/>
      <c r="HVV61" s="1459"/>
      <c r="HVW61" s="1459"/>
      <c r="HVX61" s="1460"/>
      <c r="HVY61" s="1461"/>
      <c r="HVZ61" s="1462"/>
      <c r="HWA61" s="1463"/>
      <c r="HWB61" s="1459"/>
      <c r="HWC61" s="1459"/>
      <c r="HWD61" s="1460"/>
      <c r="HWE61" s="1461"/>
      <c r="HWF61" s="1462"/>
      <c r="HWG61" s="1463"/>
      <c r="HWH61" s="1459"/>
      <c r="HWI61" s="1459"/>
      <c r="HWJ61" s="1460"/>
      <c r="HWK61" s="1461"/>
      <c r="HWL61" s="1462"/>
      <c r="HWM61" s="1463"/>
      <c r="HWN61" s="1459"/>
      <c r="HWO61" s="1459"/>
      <c r="HWP61" s="1460"/>
      <c r="HWQ61" s="1461"/>
      <c r="HWR61" s="1462"/>
      <c r="HWS61" s="1463"/>
      <c r="HWT61" s="1459"/>
      <c r="HWU61" s="1459"/>
      <c r="HWV61" s="1460"/>
      <c r="HWW61" s="1461"/>
      <c r="HWX61" s="1462"/>
      <c r="HWY61" s="1463"/>
      <c r="HWZ61" s="1459"/>
      <c r="HXA61" s="1459"/>
      <c r="HXB61" s="1460"/>
      <c r="HXC61" s="1461"/>
      <c r="HXD61" s="1462"/>
      <c r="HXE61" s="1463"/>
      <c r="HXF61" s="1459"/>
      <c r="HXG61" s="1459"/>
      <c r="HXH61" s="1460"/>
      <c r="HXI61" s="1461"/>
      <c r="HXJ61" s="1462"/>
      <c r="HXK61" s="1463"/>
      <c r="HXL61" s="1459"/>
      <c r="HXM61" s="1459"/>
      <c r="HXN61" s="1460"/>
      <c r="HXO61" s="1461"/>
      <c r="HXP61" s="1462"/>
      <c r="HXQ61" s="1463"/>
      <c r="HXR61" s="1459"/>
      <c r="HXS61" s="1459"/>
      <c r="HXT61" s="1460"/>
      <c r="HXU61" s="1461"/>
      <c r="HXV61" s="1462"/>
      <c r="HXW61" s="1463"/>
      <c r="HXX61" s="1459"/>
      <c r="HXY61" s="1459"/>
      <c r="HXZ61" s="1460"/>
      <c r="HYA61" s="1461"/>
      <c r="HYB61" s="1462"/>
      <c r="HYC61" s="1463"/>
      <c r="HYD61" s="1459"/>
      <c r="HYE61" s="1459"/>
      <c r="HYF61" s="1460"/>
      <c r="HYG61" s="1461"/>
      <c r="HYH61" s="1462"/>
      <c r="HYI61" s="1463"/>
      <c r="HYJ61" s="1459"/>
      <c r="HYK61" s="1459"/>
      <c r="HYL61" s="1460"/>
      <c r="HYM61" s="1461"/>
      <c r="HYN61" s="1462"/>
      <c r="HYO61" s="1463"/>
      <c r="HYP61" s="1459"/>
      <c r="HYQ61" s="1459"/>
      <c r="HYR61" s="1460"/>
      <c r="HYS61" s="1461"/>
      <c r="HYT61" s="1462"/>
      <c r="HYU61" s="1463"/>
      <c r="HYV61" s="1459"/>
      <c r="HYW61" s="1459"/>
      <c r="HYX61" s="1460"/>
      <c r="HYY61" s="1461"/>
      <c r="HYZ61" s="1462"/>
      <c r="HZA61" s="1463"/>
      <c r="HZB61" s="1459"/>
      <c r="HZC61" s="1459"/>
      <c r="HZD61" s="1460"/>
      <c r="HZE61" s="1461"/>
      <c r="HZF61" s="1462"/>
      <c r="HZG61" s="1463"/>
      <c r="HZH61" s="1459"/>
      <c r="HZI61" s="1459"/>
      <c r="HZJ61" s="1460"/>
      <c r="HZK61" s="1461"/>
      <c r="HZL61" s="1462"/>
      <c r="HZM61" s="1463"/>
      <c r="HZN61" s="1459"/>
      <c r="HZO61" s="1459"/>
      <c r="HZP61" s="1460"/>
      <c r="HZQ61" s="1461"/>
      <c r="HZR61" s="1462"/>
      <c r="HZS61" s="1463"/>
      <c r="HZT61" s="1459"/>
      <c r="HZU61" s="1459"/>
      <c r="HZV61" s="1460"/>
      <c r="HZW61" s="1461"/>
      <c r="HZX61" s="1462"/>
      <c r="HZY61" s="1463"/>
      <c r="HZZ61" s="1459"/>
      <c r="IAA61" s="1459"/>
      <c r="IAB61" s="1460"/>
      <c r="IAC61" s="1461"/>
      <c r="IAD61" s="1462"/>
      <c r="IAE61" s="1463"/>
      <c r="IAF61" s="1459"/>
      <c r="IAG61" s="1459"/>
      <c r="IAH61" s="1460"/>
      <c r="IAI61" s="1461"/>
      <c r="IAJ61" s="1462"/>
      <c r="IAK61" s="1463"/>
      <c r="IAL61" s="1459"/>
      <c r="IAM61" s="1459"/>
      <c r="IAN61" s="1460"/>
      <c r="IAO61" s="1461"/>
      <c r="IAP61" s="1462"/>
      <c r="IAQ61" s="1463"/>
      <c r="IAR61" s="1459"/>
      <c r="IAS61" s="1459"/>
      <c r="IAT61" s="1460"/>
      <c r="IAU61" s="1461"/>
      <c r="IAV61" s="1462"/>
      <c r="IAW61" s="1463"/>
      <c r="IAX61" s="1459"/>
      <c r="IAY61" s="1459"/>
      <c r="IAZ61" s="1460"/>
      <c r="IBA61" s="1461"/>
      <c r="IBB61" s="1462"/>
      <c r="IBC61" s="1463"/>
      <c r="IBD61" s="1459"/>
      <c r="IBE61" s="1459"/>
      <c r="IBF61" s="1460"/>
      <c r="IBG61" s="1461"/>
      <c r="IBH61" s="1462"/>
      <c r="IBI61" s="1463"/>
      <c r="IBJ61" s="1459"/>
      <c r="IBK61" s="1459"/>
      <c r="IBL61" s="1460"/>
      <c r="IBM61" s="1461"/>
      <c r="IBN61" s="1462"/>
      <c r="IBO61" s="1463"/>
      <c r="IBP61" s="1459"/>
      <c r="IBQ61" s="1459"/>
      <c r="IBR61" s="1460"/>
      <c r="IBS61" s="1461"/>
      <c r="IBT61" s="1462"/>
      <c r="IBU61" s="1463"/>
      <c r="IBV61" s="1459"/>
      <c r="IBW61" s="1459"/>
      <c r="IBX61" s="1460"/>
      <c r="IBY61" s="1461"/>
      <c r="IBZ61" s="1462"/>
      <c r="ICA61" s="1463"/>
      <c r="ICB61" s="1459"/>
      <c r="ICC61" s="1459"/>
      <c r="ICD61" s="1460"/>
      <c r="ICE61" s="1461"/>
      <c r="ICF61" s="1462"/>
      <c r="ICG61" s="1463"/>
      <c r="ICH61" s="1459"/>
      <c r="ICI61" s="1459"/>
      <c r="ICJ61" s="1460"/>
      <c r="ICK61" s="1461"/>
      <c r="ICL61" s="1462"/>
      <c r="ICM61" s="1463"/>
      <c r="ICN61" s="1459"/>
      <c r="ICO61" s="1459"/>
      <c r="ICP61" s="1460"/>
      <c r="ICQ61" s="1461"/>
      <c r="ICR61" s="1462"/>
      <c r="ICS61" s="1463"/>
      <c r="ICT61" s="1459"/>
      <c r="ICU61" s="1459"/>
      <c r="ICV61" s="1460"/>
      <c r="ICW61" s="1461"/>
      <c r="ICX61" s="1462"/>
      <c r="ICY61" s="1463"/>
      <c r="ICZ61" s="1459"/>
      <c r="IDA61" s="1459"/>
      <c r="IDB61" s="1460"/>
      <c r="IDC61" s="1461"/>
      <c r="IDD61" s="1462"/>
      <c r="IDE61" s="1463"/>
      <c r="IDF61" s="1459"/>
      <c r="IDG61" s="1459"/>
      <c r="IDH61" s="1460"/>
      <c r="IDI61" s="1461"/>
      <c r="IDJ61" s="1462"/>
      <c r="IDK61" s="1463"/>
      <c r="IDL61" s="1459"/>
      <c r="IDM61" s="1459"/>
      <c r="IDN61" s="1460"/>
      <c r="IDO61" s="1461"/>
      <c r="IDP61" s="1462"/>
      <c r="IDQ61" s="1463"/>
      <c r="IDR61" s="1459"/>
      <c r="IDS61" s="1459"/>
      <c r="IDT61" s="1460"/>
      <c r="IDU61" s="1461"/>
      <c r="IDV61" s="1462"/>
      <c r="IDW61" s="1463"/>
      <c r="IDX61" s="1459"/>
      <c r="IDY61" s="1459"/>
      <c r="IDZ61" s="1460"/>
      <c r="IEA61" s="1461"/>
      <c r="IEB61" s="1462"/>
      <c r="IEC61" s="1463"/>
      <c r="IED61" s="1459"/>
      <c r="IEE61" s="1459"/>
      <c r="IEF61" s="1460"/>
      <c r="IEG61" s="1461"/>
      <c r="IEH61" s="1462"/>
      <c r="IEI61" s="1463"/>
      <c r="IEJ61" s="1459"/>
      <c r="IEK61" s="1459"/>
      <c r="IEL61" s="1460"/>
      <c r="IEM61" s="1461"/>
      <c r="IEN61" s="1462"/>
      <c r="IEO61" s="1463"/>
      <c r="IEP61" s="1459"/>
      <c r="IEQ61" s="1459"/>
      <c r="IER61" s="1460"/>
      <c r="IES61" s="1461"/>
      <c r="IET61" s="1462"/>
      <c r="IEU61" s="1463"/>
      <c r="IEV61" s="1459"/>
      <c r="IEW61" s="1459"/>
      <c r="IEX61" s="1460"/>
      <c r="IEY61" s="1461"/>
      <c r="IEZ61" s="1462"/>
      <c r="IFA61" s="1463"/>
      <c r="IFB61" s="1459"/>
      <c r="IFC61" s="1459"/>
      <c r="IFD61" s="1460"/>
      <c r="IFE61" s="1461"/>
      <c r="IFF61" s="1462"/>
      <c r="IFG61" s="1463"/>
      <c r="IFH61" s="1459"/>
      <c r="IFI61" s="1459"/>
      <c r="IFJ61" s="1460"/>
      <c r="IFK61" s="1461"/>
      <c r="IFL61" s="1462"/>
      <c r="IFM61" s="1463"/>
      <c r="IFN61" s="1459"/>
      <c r="IFO61" s="1459"/>
      <c r="IFP61" s="1460"/>
      <c r="IFQ61" s="1461"/>
      <c r="IFR61" s="1462"/>
      <c r="IFS61" s="1463"/>
      <c r="IFT61" s="1459"/>
      <c r="IFU61" s="1459"/>
      <c r="IFV61" s="1460"/>
      <c r="IFW61" s="1461"/>
      <c r="IFX61" s="1462"/>
      <c r="IFY61" s="1463"/>
      <c r="IFZ61" s="1459"/>
      <c r="IGA61" s="1459"/>
      <c r="IGB61" s="1460"/>
      <c r="IGC61" s="1461"/>
      <c r="IGD61" s="1462"/>
      <c r="IGE61" s="1463"/>
      <c r="IGF61" s="1459"/>
      <c r="IGG61" s="1459"/>
      <c r="IGH61" s="1460"/>
      <c r="IGI61" s="1461"/>
      <c r="IGJ61" s="1462"/>
      <c r="IGK61" s="1463"/>
      <c r="IGL61" s="1459"/>
      <c r="IGM61" s="1459"/>
      <c r="IGN61" s="1460"/>
      <c r="IGO61" s="1461"/>
      <c r="IGP61" s="1462"/>
      <c r="IGQ61" s="1463"/>
      <c r="IGR61" s="1459"/>
      <c r="IGS61" s="1459"/>
      <c r="IGT61" s="1460"/>
      <c r="IGU61" s="1461"/>
      <c r="IGV61" s="1462"/>
      <c r="IGW61" s="1463"/>
      <c r="IGX61" s="1459"/>
      <c r="IGY61" s="1459"/>
      <c r="IGZ61" s="1460"/>
      <c r="IHA61" s="1461"/>
      <c r="IHB61" s="1462"/>
      <c r="IHC61" s="1463"/>
      <c r="IHD61" s="1459"/>
      <c r="IHE61" s="1459"/>
      <c r="IHF61" s="1460"/>
      <c r="IHG61" s="1461"/>
      <c r="IHH61" s="1462"/>
      <c r="IHI61" s="1463"/>
      <c r="IHJ61" s="1459"/>
      <c r="IHK61" s="1459"/>
      <c r="IHL61" s="1460"/>
      <c r="IHM61" s="1461"/>
      <c r="IHN61" s="1462"/>
      <c r="IHO61" s="1463"/>
      <c r="IHP61" s="1459"/>
      <c r="IHQ61" s="1459"/>
      <c r="IHR61" s="1460"/>
      <c r="IHS61" s="1461"/>
      <c r="IHT61" s="1462"/>
      <c r="IHU61" s="1463"/>
      <c r="IHV61" s="1459"/>
      <c r="IHW61" s="1459"/>
      <c r="IHX61" s="1460"/>
      <c r="IHY61" s="1461"/>
      <c r="IHZ61" s="1462"/>
      <c r="IIA61" s="1463"/>
      <c r="IIB61" s="1459"/>
      <c r="IIC61" s="1459"/>
      <c r="IID61" s="1460"/>
      <c r="IIE61" s="1461"/>
      <c r="IIF61" s="1462"/>
      <c r="IIG61" s="1463"/>
      <c r="IIH61" s="1459"/>
      <c r="III61" s="1459"/>
      <c r="IIJ61" s="1460"/>
      <c r="IIK61" s="1461"/>
      <c r="IIL61" s="1462"/>
      <c r="IIM61" s="1463"/>
      <c r="IIN61" s="1459"/>
      <c r="IIO61" s="1459"/>
      <c r="IIP61" s="1460"/>
      <c r="IIQ61" s="1461"/>
      <c r="IIR61" s="1462"/>
      <c r="IIS61" s="1463"/>
      <c r="IIT61" s="1459"/>
      <c r="IIU61" s="1459"/>
      <c r="IIV61" s="1460"/>
      <c r="IIW61" s="1461"/>
      <c r="IIX61" s="1462"/>
      <c r="IIY61" s="1463"/>
      <c r="IIZ61" s="1459"/>
      <c r="IJA61" s="1459"/>
      <c r="IJB61" s="1460"/>
      <c r="IJC61" s="1461"/>
      <c r="IJD61" s="1462"/>
      <c r="IJE61" s="1463"/>
      <c r="IJF61" s="1459"/>
      <c r="IJG61" s="1459"/>
      <c r="IJH61" s="1460"/>
      <c r="IJI61" s="1461"/>
      <c r="IJJ61" s="1462"/>
      <c r="IJK61" s="1463"/>
      <c r="IJL61" s="1459"/>
      <c r="IJM61" s="1459"/>
      <c r="IJN61" s="1460"/>
      <c r="IJO61" s="1461"/>
      <c r="IJP61" s="1462"/>
      <c r="IJQ61" s="1463"/>
      <c r="IJR61" s="1459"/>
      <c r="IJS61" s="1459"/>
      <c r="IJT61" s="1460"/>
      <c r="IJU61" s="1461"/>
      <c r="IJV61" s="1462"/>
      <c r="IJW61" s="1463"/>
      <c r="IJX61" s="1459"/>
      <c r="IJY61" s="1459"/>
      <c r="IJZ61" s="1460"/>
      <c r="IKA61" s="1461"/>
      <c r="IKB61" s="1462"/>
      <c r="IKC61" s="1463"/>
      <c r="IKD61" s="1459"/>
      <c r="IKE61" s="1459"/>
      <c r="IKF61" s="1460"/>
      <c r="IKG61" s="1461"/>
      <c r="IKH61" s="1462"/>
      <c r="IKI61" s="1463"/>
      <c r="IKJ61" s="1459"/>
      <c r="IKK61" s="1459"/>
      <c r="IKL61" s="1460"/>
      <c r="IKM61" s="1461"/>
      <c r="IKN61" s="1462"/>
      <c r="IKO61" s="1463"/>
      <c r="IKP61" s="1459"/>
      <c r="IKQ61" s="1459"/>
      <c r="IKR61" s="1460"/>
      <c r="IKS61" s="1461"/>
      <c r="IKT61" s="1462"/>
      <c r="IKU61" s="1463"/>
      <c r="IKV61" s="1459"/>
      <c r="IKW61" s="1459"/>
      <c r="IKX61" s="1460"/>
      <c r="IKY61" s="1461"/>
      <c r="IKZ61" s="1462"/>
      <c r="ILA61" s="1463"/>
      <c r="ILB61" s="1459"/>
      <c r="ILC61" s="1459"/>
      <c r="ILD61" s="1460"/>
      <c r="ILE61" s="1461"/>
      <c r="ILF61" s="1462"/>
      <c r="ILG61" s="1463"/>
      <c r="ILH61" s="1459"/>
      <c r="ILI61" s="1459"/>
      <c r="ILJ61" s="1460"/>
      <c r="ILK61" s="1461"/>
      <c r="ILL61" s="1462"/>
      <c r="ILM61" s="1463"/>
      <c r="ILN61" s="1459"/>
      <c r="ILO61" s="1459"/>
      <c r="ILP61" s="1460"/>
      <c r="ILQ61" s="1461"/>
      <c r="ILR61" s="1462"/>
      <c r="ILS61" s="1463"/>
      <c r="ILT61" s="1459"/>
      <c r="ILU61" s="1459"/>
      <c r="ILV61" s="1460"/>
      <c r="ILW61" s="1461"/>
      <c r="ILX61" s="1462"/>
      <c r="ILY61" s="1463"/>
      <c r="ILZ61" s="1459"/>
      <c r="IMA61" s="1459"/>
      <c r="IMB61" s="1460"/>
      <c r="IMC61" s="1461"/>
      <c r="IMD61" s="1462"/>
      <c r="IME61" s="1463"/>
      <c r="IMF61" s="1459"/>
      <c r="IMG61" s="1459"/>
      <c r="IMH61" s="1460"/>
      <c r="IMI61" s="1461"/>
      <c r="IMJ61" s="1462"/>
      <c r="IMK61" s="1463"/>
      <c r="IML61" s="1459"/>
      <c r="IMM61" s="1459"/>
      <c r="IMN61" s="1460"/>
      <c r="IMO61" s="1461"/>
      <c r="IMP61" s="1462"/>
      <c r="IMQ61" s="1463"/>
      <c r="IMR61" s="1459"/>
      <c r="IMS61" s="1459"/>
      <c r="IMT61" s="1460"/>
      <c r="IMU61" s="1461"/>
      <c r="IMV61" s="1462"/>
      <c r="IMW61" s="1463"/>
      <c r="IMX61" s="1459"/>
      <c r="IMY61" s="1459"/>
      <c r="IMZ61" s="1460"/>
      <c r="INA61" s="1461"/>
      <c r="INB61" s="1462"/>
      <c r="INC61" s="1463"/>
      <c r="IND61" s="1459"/>
      <c r="INE61" s="1459"/>
      <c r="INF61" s="1460"/>
      <c r="ING61" s="1461"/>
      <c r="INH61" s="1462"/>
      <c r="INI61" s="1463"/>
      <c r="INJ61" s="1459"/>
      <c r="INK61" s="1459"/>
      <c r="INL61" s="1460"/>
      <c r="INM61" s="1461"/>
      <c r="INN61" s="1462"/>
      <c r="INO61" s="1463"/>
      <c r="INP61" s="1459"/>
      <c r="INQ61" s="1459"/>
      <c r="INR61" s="1460"/>
      <c r="INS61" s="1461"/>
      <c r="INT61" s="1462"/>
      <c r="INU61" s="1463"/>
      <c r="INV61" s="1459"/>
      <c r="INW61" s="1459"/>
      <c r="INX61" s="1460"/>
      <c r="INY61" s="1461"/>
      <c r="INZ61" s="1462"/>
      <c r="IOA61" s="1463"/>
      <c r="IOB61" s="1459"/>
      <c r="IOC61" s="1459"/>
      <c r="IOD61" s="1460"/>
      <c r="IOE61" s="1461"/>
      <c r="IOF61" s="1462"/>
      <c r="IOG61" s="1463"/>
      <c r="IOH61" s="1459"/>
      <c r="IOI61" s="1459"/>
      <c r="IOJ61" s="1460"/>
      <c r="IOK61" s="1461"/>
      <c r="IOL61" s="1462"/>
      <c r="IOM61" s="1463"/>
      <c r="ION61" s="1459"/>
      <c r="IOO61" s="1459"/>
      <c r="IOP61" s="1460"/>
      <c r="IOQ61" s="1461"/>
      <c r="IOR61" s="1462"/>
      <c r="IOS61" s="1463"/>
      <c r="IOT61" s="1459"/>
      <c r="IOU61" s="1459"/>
      <c r="IOV61" s="1460"/>
      <c r="IOW61" s="1461"/>
      <c r="IOX61" s="1462"/>
      <c r="IOY61" s="1463"/>
      <c r="IOZ61" s="1459"/>
      <c r="IPA61" s="1459"/>
      <c r="IPB61" s="1460"/>
      <c r="IPC61" s="1461"/>
      <c r="IPD61" s="1462"/>
      <c r="IPE61" s="1463"/>
      <c r="IPF61" s="1459"/>
      <c r="IPG61" s="1459"/>
      <c r="IPH61" s="1460"/>
      <c r="IPI61" s="1461"/>
      <c r="IPJ61" s="1462"/>
      <c r="IPK61" s="1463"/>
      <c r="IPL61" s="1459"/>
      <c r="IPM61" s="1459"/>
      <c r="IPN61" s="1460"/>
      <c r="IPO61" s="1461"/>
      <c r="IPP61" s="1462"/>
      <c r="IPQ61" s="1463"/>
      <c r="IPR61" s="1459"/>
      <c r="IPS61" s="1459"/>
      <c r="IPT61" s="1460"/>
      <c r="IPU61" s="1461"/>
      <c r="IPV61" s="1462"/>
      <c r="IPW61" s="1463"/>
      <c r="IPX61" s="1459"/>
      <c r="IPY61" s="1459"/>
      <c r="IPZ61" s="1460"/>
      <c r="IQA61" s="1461"/>
      <c r="IQB61" s="1462"/>
      <c r="IQC61" s="1463"/>
      <c r="IQD61" s="1459"/>
      <c r="IQE61" s="1459"/>
      <c r="IQF61" s="1460"/>
      <c r="IQG61" s="1461"/>
      <c r="IQH61" s="1462"/>
      <c r="IQI61" s="1463"/>
      <c r="IQJ61" s="1459"/>
      <c r="IQK61" s="1459"/>
      <c r="IQL61" s="1460"/>
      <c r="IQM61" s="1461"/>
      <c r="IQN61" s="1462"/>
      <c r="IQO61" s="1463"/>
      <c r="IQP61" s="1459"/>
      <c r="IQQ61" s="1459"/>
      <c r="IQR61" s="1460"/>
      <c r="IQS61" s="1461"/>
      <c r="IQT61" s="1462"/>
      <c r="IQU61" s="1463"/>
      <c r="IQV61" s="1459"/>
      <c r="IQW61" s="1459"/>
      <c r="IQX61" s="1460"/>
      <c r="IQY61" s="1461"/>
      <c r="IQZ61" s="1462"/>
      <c r="IRA61" s="1463"/>
      <c r="IRB61" s="1459"/>
      <c r="IRC61" s="1459"/>
      <c r="IRD61" s="1460"/>
      <c r="IRE61" s="1461"/>
      <c r="IRF61" s="1462"/>
      <c r="IRG61" s="1463"/>
      <c r="IRH61" s="1459"/>
      <c r="IRI61" s="1459"/>
      <c r="IRJ61" s="1460"/>
      <c r="IRK61" s="1461"/>
      <c r="IRL61" s="1462"/>
      <c r="IRM61" s="1463"/>
      <c r="IRN61" s="1459"/>
      <c r="IRO61" s="1459"/>
      <c r="IRP61" s="1460"/>
      <c r="IRQ61" s="1461"/>
      <c r="IRR61" s="1462"/>
      <c r="IRS61" s="1463"/>
      <c r="IRT61" s="1459"/>
      <c r="IRU61" s="1459"/>
      <c r="IRV61" s="1460"/>
      <c r="IRW61" s="1461"/>
      <c r="IRX61" s="1462"/>
      <c r="IRY61" s="1463"/>
      <c r="IRZ61" s="1459"/>
      <c r="ISA61" s="1459"/>
      <c r="ISB61" s="1460"/>
      <c r="ISC61" s="1461"/>
      <c r="ISD61" s="1462"/>
      <c r="ISE61" s="1463"/>
      <c r="ISF61" s="1459"/>
      <c r="ISG61" s="1459"/>
      <c r="ISH61" s="1460"/>
      <c r="ISI61" s="1461"/>
      <c r="ISJ61" s="1462"/>
      <c r="ISK61" s="1463"/>
      <c r="ISL61" s="1459"/>
      <c r="ISM61" s="1459"/>
      <c r="ISN61" s="1460"/>
      <c r="ISO61" s="1461"/>
      <c r="ISP61" s="1462"/>
      <c r="ISQ61" s="1463"/>
      <c r="ISR61" s="1459"/>
      <c r="ISS61" s="1459"/>
      <c r="IST61" s="1460"/>
      <c r="ISU61" s="1461"/>
      <c r="ISV61" s="1462"/>
      <c r="ISW61" s="1463"/>
      <c r="ISX61" s="1459"/>
      <c r="ISY61" s="1459"/>
      <c r="ISZ61" s="1460"/>
      <c r="ITA61" s="1461"/>
      <c r="ITB61" s="1462"/>
      <c r="ITC61" s="1463"/>
      <c r="ITD61" s="1459"/>
      <c r="ITE61" s="1459"/>
      <c r="ITF61" s="1460"/>
      <c r="ITG61" s="1461"/>
      <c r="ITH61" s="1462"/>
      <c r="ITI61" s="1463"/>
      <c r="ITJ61" s="1459"/>
      <c r="ITK61" s="1459"/>
      <c r="ITL61" s="1460"/>
      <c r="ITM61" s="1461"/>
      <c r="ITN61" s="1462"/>
      <c r="ITO61" s="1463"/>
      <c r="ITP61" s="1459"/>
      <c r="ITQ61" s="1459"/>
      <c r="ITR61" s="1460"/>
      <c r="ITS61" s="1461"/>
      <c r="ITT61" s="1462"/>
      <c r="ITU61" s="1463"/>
      <c r="ITV61" s="1459"/>
      <c r="ITW61" s="1459"/>
      <c r="ITX61" s="1460"/>
      <c r="ITY61" s="1461"/>
      <c r="ITZ61" s="1462"/>
      <c r="IUA61" s="1463"/>
      <c r="IUB61" s="1459"/>
      <c r="IUC61" s="1459"/>
      <c r="IUD61" s="1460"/>
      <c r="IUE61" s="1461"/>
      <c r="IUF61" s="1462"/>
      <c r="IUG61" s="1463"/>
      <c r="IUH61" s="1459"/>
      <c r="IUI61" s="1459"/>
      <c r="IUJ61" s="1460"/>
      <c r="IUK61" s="1461"/>
      <c r="IUL61" s="1462"/>
      <c r="IUM61" s="1463"/>
      <c r="IUN61" s="1459"/>
      <c r="IUO61" s="1459"/>
      <c r="IUP61" s="1460"/>
      <c r="IUQ61" s="1461"/>
      <c r="IUR61" s="1462"/>
      <c r="IUS61" s="1463"/>
      <c r="IUT61" s="1459"/>
      <c r="IUU61" s="1459"/>
      <c r="IUV61" s="1460"/>
      <c r="IUW61" s="1461"/>
      <c r="IUX61" s="1462"/>
      <c r="IUY61" s="1463"/>
      <c r="IUZ61" s="1459"/>
      <c r="IVA61" s="1459"/>
      <c r="IVB61" s="1460"/>
      <c r="IVC61" s="1461"/>
      <c r="IVD61" s="1462"/>
      <c r="IVE61" s="1463"/>
      <c r="IVF61" s="1459"/>
      <c r="IVG61" s="1459"/>
      <c r="IVH61" s="1460"/>
      <c r="IVI61" s="1461"/>
      <c r="IVJ61" s="1462"/>
      <c r="IVK61" s="1463"/>
      <c r="IVL61" s="1459"/>
      <c r="IVM61" s="1459"/>
      <c r="IVN61" s="1460"/>
      <c r="IVO61" s="1461"/>
      <c r="IVP61" s="1462"/>
      <c r="IVQ61" s="1463"/>
      <c r="IVR61" s="1459"/>
      <c r="IVS61" s="1459"/>
      <c r="IVT61" s="1460"/>
      <c r="IVU61" s="1461"/>
      <c r="IVV61" s="1462"/>
      <c r="IVW61" s="1463"/>
      <c r="IVX61" s="1459"/>
      <c r="IVY61" s="1459"/>
      <c r="IVZ61" s="1460"/>
      <c r="IWA61" s="1461"/>
      <c r="IWB61" s="1462"/>
      <c r="IWC61" s="1463"/>
      <c r="IWD61" s="1459"/>
      <c r="IWE61" s="1459"/>
      <c r="IWF61" s="1460"/>
      <c r="IWG61" s="1461"/>
      <c r="IWH61" s="1462"/>
      <c r="IWI61" s="1463"/>
      <c r="IWJ61" s="1459"/>
      <c r="IWK61" s="1459"/>
      <c r="IWL61" s="1460"/>
      <c r="IWM61" s="1461"/>
      <c r="IWN61" s="1462"/>
      <c r="IWO61" s="1463"/>
      <c r="IWP61" s="1459"/>
      <c r="IWQ61" s="1459"/>
      <c r="IWR61" s="1460"/>
      <c r="IWS61" s="1461"/>
      <c r="IWT61" s="1462"/>
      <c r="IWU61" s="1463"/>
      <c r="IWV61" s="1459"/>
      <c r="IWW61" s="1459"/>
      <c r="IWX61" s="1460"/>
      <c r="IWY61" s="1461"/>
      <c r="IWZ61" s="1462"/>
      <c r="IXA61" s="1463"/>
      <c r="IXB61" s="1459"/>
      <c r="IXC61" s="1459"/>
      <c r="IXD61" s="1460"/>
      <c r="IXE61" s="1461"/>
      <c r="IXF61" s="1462"/>
      <c r="IXG61" s="1463"/>
      <c r="IXH61" s="1459"/>
      <c r="IXI61" s="1459"/>
      <c r="IXJ61" s="1460"/>
      <c r="IXK61" s="1461"/>
      <c r="IXL61" s="1462"/>
      <c r="IXM61" s="1463"/>
      <c r="IXN61" s="1459"/>
      <c r="IXO61" s="1459"/>
      <c r="IXP61" s="1460"/>
      <c r="IXQ61" s="1461"/>
      <c r="IXR61" s="1462"/>
      <c r="IXS61" s="1463"/>
      <c r="IXT61" s="1459"/>
      <c r="IXU61" s="1459"/>
      <c r="IXV61" s="1460"/>
      <c r="IXW61" s="1461"/>
      <c r="IXX61" s="1462"/>
      <c r="IXY61" s="1463"/>
      <c r="IXZ61" s="1459"/>
      <c r="IYA61" s="1459"/>
      <c r="IYB61" s="1460"/>
      <c r="IYC61" s="1461"/>
      <c r="IYD61" s="1462"/>
      <c r="IYE61" s="1463"/>
      <c r="IYF61" s="1459"/>
      <c r="IYG61" s="1459"/>
      <c r="IYH61" s="1460"/>
      <c r="IYI61" s="1461"/>
      <c r="IYJ61" s="1462"/>
      <c r="IYK61" s="1463"/>
      <c r="IYL61" s="1459"/>
      <c r="IYM61" s="1459"/>
      <c r="IYN61" s="1460"/>
      <c r="IYO61" s="1461"/>
      <c r="IYP61" s="1462"/>
      <c r="IYQ61" s="1463"/>
      <c r="IYR61" s="1459"/>
      <c r="IYS61" s="1459"/>
      <c r="IYT61" s="1460"/>
      <c r="IYU61" s="1461"/>
      <c r="IYV61" s="1462"/>
      <c r="IYW61" s="1463"/>
      <c r="IYX61" s="1459"/>
      <c r="IYY61" s="1459"/>
      <c r="IYZ61" s="1460"/>
      <c r="IZA61" s="1461"/>
      <c r="IZB61" s="1462"/>
      <c r="IZC61" s="1463"/>
      <c r="IZD61" s="1459"/>
      <c r="IZE61" s="1459"/>
      <c r="IZF61" s="1460"/>
      <c r="IZG61" s="1461"/>
      <c r="IZH61" s="1462"/>
      <c r="IZI61" s="1463"/>
      <c r="IZJ61" s="1459"/>
      <c r="IZK61" s="1459"/>
      <c r="IZL61" s="1460"/>
      <c r="IZM61" s="1461"/>
      <c r="IZN61" s="1462"/>
      <c r="IZO61" s="1463"/>
      <c r="IZP61" s="1459"/>
      <c r="IZQ61" s="1459"/>
      <c r="IZR61" s="1460"/>
      <c r="IZS61" s="1461"/>
      <c r="IZT61" s="1462"/>
      <c r="IZU61" s="1463"/>
      <c r="IZV61" s="1459"/>
      <c r="IZW61" s="1459"/>
      <c r="IZX61" s="1460"/>
      <c r="IZY61" s="1461"/>
      <c r="IZZ61" s="1462"/>
      <c r="JAA61" s="1463"/>
      <c r="JAB61" s="1459"/>
      <c r="JAC61" s="1459"/>
      <c r="JAD61" s="1460"/>
      <c r="JAE61" s="1461"/>
      <c r="JAF61" s="1462"/>
      <c r="JAG61" s="1463"/>
      <c r="JAH61" s="1459"/>
      <c r="JAI61" s="1459"/>
      <c r="JAJ61" s="1460"/>
      <c r="JAK61" s="1461"/>
      <c r="JAL61" s="1462"/>
      <c r="JAM61" s="1463"/>
      <c r="JAN61" s="1459"/>
      <c r="JAO61" s="1459"/>
      <c r="JAP61" s="1460"/>
      <c r="JAQ61" s="1461"/>
      <c r="JAR61" s="1462"/>
      <c r="JAS61" s="1463"/>
      <c r="JAT61" s="1459"/>
      <c r="JAU61" s="1459"/>
      <c r="JAV61" s="1460"/>
      <c r="JAW61" s="1461"/>
      <c r="JAX61" s="1462"/>
      <c r="JAY61" s="1463"/>
      <c r="JAZ61" s="1459"/>
      <c r="JBA61" s="1459"/>
      <c r="JBB61" s="1460"/>
      <c r="JBC61" s="1461"/>
      <c r="JBD61" s="1462"/>
      <c r="JBE61" s="1463"/>
      <c r="JBF61" s="1459"/>
      <c r="JBG61" s="1459"/>
      <c r="JBH61" s="1460"/>
      <c r="JBI61" s="1461"/>
      <c r="JBJ61" s="1462"/>
      <c r="JBK61" s="1463"/>
      <c r="JBL61" s="1459"/>
      <c r="JBM61" s="1459"/>
      <c r="JBN61" s="1460"/>
      <c r="JBO61" s="1461"/>
      <c r="JBP61" s="1462"/>
      <c r="JBQ61" s="1463"/>
      <c r="JBR61" s="1459"/>
      <c r="JBS61" s="1459"/>
      <c r="JBT61" s="1460"/>
      <c r="JBU61" s="1461"/>
      <c r="JBV61" s="1462"/>
      <c r="JBW61" s="1463"/>
      <c r="JBX61" s="1459"/>
      <c r="JBY61" s="1459"/>
      <c r="JBZ61" s="1460"/>
      <c r="JCA61" s="1461"/>
      <c r="JCB61" s="1462"/>
      <c r="JCC61" s="1463"/>
      <c r="JCD61" s="1459"/>
      <c r="JCE61" s="1459"/>
      <c r="JCF61" s="1460"/>
      <c r="JCG61" s="1461"/>
      <c r="JCH61" s="1462"/>
      <c r="JCI61" s="1463"/>
      <c r="JCJ61" s="1459"/>
      <c r="JCK61" s="1459"/>
      <c r="JCL61" s="1460"/>
      <c r="JCM61" s="1461"/>
      <c r="JCN61" s="1462"/>
      <c r="JCO61" s="1463"/>
      <c r="JCP61" s="1459"/>
      <c r="JCQ61" s="1459"/>
      <c r="JCR61" s="1460"/>
      <c r="JCS61" s="1461"/>
      <c r="JCT61" s="1462"/>
      <c r="JCU61" s="1463"/>
      <c r="JCV61" s="1459"/>
      <c r="JCW61" s="1459"/>
      <c r="JCX61" s="1460"/>
      <c r="JCY61" s="1461"/>
      <c r="JCZ61" s="1462"/>
      <c r="JDA61" s="1463"/>
      <c r="JDB61" s="1459"/>
      <c r="JDC61" s="1459"/>
      <c r="JDD61" s="1460"/>
      <c r="JDE61" s="1461"/>
      <c r="JDF61" s="1462"/>
      <c r="JDG61" s="1463"/>
      <c r="JDH61" s="1459"/>
      <c r="JDI61" s="1459"/>
      <c r="JDJ61" s="1460"/>
      <c r="JDK61" s="1461"/>
      <c r="JDL61" s="1462"/>
      <c r="JDM61" s="1463"/>
      <c r="JDN61" s="1459"/>
      <c r="JDO61" s="1459"/>
      <c r="JDP61" s="1460"/>
      <c r="JDQ61" s="1461"/>
      <c r="JDR61" s="1462"/>
      <c r="JDS61" s="1463"/>
      <c r="JDT61" s="1459"/>
      <c r="JDU61" s="1459"/>
      <c r="JDV61" s="1460"/>
      <c r="JDW61" s="1461"/>
      <c r="JDX61" s="1462"/>
      <c r="JDY61" s="1463"/>
      <c r="JDZ61" s="1459"/>
      <c r="JEA61" s="1459"/>
      <c r="JEB61" s="1460"/>
      <c r="JEC61" s="1461"/>
      <c r="JED61" s="1462"/>
      <c r="JEE61" s="1463"/>
      <c r="JEF61" s="1459"/>
      <c r="JEG61" s="1459"/>
      <c r="JEH61" s="1460"/>
      <c r="JEI61" s="1461"/>
      <c r="JEJ61" s="1462"/>
      <c r="JEK61" s="1463"/>
      <c r="JEL61" s="1459"/>
      <c r="JEM61" s="1459"/>
      <c r="JEN61" s="1460"/>
      <c r="JEO61" s="1461"/>
      <c r="JEP61" s="1462"/>
      <c r="JEQ61" s="1463"/>
      <c r="JER61" s="1459"/>
      <c r="JES61" s="1459"/>
      <c r="JET61" s="1460"/>
      <c r="JEU61" s="1461"/>
      <c r="JEV61" s="1462"/>
      <c r="JEW61" s="1463"/>
      <c r="JEX61" s="1459"/>
      <c r="JEY61" s="1459"/>
      <c r="JEZ61" s="1460"/>
      <c r="JFA61" s="1461"/>
      <c r="JFB61" s="1462"/>
      <c r="JFC61" s="1463"/>
      <c r="JFD61" s="1459"/>
      <c r="JFE61" s="1459"/>
      <c r="JFF61" s="1460"/>
      <c r="JFG61" s="1461"/>
      <c r="JFH61" s="1462"/>
      <c r="JFI61" s="1463"/>
      <c r="JFJ61" s="1459"/>
      <c r="JFK61" s="1459"/>
      <c r="JFL61" s="1460"/>
      <c r="JFM61" s="1461"/>
      <c r="JFN61" s="1462"/>
      <c r="JFO61" s="1463"/>
      <c r="JFP61" s="1459"/>
      <c r="JFQ61" s="1459"/>
      <c r="JFR61" s="1460"/>
      <c r="JFS61" s="1461"/>
      <c r="JFT61" s="1462"/>
      <c r="JFU61" s="1463"/>
      <c r="JFV61" s="1459"/>
      <c r="JFW61" s="1459"/>
      <c r="JFX61" s="1460"/>
      <c r="JFY61" s="1461"/>
      <c r="JFZ61" s="1462"/>
      <c r="JGA61" s="1463"/>
      <c r="JGB61" s="1459"/>
      <c r="JGC61" s="1459"/>
      <c r="JGD61" s="1460"/>
      <c r="JGE61" s="1461"/>
      <c r="JGF61" s="1462"/>
      <c r="JGG61" s="1463"/>
      <c r="JGH61" s="1459"/>
      <c r="JGI61" s="1459"/>
      <c r="JGJ61" s="1460"/>
      <c r="JGK61" s="1461"/>
      <c r="JGL61" s="1462"/>
      <c r="JGM61" s="1463"/>
      <c r="JGN61" s="1459"/>
      <c r="JGO61" s="1459"/>
      <c r="JGP61" s="1460"/>
      <c r="JGQ61" s="1461"/>
      <c r="JGR61" s="1462"/>
      <c r="JGS61" s="1463"/>
      <c r="JGT61" s="1459"/>
      <c r="JGU61" s="1459"/>
      <c r="JGV61" s="1460"/>
      <c r="JGW61" s="1461"/>
      <c r="JGX61" s="1462"/>
      <c r="JGY61" s="1463"/>
      <c r="JGZ61" s="1459"/>
      <c r="JHA61" s="1459"/>
      <c r="JHB61" s="1460"/>
      <c r="JHC61" s="1461"/>
      <c r="JHD61" s="1462"/>
      <c r="JHE61" s="1463"/>
      <c r="JHF61" s="1459"/>
      <c r="JHG61" s="1459"/>
      <c r="JHH61" s="1460"/>
      <c r="JHI61" s="1461"/>
      <c r="JHJ61" s="1462"/>
      <c r="JHK61" s="1463"/>
      <c r="JHL61" s="1459"/>
      <c r="JHM61" s="1459"/>
      <c r="JHN61" s="1460"/>
      <c r="JHO61" s="1461"/>
      <c r="JHP61" s="1462"/>
      <c r="JHQ61" s="1463"/>
      <c r="JHR61" s="1459"/>
      <c r="JHS61" s="1459"/>
      <c r="JHT61" s="1460"/>
      <c r="JHU61" s="1461"/>
      <c r="JHV61" s="1462"/>
      <c r="JHW61" s="1463"/>
      <c r="JHX61" s="1459"/>
      <c r="JHY61" s="1459"/>
      <c r="JHZ61" s="1460"/>
      <c r="JIA61" s="1461"/>
      <c r="JIB61" s="1462"/>
      <c r="JIC61" s="1463"/>
      <c r="JID61" s="1459"/>
      <c r="JIE61" s="1459"/>
      <c r="JIF61" s="1460"/>
      <c r="JIG61" s="1461"/>
      <c r="JIH61" s="1462"/>
      <c r="JII61" s="1463"/>
      <c r="JIJ61" s="1459"/>
      <c r="JIK61" s="1459"/>
      <c r="JIL61" s="1460"/>
      <c r="JIM61" s="1461"/>
      <c r="JIN61" s="1462"/>
      <c r="JIO61" s="1463"/>
      <c r="JIP61" s="1459"/>
      <c r="JIQ61" s="1459"/>
      <c r="JIR61" s="1460"/>
      <c r="JIS61" s="1461"/>
      <c r="JIT61" s="1462"/>
      <c r="JIU61" s="1463"/>
      <c r="JIV61" s="1459"/>
      <c r="JIW61" s="1459"/>
      <c r="JIX61" s="1460"/>
      <c r="JIY61" s="1461"/>
      <c r="JIZ61" s="1462"/>
      <c r="JJA61" s="1463"/>
      <c r="JJB61" s="1459"/>
      <c r="JJC61" s="1459"/>
      <c r="JJD61" s="1460"/>
      <c r="JJE61" s="1461"/>
      <c r="JJF61" s="1462"/>
      <c r="JJG61" s="1463"/>
      <c r="JJH61" s="1459"/>
      <c r="JJI61" s="1459"/>
      <c r="JJJ61" s="1460"/>
      <c r="JJK61" s="1461"/>
      <c r="JJL61" s="1462"/>
      <c r="JJM61" s="1463"/>
      <c r="JJN61" s="1459"/>
      <c r="JJO61" s="1459"/>
      <c r="JJP61" s="1460"/>
      <c r="JJQ61" s="1461"/>
      <c r="JJR61" s="1462"/>
      <c r="JJS61" s="1463"/>
      <c r="JJT61" s="1459"/>
      <c r="JJU61" s="1459"/>
      <c r="JJV61" s="1460"/>
      <c r="JJW61" s="1461"/>
      <c r="JJX61" s="1462"/>
      <c r="JJY61" s="1463"/>
      <c r="JJZ61" s="1459"/>
      <c r="JKA61" s="1459"/>
      <c r="JKB61" s="1460"/>
      <c r="JKC61" s="1461"/>
      <c r="JKD61" s="1462"/>
      <c r="JKE61" s="1463"/>
      <c r="JKF61" s="1459"/>
      <c r="JKG61" s="1459"/>
      <c r="JKH61" s="1460"/>
      <c r="JKI61" s="1461"/>
      <c r="JKJ61" s="1462"/>
      <c r="JKK61" s="1463"/>
      <c r="JKL61" s="1459"/>
      <c r="JKM61" s="1459"/>
      <c r="JKN61" s="1460"/>
      <c r="JKO61" s="1461"/>
      <c r="JKP61" s="1462"/>
      <c r="JKQ61" s="1463"/>
      <c r="JKR61" s="1459"/>
      <c r="JKS61" s="1459"/>
      <c r="JKT61" s="1460"/>
      <c r="JKU61" s="1461"/>
      <c r="JKV61" s="1462"/>
      <c r="JKW61" s="1463"/>
      <c r="JKX61" s="1459"/>
      <c r="JKY61" s="1459"/>
      <c r="JKZ61" s="1460"/>
      <c r="JLA61" s="1461"/>
      <c r="JLB61" s="1462"/>
      <c r="JLC61" s="1463"/>
      <c r="JLD61" s="1459"/>
      <c r="JLE61" s="1459"/>
      <c r="JLF61" s="1460"/>
      <c r="JLG61" s="1461"/>
      <c r="JLH61" s="1462"/>
      <c r="JLI61" s="1463"/>
      <c r="JLJ61" s="1459"/>
      <c r="JLK61" s="1459"/>
      <c r="JLL61" s="1460"/>
      <c r="JLM61" s="1461"/>
      <c r="JLN61" s="1462"/>
      <c r="JLO61" s="1463"/>
      <c r="JLP61" s="1459"/>
      <c r="JLQ61" s="1459"/>
      <c r="JLR61" s="1460"/>
      <c r="JLS61" s="1461"/>
      <c r="JLT61" s="1462"/>
      <c r="JLU61" s="1463"/>
      <c r="JLV61" s="1459"/>
      <c r="JLW61" s="1459"/>
      <c r="JLX61" s="1460"/>
      <c r="JLY61" s="1461"/>
      <c r="JLZ61" s="1462"/>
      <c r="JMA61" s="1463"/>
      <c r="JMB61" s="1459"/>
      <c r="JMC61" s="1459"/>
      <c r="JMD61" s="1460"/>
      <c r="JME61" s="1461"/>
      <c r="JMF61" s="1462"/>
      <c r="JMG61" s="1463"/>
      <c r="JMH61" s="1459"/>
      <c r="JMI61" s="1459"/>
      <c r="JMJ61" s="1460"/>
      <c r="JMK61" s="1461"/>
      <c r="JML61" s="1462"/>
      <c r="JMM61" s="1463"/>
      <c r="JMN61" s="1459"/>
      <c r="JMO61" s="1459"/>
      <c r="JMP61" s="1460"/>
      <c r="JMQ61" s="1461"/>
      <c r="JMR61" s="1462"/>
      <c r="JMS61" s="1463"/>
      <c r="JMT61" s="1459"/>
      <c r="JMU61" s="1459"/>
      <c r="JMV61" s="1460"/>
      <c r="JMW61" s="1461"/>
      <c r="JMX61" s="1462"/>
      <c r="JMY61" s="1463"/>
      <c r="JMZ61" s="1459"/>
      <c r="JNA61" s="1459"/>
      <c r="JNB61" s="1460"/>
      <c r="JNC61" s="1461"/>
      <c r="JND61" s="1462"/>
      <c r="JNE61" s="1463"/>
      <c r="JNF61" s="1459"/>
      <c r="JNG61" s="1459"/>
      <c r="JNH61" s="1460"/>
      <c r="JNI61" s="1461"/>
      <c r="JNJ61" s="1462"/>
      <c r="JNK61" s="1463"/>
      <c r="JNL61" s="1459"/>
      <c r="JNM61" s="1459"/>
      <c r="JNN61" s="1460"/>
      <c r="JNO61" s="1461"/>
      <c r="JNP61" s="1462"/>
      <c r="JNQ61" s="1463"/>
      <c r="JNR61" s="1459"/>
      <c r="JNS61" s="1459"/>
      <c r="JNT61" s="1460"/>
      <c r="JNU61" s="1461"/>
      <c r="JNV61" s="1462"/>
      <c r="JNW61" s="1463"/>
      <c r="JNX61" s="1459"/>
      <c r="JNY61" s="1459"/>
      <c r="JNZ61" s="1460"/>
      <c r="JOA61" s="1461"/>
      <c r="JOB61" s="1462"/>
      <c r="JOC61" s="1463"/>
      <c r="JOD61" s="1459"/>
      <c r="JOE61" s="1459"/>
      <c r="JOF61" s="1460"/>
      <c r="JOG61" s="1461"/>
      <c r="JOH61" s="1462"/>
      <c r="JOI61" s="1463"/>
      <c r="JOJ61" s="1459"/>
      <c r="JOK61" s="1459"/>
      <c r="JOL61" s="1460"/>
      <c r="JOM61" s="1461"/>
      <c r="JON61" s="1462"/>
      <c r="JOO61" s="1463"/>
      <c r="JOP61" s="1459"/>
      <c r="JOQ61" s="1459"/>
      <c r="JOR61" s="1460"/>
      <c r="JOS61" s="1461"/>
      <c r="JOT61" s="1462"/>
      <c r="JOU61" s="1463"/>
      <c r="JOV61" s="1459"/>
      <c r="JOW61" s="1459"/>
      <c r="JOX61" s="1460"/>
      <c r="JOY61" s="1461"/>
      <c r="JOZ61" s="1462"/>
      <c r="JPA61" s="1463"/>
      <c r="JPB61" s="1459"/>
      <c r="JPC61" s="1459"/>
      <c r="JPD61" s="1460"/>
      <c r="JPE61" s="1461"/>
      <c r="JPF61" s="1462"/>
      <c r="JPG61" s="1463"/>
      <c r="JPH61" s="1459"/>
      <c r="JPI61" s="1459"/>
      <c r="JPJ61" s="1460"/>
      <c r="JPK61" s="1461"/>
      <c r="JPL61" s="1462"/>
      <c r="JPM61" s="1463"/>
      <c r="JPN61" s="1459"/>
      <c r="JPO61" s="1459"/>
      <c r="JPP61" s="1460"/>
      <c r="JPQ61" s="1461"/>
      <c r="JPR61" s="1462"/>
      <c r="JPS61" s="1463"/>
      <c r="JPT61" s="1459"/>
      <c r="JPU61" s="1459"/>
      <c r="JPV61" s="1460"/>
      <c r="JPW61" s="1461"/>
      <c r="JPX61" s="1462"/>
      <c r="JPY61" s="1463"/>
      <c r="JPZ61" s="1459"/>
      <c r="JQA61" s="1459"/>
      <c r="JQB61" s="1460"/>
      <c r="JQC61" s="1461"/>
      <c r="JQD61" s="1462"/>
      <c r="JQE61" s="1463"/>
      <c r="JQF61" s="1459"/>
      <c r="JQG61" s="1459"/>
      <c r="JQH61" s="1460"/>
      <c r="JQI61" s="1461"/>
      <c r="JQJ61" s="1462"/>
      <c r="JQK61" s="1463"/>
      <c r="JQL61" s="1459"/>
      <c r="JQM61" s="1459"/>
      <c r="JQN61" s="1460"/>
      <c r="JQO61" s="1461"/>
      <c r="JQP61" s="1462"/>
      <c r="JQQ61" s="1463"/>
      <c r="JQR61" s="1459"/>
      <c r="JQS61" s="1459"/>
      <c r="JQT61" s="1460"/>
      <c r="JQU61" s="1461"/>
      <c r="JQV61" s="1462"/>
      <c r="JQW61" s="1463"/>
      <c r="JQX61" s="1459"/>
      <c r="JQY61" s="1459"/>
      <c r="JQZ61" s="1460"/>
      <c r="JRA61" s="1461"/>
      <c r="JRB61" s="1462"/>
      <c r="JRC61" s="1463"/>
      <c r="JRD61" s="1459"/>
      <c r="JRE61" s="1459"/>
      <c r="JRF61" s="1460"/>
      <c r="JRG61" s="1461"/>
      <c r="JRH61" s="1462"/>
      <c r="JRI61" s="1463"/>
      <c r="JRJ61" s="1459"/>
      <c r="JRK61" s="1459"/>
      <c r="JRL61" s="1460"/>
      <c r="JRM61" s="1461"/>
      <c r="JRN61" s="1462"/>
      <c r="JRO61" s="1463"/>
      <c r="JRP61" s="1459"/>
      <c r="JRQ61" s="1459"/>
      <c r="JRR61" s="1460"/>
      <c r="JRS61" s="1461"/>
      <c r="JRT61" s="1462"/>
      <c r="JRU61" s="1463"/>
      <c r="JRV61" s="1459"/>
      <c r="JRW61" s="1459"/>
      <c r="JRX61" s="1460"/>
      <c r="JRY61" s="1461"/>
      <c r="JRZ61" s="1462"/>
      <c r="JSA61" s="1463"/>
      <c r="JSB61" s="1459"/>
      <c r="JSC61" s="1459"/>
      <c r="JSD61" s="1460"/>
      <c r="JSE61" s="1461"/>
      <c r="JSF61" s="1462"/>
      <c r="JSG61" s="1463"/>
      <c r="JSH61" s="1459"/>
      <c r="JSI61" s="1459"/>
      <c r="JSJ61" s="1460"/>
      <c r="JSK61" s="1461"/>
      <c r="JSL61" s="1462"/>
      <c r="JSM61" s="1463"/>
      <c r="JSN61" s="1459"/>
      <c r="JSO61" s="1459"/>
      <c r="JSP61" s="1460"/>
      <c r="JSQ61" s="1461"/>
      <c r="JSR61" s="1462"/>
      <c r="JSS61" s="1463"/>
      <c r="JST61" s="1459"/>
      <c r="JSU61" s="1459"/>
      <c r="JSV61" s="1460"/>
      <c r="JSW61" s="1461"/>
      <c r="JSX61" s="1462"/>
      <c r="JSY61" s="1463"/>
      <c r="JSZ61" s="1459"/>
      <c r="JTA61" s="1459"/>
      <c r="JTB61" s="1460"/>
      <c r="JTC61" s="1461"/>
      <c r="JTD61" s="1462"/>
      <c r="JTE61" s="1463"/>
      <c r="JTF61" s="1459"/>
      <c r="JTG61" s="1459"/>
      <c r="JTH61" s="1460"/>
      <c r="JTI61" s="1461"/>
      <c r="JTJ61" s="1462"/>
      <c r="JTK61" s="1463"/>
      <c r="JTL61" s="1459"/>
      <c r="JTM61" s="1459"/>
      <c r="JTN61" s="1460"/>
      <c r="JTO61" s="1461"/>
      <c r="JTP61" s="1462"/>
      <c r="JTQ61" s="1463"/>
      <c r="JTR61" s="1459"/>
      <c r="JTS61" s="1459"/>
      <c r="JTT61" s="1460"/>
      <c r="JTU61" s="1461"/>
      <c r="JTV61" s="1462"/>
      <c r="JTW61" s="1463"/>
      <c r="JTX61" s="1459"/>
      <c r="JTY61" s="1459"/>
      <c r="JTZ61" s="1460"/>
      <c r="JUA61" s="1461"/>
      <c r="JUB61" s="1462"/>
      <c r="JUC61" s="1463"/>
      <c r="JUD61" s="1459"/>
      <c r="JUE61" s="1459"/>
      <c r="JUF61" s="1460"/>
      <c r="JUG61" s="1461"/>
      <c r="JUH61" s="1462"/>
      <c r="JUI61" s="1463"/>
      <c r="JUJ61" s="1459"/>
      <c r="JUK61" s="1459"/>
      <c r="JUL61" s="1460"/>
      <c r="JUM61" s="1461"/>
      <c r="JUN61" s="1462"/>
      <c r="JUO61" s="1463"/>
      <c r="JUP61" s="1459"/>
      <c r="JUQ61" s="1459"/>
      <c r="JUR61" s="1460"/>
      <c r="JUS61" s="1461"/>
      <c r="JUT61" s="1462"/>
      <c r="JUU61" s="1463"/>
      <c r="JUV61" s="1459"/>
      <c r="JUW61" s="1459"/>
      <c r="JUX61" s="1460"/>
      <c r="JUY61" s="1461"/>
      <c r="JUZ61" s="1462"/>
      <c r="JVA61" s="1463"/>
      <c r="JVB61" s="1459"/>
      <c r="JVC61" s="1459"/>
      <c r="JVD61" s="1460"/>
      <c r="JVE61" s="1461"/>
      <c r="JVF61" s="1462"/>
      <c r="JVG61" s="1463"/>
      <c r="JVH61" s="1459"/>
      <c r="JVI61" s="1459"/>
      <c r="JVJ61" s="1460"/>
      <c r="JVK61" s="1461"/>
      <c r="JVL61" s="1462"/>
      <c r="JVM61" s="1463"/>
      <c r="JVN61" s="1459"/>
      <c r="JVO61" s="1459"/>
      <c r="JVP61" s="1460"/>
      <c r="JVQ61" s="1461"/>
      <c r="JVR61" s="1462"/>
      <c r="JVS61" s="1463"/>
      <c r="JVT61" s="1459"/>
      <c r="JVU61" s="1459"/>
      <c r="JVV61" s="1460"/>
      <c r="JVW61" s="1461"/>
      <c r="JVX61" s="1462"/>
      <c r="JVY61" s="1463"/>
      <c r="JVZ61" s="1459"/>
      <c r="JWA61" s="1459"/>
      <c r="JWB61" s="1460"/>
      <c r="JWC61" s="1461"/>
      <c r="JWD61" s="1462"/>
      <c r="JWE61" s="1463"/>
      <c r="JWF61" s="1459"/>
      <c r="JWG61" s="1459"/>
      <c r="JWH61" s="1460"/>
      <c r="JWI61" s="1461"/>
      <c r="JWJ61" s="1462"/>
      <c r="JWK61" s="1463"/>
      <c r="JWL61" s="1459"/>
      <c r="JWM61" s="1459"/>
      <c r="JWN61" s="1460"/>
      <c r="JWO61" s="1461"/>
      <c r="JWP61" s="1462"/>
      <c r="JWQ61" s="1463"/>
      <c r="JWR61" s="1459"/>
      <c r="JWS61" s="1459"/>
      <c r="JWT61" s="1460"/>
      <c r="JWU61" s="1461"/>
      <c r="JWV61" s="1462"/>
      <c r="JWW61" s="1463"/>
      <c r="JWX61" s="1459"/>
      <c r="JWY61" s="1459"/>
      <c r="JWZ61" s="1460"/>
      <c r="JXA61" s="1461"/>
      <c r="JXB61" s="1462"/>
      <c r="JXC61" s="1463"/>
      <c r="JXD61" s="1459"/>
      <c r="JXE61" s="1459"/>
      <c r="JXF61" s="1460"/>
      <c r="JXG61" s="1461"/>
      <c r="JXH61" s="1462"/>
      <c r="JXI61" s="1463"/>
      <c r="JXJ61" s="1459"/>
      <c r="JXK61" s="1459"/>
      <c r="JXL61" s="1460"/>
      <c r="JXM61" s="1461"/>
      <c r="JXN61" s="1462"/>
      <c r="JXO61" s="1463"/>
      <c r="JXP61" s="1459"/>
      <c r="JXQ61" s="1459"/>
      <c r="JXR61" s="1460"/>
      <c r="JXS61" s="1461"/>
      <c r="JXT61" s="1462"/>
      <c r="JXU61" s="1463"/>
      <c r="JXV61" s="1459"/>
      <c r="JXW61" s="1459"/>
      <c r="JXX61" s="1460"/>
      <c r="JXY61" s="1461"/>
      <c r="JXZ61" s="1462"/>
      <c r="JYA61" s="1463"/>
      <c r="JYB61" s="1459"/>
      <c r="JYC61" s="1459"/>
      <c r="JYD61" s="1460"/>
      <c r="JYE61" s="1461"/>
      <c r="JYF61" s="1462"/>
      <c r="JYG61" s="1463"/>
      <c r="JYH61" s="1459"/>
      <c r="JYI61" s="1459"/>
      <c r="JYJ61" s="1460"/>
      <c r="JYK61" s="1461"/>
      <c r="JYL61" s="1462"/>
      <c r="JYM61" s="1463"/>
      <c r="JYN61" s="1459"/>
      <c r="JYO61" s="1459"/>
      <c r="JYP61" s="1460"/>
      <c r="JYQ61" s="1461"/>
      <c r="JYR61" s="1462"/>
      <c r="JYS61" s="1463"/>
      <c r="JYT61" s="1459"/>
      <c r="JYU61" s="1459"/>
      <c r="JYV61" s="1460"/>
      <c r="JYW61" s="1461"/>
      <c r="JYX61" s="1462"/>
      <c r="JYY61" s="1463"/>
      <c r="JYZ61" s="1459"/>
      <c r="JZA61" s="1459"/>
      <c r="JZB61" s="1460"/>
      <c r="JZC61" s="1461"/>
      <c r="JZD61" s="1462"/>
      <c r="JZE61" s="1463"/>
      <c r="JZF61" s="1459"/>
      <c r="JZG61" s="1459"/>
      <c r="JZH61" s="1460"/>
      <c r="JZI61" s="1461"/>
      <c r="JZJ61" s="1462"/>
      <c r="JZK61" s="1463"/>
      <c r="JZL61" s="1459"/>
      <c r="JZM61" s="1459"/>
      <c r="JZN61" s="1460"/>
      <c r="JZO61" s="1461"/>
      <c r="JZP61" s="1462"/>
      <c r="JZQ61" s="1463"/>
      <c r="JZR61" s="1459"/>
      <c r="JZS61" s="1459"/>
      <c r="JZT61" s="1460"/>
      <c r="JZU61" s="1461"/>
      <c r="JZV61" s="1462"/>
      <c r="JZW61" s="1463"/>
      <c r="JZX61" s="1459"/>
      <c r="JZY61" s="1459"/>
      <c r="JZZ61" s="1460"/>
      <c r="KAA61" s="1461"/>
      <c r="KAB61" s="1462"/>
      <c r="KAC61" s="1463"/>
      <c r="KAD61" s="1459"/>
      <c r="KAE61" s="1459"/>
      <c r="KAF61" s="1460"/>
      <c r="KAG61" s="1461"/>
      <c r="KAH61" s="1462"/>
      <c r="KAI61" s="1463"/>
      <c r="KAJ61" s="1459"/>
      <c r="KAK61" s="1459"/>
      <c r="KAL61" s="1460"/>
      <c r="KAM61" s="1461"/>
      <c r="KAN61" s="1462"/>
      <c r="KAO61" s="1463"/>
      <c r="KAP61" s="1459"/>
      <c r="KAQ61" s="1459"/>
      <c r="KAR61" s="1460"/>
      <c r="KAS61" s="1461"/>
      <c r="KAT61" s="1462"/>
      <c r="KAU61" s="1463"/>
      <c r="KAV61" s="1459"/>
      <c r="KAW61" s="1459"/>
      <c r="KAX61" s="1460"/>
      <c r="KAY61" s="1461"/>
      <c r="KAZ61" s="1462"/>
      <c r="KBA61" s="1463"/>
      <c r="KBB61" s="1459"/>
      <c r="KBC61" s="1459"/>
      <c r="KBD61" s="1460"/>
      <c r="KBE61" s="1461"/>
      <c r="KBF61" s="1462"/>
      <c r="KBG61" s="1463"/>
      <c r="KBH61" s="1459"/>
      <c r="KBI61" s="1459"/>
      <c r="KBJ61" s="1460"/>
      <c r="KBK61" s="1461"/>
      <c r="KBL61" s="1462"/>
      <c r="KBM61" s="1463"/>
      <c r="KBN61" s="1459"/>
      <c r="KBO61" s="1459"/>
      <c r="KBP61" s="1460"/>
      <c r="KBQ61" s="1461"/>
      <c r="KBR61" s="1462"/>
      <c r="KBS61" s="1463"/>
      <c r="KBT61" s="1459"/>
      <c r="KBU61" s="1459"/>
      <c r="KBV61" s="1460"/>
      <c r="KBW61" s="1461"/>
      <c r="KBX61" s="1462"/>
      <c r="KBY61" s="1463"/>
      <c r="KBZ61" s="1459"/>
      <c r="KCA61" s="1459"/>
      <c r="KCB61" s="1460"/>
      <c r="KCC61" s="1461"/>
      <c r="KCD61" s="1462"/>
      <c r="KCE61" s="1463"/>
      <c r="KCF61" s="1459"/>
      <c r="KCG61" s="1459"/>
      <c r="KCH61" s="1460"/>
      <c r="KCI61" s="1461"/>
      <c r="KCJ61" s="1462"/>
      <c r="KCK61" s="1463"/>
      <c r="KCL61" s="1459"/>
      <c r="KCM61" s="1459"/>
      <c r="KCN61" s="1460"/>
      <c r="KCO61" s="1461"/>
      <c r="KCP61" s="1462"/>
      <c r="KCQ61" s="1463"/>
      <c r="KCR61" s="1459"/>
      <c r="KCS61" s="1459"/>
      <c r="KCT61" s="1460"/>
      <c r="KCU61" s="1461"/>
      <c r="KCV61" s="1462"/>
      <c r="KCW61" s="1463"/>
      <c r="KCX61" s="1459"/>
      <c r="KCY61" s="1459"/>
      <c r="KCZ61" s="1460"/>
      <c r="KDA61" s="1461"/>
      <c r="KDB61" s="1462"/>
      <c r="KDC61" s="1463"/>
      <c r="KDD61" s="1459"/>
      <c r="KDE61" s="1459"/>
      <c r="KDF61" s="1460"/>
      <c r="KDG61" s="1461"/>
      <c r="KDH61" s="1462"/>
      <c r="KDI61" s="1463"/>
      <c r="KDJ61" s="1459"/>
      <c r="KDK61" s="1459"/>
      <c r="KDL61" s="1460"/>
      <c r="KDM61" s="1461"/>
      <c r="KDN61" s="1462"/>
      <c r="KDO61" s="1463"/>
      <c r="KDP61" s="1459"/>
      <c r="KDQ61" s="1459"/>
      <c r="KDR61" s="1460"/>
      <c r="KDS61" s="1461"/>
      <c r="KDT61" s="1462"/>
      <c r="KDU61" s="1463"/>
      <c r="KDV61" s="1459"/>
      <c r="KDW61" s="1459"/>
      <c r="KDX61" s="1460"/>
      <c r="KDY61" s="1461"/>
      <c r="KDZ61" s="1462"/>
      <c r="KEA61" s="1463"/>
      <c r="KEB61" s="1459"/>
      <c r="KEC61" s="1459"/>
      <c r="KED61" s="1460"/>
      <c r="KEE61" s="1461"/>
      <c r="KEF61" s="1462"/>
      <c r="KEG61" s="1463"/>
      <c r="KEH61" s="1459"/>
      <c r="KEI61" s="1459"/>
      <c r="KEJ61" s="1460"/>
      <c r="KEK61" s="1461"/>
      <c r="KEL61" s="1462"/>
      <c r="KEM61" s="1463"/>
      <c r="KEN61" s="1459"/>
      <c r="KEO61" s="1459"/>
      <c r="KEP61" s="1460"/>
      <c r="KEQ61" s="1461"/>
      <c r="KER61" s="1462"/>
      <c r="KES61" s="1463"/>
      <c r="KET61" s="1459"/>
      <c r="KEU61" s="1459"/>
      <c r="KEV61" s="1460"/>
      <c r="KEW61" s="1461"/>
      <c r="KEX61" s="1462"/>
      <c r="KEY61" s="1463"/>
      <c r="KEZ61" s="1459"/>
      <c r="KFA61" s="1459"/>
      <c r="KFB61" s="1460"/>
      <c r="KFC61" s="1461"/>
      <c r="KFD61" s="1462"/>
      <c r="KFE61" s="1463"/>
      <c r="KFF61" s="1459"/>
      <c r="KFG61" s="1459"/>
      <c r="KFH61" s="1460"/>
      <c r="KFI61" s="1461"/>
      <c r="KFJ61" s="1462"/>
      <c r="KFK61" s="1463"/>
      <c r="KFL61" s="1459"/>
      <c r="KFM61" s="1459"/>
      <c r="KFN61" s="1460"/>
      <c r="KFO61" s="1461"/>
      <c r="KFP61" s="1462"/>
      <c r="KFQ61" s="1463"/>
      <c r="KFR61" s="1459"/>
      <c r="KFS61" s="1459"/>
      <c r="KFT61" s="1460"/>
      <c r="KFU61" s="1461"/>
      <c r="KFV61" s="1462"/>
      <c r="KFW61" s="1463"/>
      <c r="KFX61" s="1459"/>
      <c r="KFY61" s="1459"/>
      <c r="KFZ61" s="1460"/>
      <c r="KGA61" s="1461"/>
      <c r="KGB61" s="1462"/>
      <c r="KGC61" s="1463"/>
      <c r="KGD61" s="1459"/>
      <c r="KGE61" s="1459"/>
      <c r="KGF61" s="1460"/>
      <c r="KGG61" s="1461"/>
      <c r="KGH61" s="1462"/>
      <c r="KGI61" s="1463"/>
      <c r="KGJ61" s="1459"/>
      <c r="KGK61" s="1459"/>
      <c r="KGL61" s="1460"/>
      <c r="KGM61" s="1461"/>
      <c r="KGN61" s="1462"/>
      <c r="KGO61" s="1463"/>
      <c r="KGP61" s="1459"/>
      <c r="KGQ61" s="1459"/>
      <c r="KGR61" s="1460"/>
      <c r="KGS61" s="1461"/>
      <c r="KGT61" s="1462"/>
      <c r="KGU61" s="1463"/>
      <c r="KGV61" s="1459"/>
      <c r="KGW61" s="1459"/>
      <c r="KGX61" s="1460"/>
      <c r="KGY61" s="1461"/>
      <c r="KGZ61" s="1462"/>
      <c r="KHA61" s="1463"/>
      <c r="KHB61" s="1459"/>
      <c r="KHC61" s="1459"/>
      <c r="KHD61" s="1460"/>
      <c r="KHE61" s="1461"/>
      <c r="KHF61" s="1462"/>
      <c r="KHG61" s="1463"/>
      <c r="KHH61" s="1459"/>
      <c r="KHI61" s="1459"/>
      <c r="KHJ61" s="1460"/>
      <c r="KHK61" s="1461"/>
      <c r="KHL61" s="1462"/>
      <c r="KHM61" s="1463"/>
      <c r="KHN61" s="1459"/>
      <c r="KHO61" s="1459"/>
      <c r="KHP61" s="1460"/>
      <c r="KHQ61" s="1461"/>
      <c r="KHR61" s="1462"/>
      <c r="KHS61" s="1463"/>
      <c r="KHT61" s="1459"/>
      <c r="KHU61" s="1459"/>
      <c r="KHV61" s="1460"/>
      <c r="KHW61" s="1461"/>
      <c r="KHX61" s="1462"/>
      <c r="KHY61" s="1463"/>
      <c r="KHZ61" s="1459"/>
      <c r="KIA61" s="1459"/>
      <c r="KIB61" s="1460"/>
      <c r="KIC61" s="1461"/>
      <c r="KID61" s="1462"/>
      <c r="KIE61" s="1463"/>
      <c r="KIF61" s="1459"/>
      <c r="KIG61" s="1459"/>
      <c r="KIH61" s="1460"/>
      <c r="KII61" s="1461"/>
      <c r="KIJ61" s="1462"/>
      <c r="KIK61" s="1463"/>
      <c r="KIL61" s="1459"/>
      <c r="KIM61" s="1459"/>
      <c r="KIN61" s="1460"/>
      <c r="KIO61" s="1461"/>
      <c r="KIP61" s="1462"/>
      <c r="KIQ61" s="1463"/>
      <c r="KIR61" s="1459"/>
      <c r="KIS61" s="1459"/>
      <c r="KIT61" s="1460"/>
      <c r="KIU61" s="1461"/>
      <c r="KIV61" s="1462"/>
      <c r="KIW61" s="1463"/>
      <c r="KIX61" s="1459"/>
      <c r="KIY61" s="1459"/>
      <c r="KIZ61" s="1460"/>
      <c r="KJA61" s="1461"/>
      <c r="KJB61" s="1462"/>
      <c r="KJC61" s="1463"/>
      <c r="KJD61" s="1459"/>
      <c r="KJE61" s="1459"/>
      <c r="KJF61" s="1460"/>
      <c r="KJG61" s="1461"/>
      <c r="KJH61" s="1462"/>
      <c r="KJI61" s="1463"/>
      <c r="KJJ61" s="1459"/>
      <c r="KJK61" s="1459"/>
      <c r="KJL61" s="1460"/>
      <c r="KJM61" s="1461"/>
      <c r="KJN61" s="1462"/>
      <c r="KJO61" s="1463"/>
      <c r="KJP61" s="1459"/>
      <c r="KJQ61" s="1459"/>
      <c r="KJR61" s="1460"/>
      <c r="KJS61" s="1461"/>
      <c r="KJT61" s="1462"/>
      <c r="KJU61" s="1463"/>
      <c r="KJV61" s="1459"/>
      <c r="KJW61" s="1459"/>
      <c r="KJX61" s="1460"/>
      <c r="KJY61" s="1461"/>
      <c r="KJZ61" s="1462"/>
      <c r="KKA61" s="1463"/>
      <c r="KKB61" s="1459"/>
      <c r="KKC61" s="1459"/>
      <c r="KKD61" s="1460"/>
      <c r="KKE61" s="1461"/>
      <c r="KKF61" s="1462"/>
      <c r="KKG61" s="1463"/>
      <c r="KKH61" s="1459"/>
      <c r="KKI61" s="1459"/>
      <c r="KKJ61" s="1460"/>
      <c r="KKK61" s="1461"/>
      <c r="KKL61" s="1462"/>
      <c r="KKM61" s="1463"/>
      <c r="KKN61" s="1459"/>
      <c r="KKO61" s="1459"/>
      <c r="KKP61" s="1460"/>
      <c r="KKQ61" s="1461"/>
      <c r="KKR61" s="1462"/>
      <c r="KKS61" s="1463"/>
      <c r="KKT61" s="1459"/>
      <c r="KKU61" s="1459"/>
      <c r="KKV61" s="1460"/>
      <c r="KKW61" s="1461"/>
      <c r="KKX61" s="1462"/>
      <c r="KKY61" s="1463"/>
      <c r="KKZ61" s="1459"/>
      <c r="KLA61" s="1459"/>
      <c r="KLB61" s="1460"/>
      <c r="KLC61" s="1461"/>
      <c r="KLD61" s="1462"/>
      <c r="KLE61" s="1463"/>
      <c r="KLF61" s="1459"/>
      <c r="KLG61" s="1459"/>
      <c r="KLH61" s="1460"/>
      <c r="KLI61" s="1461"/>
      <c r="KLJ61" s="1462"/>
      <c r="KLK61" s="1463"/>
      <c r="KLL61" s="1459"/>
      <c r="KLM61" s="1459"/>
      <c r="KLN61" s="1460"/>
      <c r="KLO61" s="1461"/>
      <c r="KLP61" s="1462"/>
      <c r="KLQ61" s="1463"/>
      <c r="KLR61" s="1459"/>
      <c r="KLS61" s="1459"/>
      <c r="KLT61" s="1460"/>
      <c r="KLU61" s="1461"/>
      <c r="KLV61" s="1462"/>
      <c r="KLW61" s="1463"/>
      <c r="KLX61" s="1459"/>
      <c r="KLY61" s="1459"/>
      <c r="KLZ61" s="1460"/>
      <c r="KMA61" s="1461"/>
      <c r="KMB61" s="1462"/>
      <c r="KMC61" s="1463"/>
      <c r="KMD61" s="1459"/>
      <c r="KME61" s="1459"/>
      <c r="KMF61" s="1460"/>
      <c r="KMG61" s="1461"/>
      <c r="KMH61" s="1462"/>
      <c r="KMI61" s="1463"/>
      <c r="KMJ61" s="1459"/>
      <c r="KMK61" s="1459"/>
      <c r="KML61" s="1460"/>
      <c r="KMM61" s="1461"/>
      <c r="KMN61" s="1462"/>
      <c r="KMO61" s="1463"/>
      <c r="KMP61" s="1459"/>
      <c r="KMQ61" s="1459"/>
      <c r="KMR61" s="1460"/>
      <c r="KMS61" s="1461"/>
      <c r="KMT61" s="1462"/>
      <c r="KMU61" s="1463"/>
      <c r="KMV61" s="1459"/>
      <c r="KMW61" s="1459"/>
      <c r="KMX61" s="1460"/>
      <c r="KMY61" s="1461"/>
      <c r="KMZ61" s="1462"/>
      <c r="KNA61" s="1463"/>
      <c r="KNB61" s="1459"/>
      <c r="KNC61" s="1459"/>
      <c r="KND61" s="1460"/>
      <c r="KNE61" s="1461"/>
      <c r="KNF61" s="1462"/>
      <c r="KNG61" s="1463"/>
      <c r="KNH61" s="1459"/>
      <c r="KNI61" s="1459"/>
      <c r="KNJ61" s="1460"/>
      <c r="KNK61" s="1461"/>
      <c r="KNL61" s="1462"/>
      <c r="KNM61" s="1463"/>
      <c r="KNN61" s="1459"/>
      <c r="KNO61" s="1459"/>
      <c r="KNP61" s="1460"/>
      <c r="KNQ61" s="1461"/>
      <c r="KNR61" s="1462"/>
      <c r="KNS61" s="1463"/>
      <c r="KNT61" s="1459"/>
      <c r="KNU61" s="1459"/>
      <c r="KNV61" s="1460"/>
      <c r="KNW61" s="1461"/>
      <c r="KNX61" s="1462"/>
      <c r="KNY61" s="1463"/>
      <c r="KNZ61" s="1459"/>
      <c r="KOA61" s="1459"/>
      <c r="KOB61" s="1460"/>
      <c r="KOC61" s="1461"/>
      <c r="KOD61" s="1462"/>
      <c r="KOE61" s="1463"/>
      <c r="KOF61" s="1459"/>
      <c r="KOG61" s="1459"/>
      <c r="KOH61" s="1460"/>
      <c r="KOI61" s="1461"/>
      <c r="KOJ61" s="1462"/>
      <c r="KOK61" s="1463"/>
      <c r="KOL61" s="1459"/>
      <c r="KOM61" s="1459"/>
      <c r="KON61" s="1460"/>
      <c r="KOO61" s="1461"/>
      <c r="KOP61" s="1462"/>
      <c r="KOQ61" s="1463"/>
      <c r="KOR61" s="1459"/>
      <c r="KOS61" s="1459"/>
      <c r="KOT61" s="1460"/>
      <c r="KOU61" s="1461"/>
      <c r="KOV61" s="1462"/>
      <c r="KOW61" s="1463"/>
      <c r="KOX61" s="1459"/>
      <c r="KOY61" s="1459"/>
      <c r="KOZ61" s="1460"/>
      <c r="KPA61" s="1461"/>
      <c r="KPB61" s="1462"/>
      <c r="KPC61" s="1463"/>
      <c r="KPD61" s="1459"/>
      <c r="KPE61" s="1459"/>
      <c r="KPF61" s="1460"/>
      <c r="KPG61" s="1461"/>
      <c r="KPH61" s="1462"/>
      <c r="KPI61" s="1463"/>
      <c r="KPJ61" s="1459"/>
      <c r="KPK61" s="1459"/>
      <c r="KPL61" s="1460"/>
      <c r="KPM61" s="1461"/>
      <c r="KPN61" s="1462"/>
      <c r="KPO61" s="1463"/>
      <c r="KPP61" s="1459"/>
      <c r="KPQ61" s="1459"/>
      <c r="KPR61" s="1460"/>
      <c r="KPS61" s="1461"/>
      <c r="KPT61" s="1462"/>
      <c r="KPU61" s="1463"/>
      <c r="KPV61" s="1459"/>
      <c r="KPW61" s="1459"/>
      <c r="KPX61" s="1460"/>
      <c r="KPY61" s="1461"/>
      <c r="KPZ61" s="1462"/>
      <c r="KQA61" s="1463"/>
      <c r="KQB61" s="1459"/>
      <c r="KQC61" s="1459"/>
      <c r="KQD61" s="1460"/>
      <c r="KQE61" s="1461"/>
      <c r="KQF61" s="1462"/>
      <c r="KQG61" s="1463"/>
      <c r="KQH61" s="1459"/>
      <c r="KQI61" s="1459"/>
      <c r="KQJ61" s="1460"/>
      <c r="KQK61" s="1461"/>
      <c r="KQL61" s="1462"/>
      <c r="KQM61" s="1463"/>
      <c r="KQN61" s="1459"/>
      <c r="KQO61" s="1459"/>
      <c r="KQP61" s="1460"/>
      <c r="KQQ61" s="1461"/>
      <c r="KQR61" s="1462"/>
      <c r="KQS61" s="1463"/>
      <c r="KQT61" s="1459"/>
      <c r="KQU61" s="1459"/>
      <c r="KQV61" s="1460"/>
      <c r="KQW61" s="1461"/>
      <c r="KQX61" s="1462"/>
      <c r="KQY61" s="1463"/>
      <c r="KQZ61" s="1459"/>
      <c r="KRA61" s="1459"/>
      <c r="KRB61" s="1460"/>
      <c r="KRC61" s="1461"/>
      <c r="KRD61" s="1462"/>
      <c r="KRE61" s="1463"/>
      <c r="KRF61" s="1459"/>
      <c r="KRG61" s="1459"/>
      <c r="KRH61" s="1460"/>
      <c r="KRI61" s="1461"/>
      <c r="KRJ61" s="1462"/>
      <c r="KRK61" s="1463"/>
      <c r="KRL61" s="1459"/>
      <c r="KRM61" s="1459"/>
      <c r="KRN61" s="1460"/>
      <c r="KRO61" s="1461"/>
      <c r="KRP61" s="1462"/>
      <c r="KRQ61" s="1463"/>
      <c r="KRR61" s="1459"/>
      <c r="KRS61" s="1459"/>
      <c r="KRT61" s="1460"/>
      <c r="KRU61" s="1461"/>
      <c r="KRV61" s="1462"/>
      <c r="KRW61" s="1463"/>
      <c r="KRX61" s="1459"/>
      <c r="KRY61" s="1459"/>
      <c r="KRZ61" s="1460"/>
      <c r="KSA61" s="1461"/>
      <c r="KSB61" s="1462"/>
      <c r="KSC61" s="1463"/>
      <c r="KSD61" s="1459"/>
      <c r="KSE61" s="1459"/>
      <c r="KSF61" s="1460"/>
      <c r="KSG61" s="1461"/>
      <c r="KSH61" s="1462"/>
      <c r="KSI61" s="1463"/>
      <c r="KSJ61" s="1459"/>
      <c r="KSK61" s="1459"/>
      <c r="KSL61" s="1460"/>
      <c r="KSM61" s="1461"/>
      <c r="KSN61" s="1462"/>
      <c r="KSO61" s="1463"/>
      <c r="KSP61" s="1459"/>
      <c r="KSQ61" s="1459"/>
      <c r="KSR61" s="1460"/>
      <c r="KSS61" s="1461"/>
      <c r="KST61" s="1462"/>
      <c r="KSU61" s="1463"/>
      <c r="KSV61" s="1459"/>
      <c r="KSW61" s="1459"/>
      <c r="KSX61" s="1460"/>
      <c r="KSY61" s="1461"/>
      <c r="KSZ61" s="1462"/>
      <c r="KTA61" s="1463"/>
      <c r="KTB61" s="1459"/>
      <c r="KTC61" s="1459"/>
      <c r="KTD61" s="1460"/>
      <c r="KTE61" s="1461"/>
      <c r="KTF61" s="1462"/>
      <c r="KTG61" s="1463"/>
      <c r="KTH61" s="1459"/>
      <c r="KTI61" s="1459"/>
      <c r="KTJ61" s="1460"/>
      <c r="KTK61" s="1461"/>
      <c r="KTL61" s="1462"/>
      <c r="KTM61" s="1463"/>
      <c r="KTN61" s="1459"/>
      <c r="KTO61" s="1459"/>
      <c r="KTP61" s="1460"/>
      <c r="KTQ61" s="1461"/>
      <c r="KTR61" s="1462"/>
      <c r="KTS61" s="1463"/>
      <c r="KTT61" s="1459"/>
      <c r="KTU61" s="1459"/>
      <c r="KTV61" s="1460"/>
      <c r="KTW61" s="1461"/>
      <c r="KTX61" s="1462"/>
      <c r="KTY61" s="1463"/>
      <c r="KTZ61" s="1459"/>
      <c r="KUA61" s="1459"/>
      <c r="KUB61" s="1460"/>
      <c r="KUC61" s="1461"/>
      <c r="KUD61" s="1462"/>
      <c r="KUE61" s="1463"/>
      <c r="KUF61" s="1459"/>
      <c r="KUG61" s="1459"/>
      <c r="KUH61" s="1460"/>
      <c r="KUI61" s="1461"/>
      <c r="KUJ61" s="1462"/>
      <c r="KUK61" s="1463"/>
      <c r="KUL61" s="1459"/>
      <c r="KUM61" s="1459"/>
      <c r="KUN61" s="1460"/>
      <c r="KUO61" s="1461"/>
      <c r="KUP61" s="1462"/>
      <c r="KUQ61" s="1463"/>
      <c r="KUR61" s="1459"/>
      <c r="KUS61" s="1459"/>
      <c r="KUT61" s="1460"/>
      <c r="KUU61" s="1461"/>
      <c r="KUV61" s="1462"/>
      <c r="KUW61" s="1463"/>
      <c r="KUX61" s="1459"/>
      <c r="KUY61" s="1459"/>
      <c r="KUZ61" s="1460"/>
      <c r="KVA61" s="1461"/>
      <c r="KVB61" s="1462"/>
      <c r="KVC61" s="1463"/>
      <c r="KVD61" s="1459"/>
      <c r="KVE61" s="1459"/>
      <c r="KVF61" s="1460"/>
      <c r="KVG61" s="1461"/>
      <c r="KVH61" s="1462"/>
      <c r="KVI61" s="1463"/>
      <c r="KVJ61" s="1459"/>
      <c r="KVK61" s="1459"/>
      <c r="KVL61" s="1460"/>
      <c r="KVM61" s="1461"/>
      <c r="KVN61" s="1462"/>
      <c r="KVO61" s="1463"/>
      <c r="KVP61" s="1459"/>
      <c r="KVQ61" s="1459"/>
      <c r="KVR61" s="1460"/>
      <c r="KVS61" s="1461"/>
      <c r="KVT61" s="1462"/>
      <c r="KVU61" s="1463"/>
      <c r="KVV61" s="1459"/>
      <c r="KVW61" s="1459"/>
      <c r="KVX61" s="1460"/>
      <c r="KVY61" s="1461"/>
      <c r="KVZ61" s="1462"/>
      <c r="KWA61" s="1463"/>
      <c r="KWB61" s="1459"/>
      <c r="KWC61" s="1459"/>
      <c r="KWD61" s="1460"/>
      <c r="KWE61" s="1461"/>
      <c r="KWF61" s="1462"/>
      <c r="KWG61" s="1463"/>
      <c r="KWH61" s="1459"/>
      <c r="KWI61" s="1459"/>
      <c r="KWJ61" s="1460"/>
      <c r="KWK61" s="1461"/>
      <c r="KWL61" s="1462"/>
      <c r="KWM61" s="1463"/>
      <c r="KWN61" s="1459"/>
      <c r="KWO61" s="1459"/>
      <c r="KWP61" s="1460"/>
      <c r="KWQ61" s="1461"/>
      <c r="KWR61" s="1462"/>
      <c r="KWS61" s="1463"/>
      <c r="KWT61" s="1459"/>
      <c r="KWU61" s="1459"/>
      <c r="KWV61" s="1460"/>
      <c r="KWW61" s="1461"/>
      <c r="KWX61" s="1462"/>
      <c r="KWY61" s="1463"/>
      <c r="KWZ61" s="1459"/>
      <c r="KXA61" s="1459"/>
      <c r="KXB61" s="1460"/>
      <c r="KXC61" s="1461"/>
      <c r="KXD61" s="1462"/>
      <c r="KXE61" s="1463"/>
      <c r="KXF61" s="1459"/>
      <c r="KXG61" s="1459"/>
      <c r="KXH61" s="1460"/>
      <c r="KXI61" s="1461"/>
      <c r="KXJ61" s="1462"/>
      <c r="KXK61" s="1463"/>
      <c r="KXL61" s="1459"/>
      <c r="KXM61" s="1459"/>
      <c r="KXN61" s="1460"/>
      <c r="KXO61" s="1461"/>
      <c r="KXP61" s="1462"/>
      <c r="KXQ61" s="1463"/>
      <c r="KXR61" s="1459"/>
      <c r="KXS61" s="1459"/>
      <c r="KXT61" s="1460"/>
      <c r="KXU61" s="1461"/>
      <c r="KXV61" s="1462"/>
      <c r="KXW61" s="1463"/>
      <c r="KXX61" s="1459"/>
      <c r="KXY61" s="1459"/>
      <c r="KXZ61" s="1460"/>
      <c r="KYA61" s="1461"/>
      <c r="KYB61" s="1462"/>
      <c r="KYC61" s="1463"/>
      <c r="KYD61" s="1459"/>
      <c r="KYE61" s="1459"/>
      <c r="KYF61" s="1460"/>
      <c r="KYG61" s="1461"/>
      <c r="KYH61" s="1462"/>
      <c r="KYI61" s="1463"/>
      <c r="KYJ61" s="1459"/>
      <c r="KYK61" s="1459"/>
      <c r="KYL61" s="1460"/>
      <c r="KYM61" s="1461"/>
      <c r="KYN61" s="1462"/>
      <c r="KYO61" s="1463"/>
      <c r="KYP61" s="1459"/>
      <c r="KYQ61" s="1459"/>
      <c r="KYR61" s="1460"/>
      <c r="KYS61" s="1461"/>
      <c r="KYT61" s="1462"/>
      <c r="KYU61" s="1463"/>
      <c r="KYV61" s="1459"/>
      <c r="KYW61" s="1459"/>
      <c r="KYX61" s="1460"/>
      <c r="KYY61" s="1461"/>
      <c r="KYZ61" s="1462"/>
      <c r="KZA61" s="1463"/>
      <c r="KZB61" s="1459"/>
      <c r="KZC61" s="1459"/>
      <c r="KZD61" s="1460"/>
      <c r="KZE61" s="1461"/>
      <c r="KZF61" s="1462"/>
      <c r="KZG61" s="1463"/>
      <c r="KZH61" s="1459"/>
      <c r="KZI61" s="1459"/>
      <c r="KZJ61" s="1460"/>
      <c r="KZK61" s="1461"/>
      <c r="KZL61" s="1462"/>
      <c r="KZM61" s="1463"/>
      <c r="KZN61" s="1459"/>
      <c r="KZO61" s="1459"/>
      <c r="KZP61" s="1460"/>
      <c r="KZQ61" s="1461"/>
      <c r="KZR61" s="1462"/>
      <c r="KZS61" s="1463"/>
      <c r="KZT61" s="1459"/>
      <c r="KZU61" s="1459"/>
      <c r="KZV61" s="1460"/>
      <c r="KZW61" s="1461"/>
      <c r="KZX61" s="1462"/>
      <c r="KZY61" s="1463"/>
      <c r="KZZ61" s="1459"/>
      <c r="LAA61" s="1459"/>
      <c r="LAB61" s="1460"/>
      <c r="LAC61" s="1461"/>
      <c r="LAD61" s="1462"/>
      <c r="LAE61" s="1463"/>
      <c r="LAF61" s="1459"/>
      <c r="LAG61" s="1459"/>
      <c r="LAH61" s="1460"/>
      <c r="LAI61" s="1461"/>
      <c r="LAJ61" s="1462"/>
      <c r="LAK61" s="1463"/>
      <c r="LAL61" s="1459"/>
      <c r="LAM61" s="1459"/>
      <c r="LAN61" s="1460"/>
      <c r="LAO61" s="1461"/>
      <c r="LAP61" s="1462"/>
      <c r="LAQ61" s="1463"/>
      <c r="LAR61" s="1459"/>
      <c r="LAS61" s="1459"/>
      <c r="LAT61" s="1460"/>
      <c r="LAU61" s="1461"/>
      <c r="LAV61" s="1462"/>
      <c r="LAW61" s="1463"/>
      <c r="LAX61" s="1459"/>
      <c r="LAY61" s="1459"/>
      <c r="LAZ61" s="1460"/>
      <c r="LBA61" s="1461"/>
      <c r="LBB61" s="1462"/>
      <c r="LBC61" s="1463"/>
      <c r="LBD61" s="1459"/>
      <c r="LBE61" s="1459"/>
      <c r="LBF61" s="1460"/>
      <c r="LBG61" s="1461"/>
      <c r="LBH61" s="1462"/>
      <c r="LBI61" s="1463"/>
      <c r="LBJ61" s="1459"/>
      <c r="LBK61" s="1459"/>
      <c r="LBL61" s="1460"/>
      <c r="LBM61" s="1461"/>
      <c r="LBN61" s="1462"/>
      <c r="LBO61" s="1463"/>
      <c r="LBP61" s="1459"/>
      <c r="LBQ61" s="1459"/>
      <c r="LBR61" s="1460"/>
      <c r="LBS61" s="1461"/>
      <c r="LBT61" s="1462"/>
      <c r="LBU61" s="1463"/>
      <c r="LBV61" s="1459"/>
      <c r="LBW61" s="1459"/>
      <c r="LBX61" s="1460"/>
      <c r="LBY61" s="1461"/>
      <c r="LBZ61" s="1462"/>
      <c r="LCA61" s="1463"/>
      <c r="LCB61" s="1459"/>
      <c r="LCC61" s="1459"/>
      <c r="LCD61" s="1460"/>
      <c r="LCE61" s="1461"/>
      <c r="LCF61" s="1462"/>
      <c r="LCG61" s="1463"/>
      <c r="LCH61" s="1459"/>
      <c r="LCI61" s="1459"/>
      <c r="LCJ61" s="1460"/>
      <c r="LCK61" s="1461"/>
      <c r="LCL61" s="1462"/>
      <c r="LCM61" s="1463"/>
      <c r="LCN61" s="1459"/>
      <c r="LCO61" s="1459"/>
      <c r="LCP61" s="1460"/>
      <c r="LCQ61" s="1461"/>
      <c r="LCR61" s="1462"/>
      <c r="LCS61" s="1463"/>
      <c r="LCT61" s="1459"/>
      <c r="LCU61" s="1459"/>
      <c r="LCV61" s="1460"/>
      <c r="LCW61" s="1461"/>
      <c r="LCX61" s="1462"/>
      <c r="LCY61" s="1463"/>
      <c r="LCZ61" s="1459"/>
      <c r="LDA61" s="1459"/>
      <c r="LDB61" s="1460"/>
      <c r="LDC61" s="1461"/>
      <c r="LDD61" s="1462"/>
      <c r="LDE61" s="1463"/>
      <c r="LDF61" s="1459"/>
      <c r="LDG61" s="1459"/>
      <c r="LDH61" s="1460"/>
      <c r="LDI61" s="1461"/>
      <c r="LDJ61" s="1462"/>
      <c r="LDK61" s="1463"/>
      <c r="LDL61" s="1459"/>
      <c r="LDM61" s="1459"/>
      <c r="LDN61" s="1460"/>
      <c r="LDO61" s="1461"/>
      <c r="LDP61" s="1462"/>
      <c r="LDQ61" s="1463"/>
      <c r="LDR61" s="1459"/>
      <c r="LDS61" s="1459"/>
      <c r="LDT61" s="1460"/>
      <c r="LDU61" s="1461"/>
      <c r="LDV61" s="1462"/>
      <c r="LDW61" s="1463"/>
      <c r="LDX61" s="1459"/>
      <c r="LDY61" s="1459"/>
      <c r="LDZ61" s="1460"/>
      <c r="LEA61" s="1461"/>
      <c r="LEB61" s="1462"/>
      <c r="LEC61" s="1463"/>
      <c r="LED61" s="1459"/>
      <c r="LEE61" s="1459"/>
      <c r="LEF61" s="1460"/>
      <c r="LEG61" s="1461"/>
      <c r="LEH61" s="1462"/>
      <c r="LEI61" s="1463"/>
      <c r="LEJ61" s="1459"/>
      <c r="LEK61" s="1459"/>
      <c r="LEL61" s="1460"/>
      <c r="LEM61" s="1461"/>
      <c r="LEN61" s="1462"/>
      <c r="LEO61" s="1463"/>
      <c r="LEP61" s="1459"/>
      <c r="LEQ61" s="1459"/>
      <c r="LER61" s="1460"/>
      <c r="LES61" s="1461"/>
      <c r="LET61" s="1462"/>
      <c r="LEU61" s="1463"/>
      <c r="LEV61" s="1459"/>
      <c r="LEW61" s="1459"/>
      <c r="LEX61" s="1460"/>
      <c r="LEY61" s="1461"/>
      <c r="LEZ61" s="1462"/>
      <c r="LFA61" s="1463"/>
      <c r="LFB61" s="1459"/>
      <c r="LFC61" s="1459"/>
      <c r="LFD61" s="1460"/>
      <c r="LFE61" s="1461"/>
      <c r="LFF61" s="1462"/>
      <c r="LFG61" s="1463"/>
      <c r="LFH61" s="1459"/>
      <c r="LFI61" s="1459"/>
      <c r="LFJ61" s="1460"/>
      <c r="LFK61" s="1461"/>
      <c r="LFL61" s="1462"/>
      <c r="LFM61" s="1463"/>
      <c r="LFN61" s="1459"/>
      <c r="LFO61" s="1459"/>
      <c r="LFP61" s="1460"/>
      <c r="LFQ61" s="1461"/>
      <c r="LFR61" s="1462"/>
      <c r="LFS61" s="1463"/>
      <c r="LFT61" s="1459"/>
      <c r="LFU61" s="1459"/>
      <c r="LFV61" s="1460"/>
      <c r="LFW61" s="1461"/>
      <c r="LFX61" s="1462"/>
      <c r="LFY61" s="1463"/>
      <c r="LFZ61" s="1459"/>
      <c r="LGA61" s="1459"/>
      <c r="LGB61" s="1460"/>
      <c r="LGC61" s="1461"/>
      <c r="LGD61" s="1462"/>
      <c r="LGE61" s="1463"/>
      <c r="LGF61" s="1459"/>
      <c r="LGG61" s="1459"/>
      <c r="LGH61" s="1460"/>
      <c r="LGI61" s="1461"/>
      <c r="LGJ61" s="1462"/>
      <c r="LGK61" s="1463"/>
      <c r="LGL61" s="1459"/>
      <c r="LGM61" s="1459"/>
      <c r="LGN61" s="1460"/>
      <c r="LGO61" s="1461"/>
      <c r="LGP61" s="1462"/>
      <c r="LGQ61" s="1463"/>
      <c r="LGR61" s="1459"/>
      <c r="LGS61" s="1459"/>
      <c r="LGT61" s="1460"/>
      <c r="LGU61" s="1461"/>
      <c r="LGV61" s="1462"/>
      <c r="LGW61" s="1463"/>
      <c r="LGX61" s="1459"/>
      <c r="LGY61" s="1459"/>
      <c r="LGZ61" s="1460"/>
      <c r="LHA61" s="1461"/>
      <c r="LHB61" s="1462"/>
      <c r="LHC61" s="1463"/>
      <c r="LHD61" s="1459"/>
      <c r="LHE61" s="1459"/>
      <c r="LHF61" s="1460"/>
      <c r="LHG61" s="1461"/>
      <c r="LHH61" s="1462"/>
      <c r="LHI61" s="1463"/>
      <c r="LHJ61" s="1459"/>
      <c r="LHK61" s="1459"/>
      <c r="LHL61" s="1460"/>
      <c r="LHM61" s="1461"/>
      <c r="LHN61" s="1462"/>
      <c r="LHO61" s="1463"/>
      <c r="LHP61" s="1459"/>
      <c r="LHQ61" s="1459"/>
      <c r="LHR61" s="1460"/>
      <c r="LHS61" s="1461"/>
      <c r="LHT61" s="1462"/>
      <c r="LHU61" s="1463"/>
      <c r="LHV61" s="1459"/>
      <c r="LHW61" s="1459"/>
      <c r="LHX61" s="1460"/>
      <c r="LHY61" s="1461"/>
      <c r="LHZ61" s="1462"/>
      <c r="LIA61" s="1463"/>
      <c r="LIB61" s="1459"/>
      <c r="LIC61" s="1459"/>
      <c r="LID61" s="1460"/>
      <c r="LIE61" s="1461"/>
      <c r="LIF61" s="1462"/>
      <c r="LIG61" s="1463"/>
      <c r="LIH61" s="1459"/>
      <c r="LII61" s="1459"/>
      <c r="LIJ61" s="1460"/>
      <c r="LIK61" s="1461"/>
      <c r="LIL61" s="1462"/>
      <c r="LIM61" s="1463"/>
      <c r="LIN61" s="1459"/>
      <c r="LIO61" s="1459"/>
      <c r="LIP61" s="1460"/>
      <c r="LIQ61" s="1461"/>
      <c r="LIR61" s="1462"/>
      <c r="LIS61" s="1463"/>
      <c r="LIT61" s="1459"/>
      <c r="LIU61" s="1459"/>
      <c r="LIV61" s="1460"/>
      <c r="LIW61" s="1461"/>
      <c r="LIX61" s="1462"/>
      <c r="LIY61" s="1463"/>
      <c r="LIZ61" s="1459"/>
      <c r="LJA61" s="1459"/>
      <c r="LJB61" s="1460"/>
      <c r="LJC61" s="1461"/>
      <c r="LJD61" s="1462"/>
      <c r="LJE61" s="1463"/>
      <c r="LJF61" s="1459"/>
      <c r="LJG61" s="1459"/>
      <c r="LJH61" s="1460"/>
      <c r="LJI61" s="1461"/>
      <c r="LJJ61" s="1462"/>
      <c r="LJK61" s="1463"/>
      <c r="LJL61" s="1459"/>
      <c r="LJM61" s="1459"/>
      <c r="LJN61" s="1460"/>
      <c r="LJO61" s="1461"/>
      <c r="LJP61" s="1462"/>
      <c r="LJQ61" s="1463"/>
      <c r="LJR61" s="1459"/>
      <c r="LJS61" s="1459"/>
      <c r="LJT61" s="1460"/>
      <c r="LJU61" s="1461"/>
      <c r="LJV61" s="1462"/>
      <c r="LJW61" s="1463"/>
      <c r="LJX61" s="1459"/>
      <c r="LJY61" s="1459"/>
      <c r="LJZ61" s="1460"/>
      <c r="LKA61" s="1461"/>
      <c r="LKB61" s="1462"/>
      <c r="LKC61" s="1463"/>
      <c r="LKD61" s="1459"/>
      <c r="LKE61" s="1459"/>
      <c r="LKF61" s="1460"/>
      <c r="LKG61" s="1461"/>
      <c r="LKH61" s="1462"/>
      <c r="LKI61" s="1463"/>
      <c r="LKJ61" s="1459"/>
      <c r="LKK61" s="1459"/>
      <c r="LKL61" s="1460"/>
      <c r="LKM61" s="1461"/>
      <c r="LKN61" s="1462"/>
      <c r="LKO61" s="1463"/>
      <c r="LKP61" s="1459"/>
      <c r="LKQ61" s="1459"/>
      <c r="LKR61" s="1460"/>
      <c r="LKS61" s="1461"/>
      <c r="LKT61" s="1462"/>
      <c r="LKU61" s="1463"/>
      <c r="LKV61" s="1459"/>
      <c r="LKW61" s="1459"/>
      <c r="LKX61" s="1460"/>
      <c r="LKY61" s="1461"/>
      <c r="LKZ61" s="1462"/>
      <c r="LLA61" s="1463"/>
      <c r="LLB61" s="1459"/>
      <c r="LLC61" s="1459"/>
      <c r="LLD61" s="1460"/>
      <c r="LLE61" s="1461"/>
      <c r="LLF61" s="1462"/>
      <c r="LLG61" s="1463"/>
      <c r="LLH61" s="1459"/>
      <c r="LLI61" s="1459"/>
      <c r="LLJ61" s="1460"/>
      <c r="LLK61" s="1461"/>
      <c r="LLL61" s="1462"/>
      <c r="LLM61" s="1463"/>
      <c r="LLN61" s="1459"/>
      <c r="LLO61" s="1459"/>
      <c r="LLP61" s="1460"/>
      <c r="LLQ61" s="1461"/>
      <c r="LLR61" s="1462"/>
      <c r="LLS61" s="1463"/>
      <c r="LLT61" s="1459"/>
      <c r="LLU61" s="1459"/>
      <c r="LLV61" s="1460"/>
      <c r="LLW61" s="1461"/>
      <c r="LLX61" s="1462"/>
      <c r="LLY61" s="1463"/>
      <c r="LLZ61" s="1459"/>
      <c r="LMA61" s="1459"/>
      <c r="LMB61" s="1460"/>
      <c r="LMC61" s="1461"/>
      <c r="LMD61" s="1462"/>
      <c r="LME61" s="1463"/>
      <c r="LMF61" s="1459"/>
      <c r="LMG61" s="1459"/>
      <c r="LMH61" s="1460"/>
      <c r="LMI61" s="1461"/>
      <c r="LMJ61" s="1462"/>
      <c r="LMK61" s="1463"/>
      <c r="LML61" s="1459"/>
      <c r="LMM61" s="1459"/>
      <c r="LMN61" s="1460"/>
      <c r="LMO61" s="1461"/>
      <c r="LMP61" s="1462"/>
      <c r="LMQ61" s="1463"/>
      <c r="LMR61" s="1459"/>
      <c r="LMS61" s="1459"/>
      <c r="LMT61" s="1460"/>
      <c r="LMU61" s="1461"/>
      <c r="LMV61" s="1462"/>
      <c r="LMW61" s="1463"/>
      <c r="LMX61" s="1459"/>
      <c r="LMY61" s="1459"/>
      <c r="LMZ61" s="1460"/>
      <c r="LNA61" s="1461"/>
      <c r="LNB61" s="1462"/>
      <c r="LNC61" s="1463"/>
      <c r="LND61" s="1459"/>
      <c r="LNE61" s="1459"/>
      <c r="LNF61" s="1460"/>
      <c r="LNG61" s="1461"/>
      <c r="LNH61" s="1462"/>
      <c r="LNI61" s="1463"/>
      <c r="LNJ61" s="1459"/>
      <c r="LNK61" s="1459"/>
      <c r="LNL61" s="1460"/>
      <c r="LNM61" s="1461"/>
      <c r="LNN61" s="1462"/>
      <c r="LNO61" s="1463"/>
      <c r="LNP61" s="1459"/>
      <c r="LNQ61" s="1459"/>
      <c r="LNR61" s="1460"/>
      <c r="LNS61" s="1461"/>
      <c r="LNT61" s="1462"/>
      <c r="LNU61" s="1463"/>
      <c r="LNV61" s="1459"/>
      <c r="LNW61" s="1459"/>
      <c r="LNX61" s="1460"/>
      <c r="LNY61" s="1461"/>
      <c r="LNZ61" s="1462"/>
      <c r="LOA61" s="1463"/>
      <c r="LOB61" s="1459"/>
      <c r="LOC61" s="1459"/>
      <c r="LOD61" s="1460"/>
      <c r="LOE61" s="1461"/>
      <c r="LOF61" s="1462"/>
      <c r="LOG61" s="1463"/>
      <c r="LOH61" s="1459"/>
      <c r="LOI61" s="1459"/>
      <c r="LOJ61" s="1460"/>
      <c r="LOK61" s="1461"/>
      <c r="LOL61" s="1462"/>
      <c r="LOM61" s="1463"/>
      <c r="LON61" s="1459"/>
      <c r="LOO61" s="1459"/>
      <c r="LOP61" s="1460"/>
      <c r="LOQ61" s="1461"/>
      <c r="LOR61" s="1462"/>
      <c r="LOS61" s="1463"/>
      <c r="LOT61" s="1459"/>
      <c r="LOU61" s="1459"/>
      <c r="LOV61" s="1460"/>
      <c r="LOW61" s="1461"/>
      <c r="LOX61" s="1462"/>
      <c r="LOY61" s="1463"/>
      <c r="LOZ61" s="1459"/>
      <c r="LPA61" s="1459"/>
      <c r="LPB61" s="1460"/>
      <c r="LPC61" s="1461"/>
      <c r="LPD61" s="1462"/>
      <c r="LPE61" s="1463"/>
      <c r="LPF61" s="1459"/>
      <c r="LPG61" s="1459"/>
      <c r="LPH61" s="1460"/>
      <c r="LPI61" s="1461"/>
      <c r="LPJ61" s="1462"/>
      <c r="LPK61" s="1463"/>
      <c r="LPL61" s="1459"/>
      <c r="LPM61" s="1459"/>
      <c r="LPN61" s="1460"/>
      <c r="LPO61" s="1461"/>
      <c r="LPP61" s="1462"/>
      <c r="LPQ61" s="1463"/>
      <c r="LPR61" s="1459"/>
      <c r="LPS61" s="1459"/>
      <c r="LPT61" s="1460"/>
      <c r="LPU61" s="1461"/>
      <c r="LPV61" s="1462"/>
      <c r="LPW61" s="1463"/>
      <c r="LPX61" s="1459"/>
      <c r="LPY61" s="1459"/>
      <c r="LPZ61" s="1460"/>
      <c r="LQA61" s="1461"/>
      <c r="LQB61" s="1462"/>
      <c r="LQC61" s="1463"/>
      <c r="LQD61" s="1459"/>
      <c r="LQE61" s="1459"/>
      <c r="LQF61" s="1460"/>
      <c r="LQG61" s="1461"/>
      <c r="LQH61" s="1462"/>
      <c r="LQI61" s="1463"/>
      <c r="LQJ61" s="1459"/>
      <c r="LQK61" s="1459"/>
      <c r="LQL61" s="1460"/>
      <c r="LQM61" s="1461"/>
      <c r="LQN61" s="1462"/>
      <c r="LQO61" s="1463"/>
      <c r="LQP61" s="1459"/>
      <c r="LQQ61" s="1459"/>
      <c r="LQR61" s="1460"/>
      <c r="LQS61" s="1461"/>
      <c r="LQT61" s="1462"/>
      <c r="LQU61" s="1463"/>
      <c r="LQV61" s="1459"/>
      <c r="LQW61" s="1459"/>
      <c r="LQX61" s="1460"/>
      <c r="LQY61" s="1461"/>
      <c r="LQZ61" s="1462"/>
      <c r="LRA61" s="1463"/>
      <c r="LRB61" s="1459"/>
      <c r="LRC61" s="1459"/>
      <c r="LRD61" s="1460"/>
      <c r="LRE61" s="1461"/>
      <c r="LRF61" s="1462"/>
      <c r="LRG61" s="1463"/>
      <c r="LRH61" s="1459"/>
      <c r="LRI61" s="1459"/>
      <c r="LRJ61" s="1460"/>
      <c r="LRK61" s="1461"/>
      <c r="LRL61" s="1462"/>
      <c r="LRM61" s="1463"/>
      <c r="LRN61" s="1459"/>
      <c r="LRO61" s="1459"/>
      <c r="LRP61" s="1460"/>
      <c r="LRQ61" s="1461"/>
      <c r="LRR61" s="1462"/>
      <c r="LRS61" s="1463"/>
      <c r="LRT61" s="1459"/>
      <c r="LRU61" s="1459"/>
      <c r="LRV61" s="1460"/>
      <c r="LRW61" s="1461"/>
      <c r="LRX61" s="1462"/>
      <c r="LRY61" s="1463"/>
      <c r="LRZ61" s="1459"/>
      <c r="LSA61" s="1459"/>
      <c r="LSB61" s="1460"/>
      <c r="LSC61" s="1461"/>
      <c r="LSD61" s="1462"/>
      <c r="LSE61" s="1463"/>
      <c r="LSF61" s="1459"/>
      <c r="LSG61" s="1459"/>
      <c r="LSH61" s="1460"/>
      <c r="LSI61" s="1461"/>
      <c r="LSJ61" s="1462"/>
      <c r="LSK61" s="1463"/>
      <c r="LSL61" s="1459"/>
      <c r="LSM61" s="1459"/>
      <c r="LSN61" s="1460"/>
      <c r="LSO61" s="1461"/>
      <c r="LSP61" s="1462"/>
      <c r="LSQ61" s="1463"/>
      <c r="LSR61" s="1459"/>
      <c r="LSS61" s="1459"/>
      <c r="LST61" s="1460"/>
      <c r="LSU61" s="1461"/>
      <c r="LSV61" s="1462"/>
      <c r="LSW61" s="1463"/>
      <c r="LSX61" s="1459"/>
      <c r="LSY61" s="1459"/>
      <c r="LSZ61" s="1460"/>
      <c r="LTA61" s="1461"/>
      <c r="LTB61" s="1462"/>
      <c r="LTC61" s="1463"/>
      <c r="LTD61" s="1459"/>
      <c r="LTE61" s="1459"/>
      <c r="LTF61" s="1460"/>
      <c r="LTG61" s="1461"/>
      <c r="LTH61" s="1462"/>
      <c r="LTI61" s="1463"/>
      <c r="LTJ61" s="1459"/>
      <c r="LTK61" s="1459"/>
      <c r="LTL61" s="1460"/>
      <c r="LTM61" s="1461"/>
      <c r="LTN61" s="1462"/>
      <c r="LTO61" s="1463"/>
      <c r="LTP61" s="1459"/>
      <c r="LTQ61" s="1459"/>
      <c r="LTR61" s="1460"/>
      <c r="LTS61" s="1461"/>
      <c r="LTT61" s="1462"/>
      <c r="LTU61" s="1463"/>
      <c r="LTV61" s="1459"/>
      <c r="LTW61" s="1459"/>
      <c r="LTX61" s="1460"/>
      <c r="LTY61" s="1461"/>
      <c r="LTZ61" s="1462"/>
      <c r="LUA61" s="1463"/>
      <c r="LUB61" s="1459"/>
      <c r="LUC61" s="1459"/>
      <c r="LUD61" s="1460"/>
      <c r="LUE61" s="1461"/>
      <c r="LUF61" s="1462"/>
      <c r="LUG61" s="1463"/>
      <c r="LUH61" s="1459"/>
      <c r="LUI61" s="1459"/>
      <c r="LUJ61" s="1460"/>
      <c r="LUK61" s="1461"/>
      <c r="LUL61" s="1462"/>
      <c r="LUM61" s="1463"/>
      <c r="LUN61" s="1459"/>
      <c r="LUO61" s="1459"/>
      <c r="LUP61" s="1460"/>
      <c r="LUQ61" s="1461"/>
      <c r="LUR61" s="1462"/>
      <c r="LUS61" s="1463"/>
      <c r="LUT61" s="1459"/>
      <c r="LUU61" s="1459"/>
      <c r="LUV61" s="1460"/>
      <c r="LUW61" s="1461"/>
      <c r="LUX61" s="1462"/>
      <c r="LUY61" s="1463"/>
      <c r="LUZ61" s="1459"/>
      <c r="LVA61" s="1459"/>
      <c r="LVB61" s="1460"/>
      <c r="LVC61" s="1461"/>
      <c r="LVD61" s="1462"/>
      <c r="LVE61" s="1463"/>
      <c r="LVF61" s="1459"/>
      <c r="LVG61" s="1459"/>
      <c r="LVH61" s="1460"/>
      <c r="LVI61" s="1461"/>
      <c r="LVJ61" s="1462"/>
      <c r="LVK61" s="1463"/>
      <c r="LVL61" s="1459"/>
      <c r="LVM61" s="1459"/>
      <c r="LVN61" s="1460"/>
      <c r="LVO61" s="1461"/>
      <c r="LVP61" s="1462"/>
      <c r="LVQ61" s="1463"/>
      <c r="LVR61" s="1459"/>
      <c r="LVS61" s="1459"/>
      <c r="LVT61" s="1460"/>
      <c r="LVU61" s="1461"/>
      <c r="LVV61" s="1462"/>
      <c r="LVW61" s="1463"/>
      <c r="LVX61" s="1459"/>
      <c r="LVY61" s="1459"/>
      <c r="LVZ61" s="1460"/>
      <c r="LWA61" s="1461"/>
      <c r="LWB61" s="1462"/>
      <c r="LWC61" s="1463"/>
      <c r="LWD61" s="1459"/>
      <c r="LWE61" s="1459"/>
      <c r="LWF61" s="1460"/>
      <c r="LWG61" s="1461"/>
      <c r="LWH61" s="1462"/>
      <c r="LWI61" s="1463"/>
      <c r="LWJ61" s="1459"/>
      <c r="LWK61" s="1459"/>
      <c r="LWL61" s="1460"/>
      <c r="LWM61" s="1461"/>
      <c r="LWN61" s="1462"/>
      <c r="LWO61" s="1463"/>
      <c r="LWP61" s="1459"/>
      <c r="LWQ61" s="1459"/>
      <c r="LWR61" s="1460"/>
      <c r="LWS61" s="1461"/>
      <c r="LWT61" s="1462"/>
      <c r="LWU61" s="1463"/>
      <c r="LWV61" s="1459"/>
      <c r="LWW61" s="1459"/>
      <c r="LWX61" s="1460"/>
      <c r="LWY61" s="1461"/>
      <c r="LWZ61" s="1462"/>
      <c r="LXA61" s="1463"/>
      <c r="LXB61" s="1459"/>
      <c r="LXC61" s="1459"/>
      <c r="LXD61" s="1460"/>
      <c r="LXE61" s="1461"/>
      <c r="LXF61" s="1462"/>
      <c r="LXG61" s="1463"/>
      <c r="LXH61" s="1459"/>
      <c r="LXI61" s="1459"/>
      <c r="LXJ61" s="1460"/>
      <c r="LXK61" s="1461"/>
      <c r="LXL61" s="1462"/>
      <c r="LXM61" s="1463"/>
      <c r="LXN61" s="1459"/>
      <c r="LXO61" s="1459"/>
      <c r="LXP61" s="1460"/>
      <c r="LXQ61" s="1461"/>
      <c r="LXR61" s="1462"/>
      <c r="LXS61" s="1463"/>
      <c r="LXT61" s="1459"/>
      <c r="LXU61" s="1459"/>
      <c r="LXV61" s="1460"/>
      <c r="LXW61" s="1461"/>
      <c r="LXX61" s="1462"/>
      <c r="LXY61" s="1463"/>
      <c r="LXZ61" s="1459"/>
      <c r="LYA61" s="1459"/>
      <c r="LYB61" s="1460"/>
      <c r="LYC61" s="1461"/>
      <c r="LYD61" s="1462"/>
      <c r="LYE61" s="1463"/>
      <c r="LYF61" s="1459"/>
      <c r="LYG61" s="1459"/>
      <c r="LYH61" s="1460"/>
      <c r="LYI61" s="1461"/>
      <c r="LYJ61" s="1462"/>
      <c r="LYK61" s="1463"/>
      <c r="LYL61" s="1459"/>
      <c r="LYM61" s="1459"/>
      <c r="LYN61" s="1460"/>
      <c r="LYO61" s="1461"/>
      <c r="LYP61" s="1462"/>
      <c r="LYQ61" s="1463"/>
      <c r="LYR61" s="1459"/>
      <c r="LYS61" s="1459"/>
      <c r="LYT61" s="1460"/>
      <c r="LYU61" s="1461"/>
      <c r="LYV61" s="1462"/>
      <c r="LYW61" s="1463"/>
      <c r="LYX61" s="1459"/>
      <c r="LYY61" s="1459"/>
      <c r="LYZ61" s="1460"/>
      <c r="LZA61" s="1461"/>
      <c r="LZB61" s="1462"/>
      <c r="LZC61" s="1463"/>
      <c r="LZD61" s="1459"/>
      <c r="LZE61" s="1459"/>
      <c r="LZF61" s="1460"/>
      <c r="LZG61" s="1461"/>
      <c r="LZH61" s="1462"/>
      <c r="LZI61" s="1463"/>
      <c r="LZJ61" s="1459"/>
      <c r="LZK61" s="1459"/>
      <c r="LZL61" s="1460"/>
      <c r="LZM61" s="1461"/>
      <c r="LZN61" s="1462"/>
      <c r="LZO61" s="1463"/>
      <c r="LZP61" s="1459"/>
      <c r="LZQ61" s="1459"/>
      <c r="LZR61" s="1460"/>
      <c r="LZS61" s="1461"/>
      <c r="LZT61" s="1462"/>
      <c r="LZU61" s="1463"/>
      <c r="LZV61" s="1459"/>
      <c r="LZW61" s="1459"/>
      <c r="LZX61" s="1460"/>
      <c r="LZY61" s="1461"/>
      <c r="LZZ61" s="1462"/>
      <c r="MAA61" s="1463"/>
      <c r="MAB61" s="1459"/>
      <c r="MAC61" s="1459"/>
      <c r="MAD61" s="1460"/>
      <c r="MAE61" s="1461"/>
      <c r="MAF61" s="1462"/>
      <c r="MAG61" s="1463"/>
      <c r="MAH61" s="1459"/>
      <c r="MAI61" s="1459"/>
      <c r="MAJ61" s="1460"/>
      <c r="MAK61" s="1461"/>
      <c r="MAL61" s="1462"/>
      <c r="MAM61" s="1463"/>
      <c r="MAN61" s="1459"/>
      <c r="MAO61" s="1459"/>
      <c r="MAP61" s="1460"/>
      <c r="MAQ61" s="1461"/>
      <c r="MAR61" s="1462"/>
      <c r="MAS61" s="1463"/>
      <c r="MAT61" s="1459"/>
      <c r="MAU61" s="1459"/>
      <c r="MAV61" s="1460"/>
      <c r="MAW61" s="1461"/>
      <c r="MAX61" s="1462"/>
      <c r="MAY61" s="1463"/>
      <c r="MAZ61" s="1459"/>
      <c r="MBA61" s="1459"/>
      <c r="MBB61" s="1460"/>
      <c r="MBC61" s="1461"/>
      <c r="MBD61" s="1462"/>
      <c r="MBE61" s="1463"/>
      <c r="MBF61" s="1459"/>
      <c r="MBG61" s="1459"/>
      <c r="MBH61" s="1460"/>
      <c r="MBI61" s="1461"/>
      <c r="MBJ61" s="1462"/>
      <c r="MBK61" s="1463"/>
      <c r="MBL61" s="1459"/>
      <c r="MBM61" s="1459"/>
      <c r="MBN61" s="1460"/>
      <c r="MBO61" s="1461"/>
      <c r="MBP61" s="1462"/>
      <c r="MBQ61" s="1463"/>
      <c r="MBR61" s="1459"/>
      <c r="MBS61" s="1459"/>
      <c r="MBT61" s="1460"/>
      <c r="MBU61" s="1461"/>
      <c r="MBV61" s="1462"/>
      <c r="MBW61" s="1463"/>
      <c r="MBX61" s="1459"/>
      <c r="MBY61" s="1459"/>
      <c r="MBZ61" s="1460"/>
      <c r="MCA61" s="1461"/>
      <c r="MCB61" s="1462"/>
      <c r="MCC61" s="1463"/>
      <c r="MCD61" s="1459"/>
      <c r="MCE61" s="1459"/>
      <c r="MCF61" s="1460"/>
      <c r="MCG61" s="1461"/>
      <c r="MCH61" s="1462"/>
      <c r="MCI61" s="1463"/>
      <c r="MCJ61" s="1459"/>
      <c r="MCK61" s="1459"/>
      <c r="MCL61" s="1460"/>
      <c r="MCM61" s="1461"/>
      <c r="MCN61" s="1462"/>
      <c r="MCO61" s="1463"/>
      <c r="MCP61" s="1459"/>
      <c r="MCQ61" s="1459"/>
      <c r="MCR61" s="1460"/>
      <c r="MCS61" s="1461"/>
      <c r="MCT61" s="1462"/>
      <c r="MCU61" s="1463"/>
      <c r="MCV61" s="1459"/>
      <c r="MCW61" s="1459"/>
      <c r="MCX61" s="1460"/>
      <c r="MCY61" s="1461"/>
      <c r="MCZ61" s="1462"/>
      <c r="MDA61" s="1463"/>
      <c r="MDB61" s="1459"/>
      <c r="MDC61" s="1459"/>
      <c r="MDD61" s="1460"/>
      <c r="MDE61" s="1461"/>
      <c r="MDF61" s="1462"/>
      <c r="MDG61" s="1463"/>
      <c r="MDH61" s="1459"/>
      <c r="MDI61" s="1459"/>
      <c r="MDJ61" s="1460"/>
      <c r="MDK61" s="1461"/>
      <c r="MDL61" s="1462"/>
      <c r="MDM61" s="1463"/>
      <c r="MDN61" s="1459"/>
      <c r="MDO61" s="1459"/>
      <c r="MDP61" s="1460"/>
      <c r="MDQ61" s="1461"/>
      <c r="MDR61" s="1462"/>
      <c r="MDS61" s="1463"/>
      <c r="MDT61" s="1459"/>
      <c r="MDU61" s="1459"/>
      <c r="MDV61" s="1460"/>
      <c r="MDW61" s="1461"/>
      <c r="MDX61" s="1462"/>
      <c r="MDY61" s="1463"/>
      <c r="MDZ61" s="1459"/>
      <c r="MEA61" s="1459"/>
      <c r="MEB61" s="1460"/>
      <c r="MEC61" s="1461"/>
      <c r="MED61" s="1462"/>
      <c r="MEE61" s="1463"/>
      <c r="MEF61" s="1459"/>
      <c r="MEG61" s="1459"/>
      <c r="MEH61" s="1460"/>
      <c r="MEI61" s="1461"/>
      <c r="MEJ61" s="1462"/>
      <c r="MEK61" s="1463"/>
      <c r="MEL61" s="1459"/>
      <c r="MEM61" s="1459"/>
      <c r="MEN61" s="1460"/>
      <c r="MEO61" s="1461"/>
      <c r="MEP61" s="1462"/>
      <c r="MEQ61" s="1463"/>
      <c r="MER61" s="1459"/>
      <c r="MES61" s="1459"/>
      <c r="MET61" s="1460"/>
      <c r="MEU61" s="1461"/>
      <c r="MEV61" s="1462"/>
      <c r="MEW61" s="1463"/>
      <c r="MEX61" s="1459"/>
      <c r="MEY61" s="1459"/>
      <c r="MEZ61" s="1460"/>
      <c r="MFA61" s="1461"/>
      <c r="MFB61" s="1462"/>
      <c r="MFC61" s="1463"/>
      <c r="MFD61" s="1459"/>
      <c r="MFE61" s="1459"/>
      <c r="MFF61" s="1460"/>
      <c r="MFG61" s="1461"/>
      <c r="MFH61" s="1462"/>
      <c r="MFI61" s="1463"/>
      <c r="MFJ61" s="1459"/>
      <c r="MFK61" s="1459"/>
      <c r="MFL61" s="1460"/>
      <c r="MFM61" s="1461"/>
      <c r="MFN61" s="1462"/>
      <c r="MFO61" s="1463"/>
      <c r="MFP61" s="1459"/>
      <c r="MFQ61" s="1459"/>
      <c r="MFR61" s="1460"/>
      <c r="MFS61" s="1461"/>
      <c r="MFT61" s="1462"/>
      <c r="MFU61" s="1463"/>
      <c r="MFV61" s="1459"/>
      <c r="MFW61" s="1459"/>
      <c r="MFX61" s="1460"/>
      <c r="MFY61" s="1461"/>
      <c r="MFZ61" s="1462"/>
      <c r="MGA61" s="1463"/>
      <c r="MGB61" s="1459"/>
      <c r="MGC61" s="1459"/>
      <c r="MGD61" s="1460"/>
      <c r="MGE61" s="1461"/>
      <c r="MGF61" s="1462"/>
      <c r="MGG61" s="1463"/>
      <c r="MGH61" s="1459"/>
      <c r="MGI61" s="1459"/>
      <c r="MGJ61" s="1460"/>
      <c r="MGK61" s="1461"/>
      <c r="MGL61" s="1462"/>
      <c r="MGM61" s="1463"/>
      <c r="MGN61" s="1459"/>
      <c r="MGO61" s="1459"/>
      <c r="MGP61" s="1460"/>
      <c r="MGQ61" s="1461"/>
      <c r="MGR61" s="1462"/>
      <c r="MGS61" s="1463"/>
      <c r="MGT61" s="1459"/>
      <c r="MGU61" s="1459"/>
      <c r="MGV61" s="1460"/>
      <c r="MGW61" s="1461"/>
      <c r="MGX61" s="1462"/>
      <c r="MGY61" s="1463"/>
      <c r="MGZ61" s="1459"/>
      <c r="MHA61" s="1459"/>
      <c r="MHB61" s="1460"/>
      <c r="MHC61" s="1461"/>
      <c r="MHD61" s="1462"/>
      <c r="MHE61" s="1463"/>
      <c r="MHF61" s="1459"/>
      <c r="MHG61" s="1459"/>
      <c r="MHH61" s="1460"/>
      <c r="MHI61" s="1461"/>
      <c r="MHJ61" s="1462"/>
      <c r="MHK61" s="1463"/>
      <c r="MHL61" s="1459"/>
      <c r="MHM61" s="1459"/>
      <c r="MHN61" s="1460"/>
      <c r="MHO61" s="1461"/>
      <c r="MHP61" s="1462"/>
      <c r="MHQ61" s="1463"/>
      <c r="MHR61" s="1459"/>
      <c r="MHS61" s="1459"/>
      <c r="MHT61" s="1460"/>
      <c r="MHU61" s="1461"/>
      <c r="MHV61" s="1462"/>
      <c r="MHW61" s="1463"/>
      <c r="MHX61" s="1459"/>
      <c r="MHY61" s="1459"/>
      <c r="MHZ61" s="1460"/>
      <c r="MIA61" s="1461"/>
      <c r="MIB61" s="1462"/>
      <c r="MIC61" s="1463"/>
      <c r="MID61" s="1459"/>
      <c r="MIE61" s="1459"/>
      <c r="MIF61" s="1460"/>
      <c r="MIG61" s="1461"/>
      <c r="MIH61" s="1462"/>
      <c r="MII61" s="1463"/>
      <c r="MIJ61" s="1459"/>
      <c r="MIK61" s="1459"/>
      <c r="MIL61" s="1460"/>
      <c r="MIM61" s="1461"/>
      <c r="MIN61" s="1462"/>
      <c r="MIO61" s="1463"/>
      <c r="MIP61" s="1459"/>
      <c r="MIQ61" s="1459"/>
      <c r="MIR61" s="1460"/>
      <c r="MIS61" s="1461"/>
      <c r="MIT61" s="1462"/>
      <c r="MIU61" s="1463"/>
      <c r="MIV61" s="1459"/>
      <c r="MIW61" s="1459"/>
      <c r="MIX61" s="1460"/>
      <c r="MIY61" s="1461"/>
      <c r="MIZ61" s="1462"/>
      <c r="MJA61" s="1463"/>
      <c r="MJB61" s="1459"/>
      <c r="MJC61" s="1459"/>
      <c r="MJD61" s="1460"/>
      <c r="MJE61" s="1461"/>
      <c r="MJF61" s="1462"/>
      <c r="MJG61" s="1463"/>
      <c r="MJH61" s="1459"/>
      <c r="MJI61" s="1459"/>
      <c r="MJJ61" s="1460"/>
      <c r="MJK61" s="1461"/>
      <c r="MJL61" s="1462"/>
      <c r="MJM61" s="1463"/>
      <c r="MJN61" s="1459"/>
      <c r="MJO61" s="1459"/>
      <c r="MJP61" s="1460"/>
      <c r="MJQ61" s="1461"/>
      <c r="MJR61" s="1462"/>
      <c r="MJS61" s="1463"/>
      <c r="MJT61" s="1459"/>
      <c r="MJU61" s="1459"/>
      <c r="MJV61" s="1460"/>
      <c r="MJW61" s="1461"/>
      <c r="MJX61" s="1462"/>
      <c r="MJY61" s="1463"/>
      <c r="MJZ61" s="1459"/>
      <c r="MKA61" s="1459"/>
      <c r="MKB61" s="1460"/>
      <c r="MKC61" s="1461"/>
      <c r="MKD61" s="1462"/>
      <c r="MKE61" s="1463"/>
      <c r="MKF61" s="1459"/>
      <c r="MKG61" s="1459"/>
      <c r="MKH61" s="1460"/>
      <c r="MKI61" s="1461"/>
      <c r="MKJ61" s="1462"/>
      <c r="MKK61" s="1463"/>
      <c r="MKL61" s="1459"/>
      <c r="MKM61" s="1459"/>
      <c r="MKN61" s="1460"/>
      <c r="MKO61" s="1461"/>
      <c r="MKP61" s="1462"/>
      <c r="MKQ61" s="1463"/>
      <c r="MKR61" s="1459"/>
      <c r="MKS61" s="1459"/>
      <c r="MKT61" s="1460"/>
      <c r="MKU61" s="1461"/>
      <c r="MKV61" s="1462"/>
      <c r="MKW61" s="1463"/>
      <c r="MKX61" s="1459"/>
      <c r="MKY61" s="1459"/>
      <c r="MKZ61" s="1460"/>
      <c r="MLA61" s="1461"/>
      <c r="MLB61" s="1462"/>
      <c r="MLC61" s="1463"/>
      <c r="MLD61" s="1459"/>
      <c r="MLE61" s="1459"/>
      <c r="MLF61" s="1460"/>
      <c r="MLG61" s="1461"/>
      <c r="MLH61" s="1462"/>
      <c r="MLI61" s="1463"/>
      <c r="MLJ61" s="1459"/>
      <c r="MLK61" s="1459"/>
      <c r="MLL61" s="1460"/>
      <c r="MLM61" s="1461"/>
      <c r="MLN61" s="1462"/>
      <c r="MLO61" s="1463"/>
      <c r="MLP61" s="1459"/>
      <c r="MLQ61" s="1459"/>
      <c r="MLR61" s="1460"/>
      <c r="MLS61" s="1461"/>
      <c r="MLT61" s="1462"/>
      <c r="MLU61" s="1463"/>
      <c r="MLV61" s="1459"/>
      <c r="MLW61" s="1459"/>
      <c r="MLX61" s="1460"/>
      <c r="MLY61" s="1461"/>
      <c r="MLZ61" s="1462"/>
      <c r="MMA61" s="1463"/>
      <c r="MMB61" s="1459"/>
      <c r="MMC61" s="1459"/>
      <c r="MMD61" s="1460"/>
      <c r="MME61" s="1461"/>
      <c r="MMF61" s="1462"/>
      <c r="MMG61" s="1463"/>
      <c r="MMH61" s="1459"/>
      <c r="MMI61" s="1459"/>
      <c r="MMJ61" s="1460"/>
      <c r="MMK61" s="1461"/>
      <c r="MML61" s="1462"/>
      <c r="MMM61" s="1463"/>
      <c r="MMN61" s="1459"/>
      <c r="MMO61" s="1459"/>
      <c r="MMP61" s="1460"/>
      <c r="MMQ61" s="1461"/>
      <c r="MMR61" s="1462"/>
      <c r="MMS61" s="1463"/>
      <c r="MMT61" s="1459"/>
      <c r="MMU61" s="1459"/>
      <c r="MMV61" s="1460"/>
      <c r="MMW61" s="1461"/>
      <c r="MMX61" s="1462"/>
      <c r="MMY61" s="1463"/>
      <c r="MMZ61" s="1459"/>
      <c r="MNA61" s="1459"/>
      <c r="MNB61" s="1460"/>
      <c r="MNC61" s="1461"/>
      <c r="MND61" s="1462"/>
      <c r="MNE61" s="1463"/>
      <c r="MNF61" s="1459"/>
      <c r="MNG61" s="1459"/>
      <c r="MNH61" s="1460"/>
      <c r="MNI61" s="1461"/>
      <c r="MNJ61" s="1462"/>
      <c r="MNK61" s="1463"/>
      <c r="MNL61" s="1459"/>
      <c r="MNM61" s="1459"/>
      <c r="MNN61" s="1460"/>
      <c r="MNO61" s="1461"/>
      <c r="MNP61" s="1462"/>
      <c r="MNQ61" s="1463"/>
      <c r="MNR61" s="1459"/>
      <c r="MNS61" s="1459"/>
      <c r="MNT61" s="1460"/>
      <c r="MNU61" s="1461"/>
      <c r="MNV61" s="1462"/>
      <c r="MNW61" s="1463"/>
      <c r="MNX61" s="1459"/>
      <c r="MNY61" s="1459"/>
      <c r="MNZ61" s="1460"/>
      <c r="MOA61" s="1461"/>
      <c r="MOB61" s="1462"/>
      <c r="MOC61" s="1463"/>
      <c r="MOD61" s="1459"/>
      <c r="MOE61" s="1459"/>
      <c r="MOF61" s="1460"/>
      <c r="MOG61" s="1461"/>
      <c r="MOH61" s="1462"/>
      <c r="MOI61" s="1463"/>
      <c r="MOJ61" s="1459"/>
      <c r="MOK61" s="1459"/>
      <c r="MOL61" s="1460"/>
      <c r="MOM61" s="1461"/>
      <c r="MON61" s="1462"/>
      <c r="MOO61" s="1463"/>
      <c r="MOP61" s="1459"/>
      <c r="MOQ61" s="1459"/>
      <c r="MOR61" s="1460"/>
      <c r="MOS61" s="1461"/>
      <c r="MOT61" s="1462"/>
      <c r="MOU61" s="1463"/>
      <c r="MOV61" s="1459"/>
      <c r="MOW61" s="1459"/>
      <c r="MOX61" s="1460"/>
      <c r="MOY61" s="1461"/>
      <c r="MOZ61" s="1462"/>
      <c r="MPA61" s="1463"/>
      <c r="MPB61" s="1459"/>
      <c r="MPC61" s="1459"/>
      <c r="MPD61" s="1460"/>
      <c r="MPE61" s="1461"/>
      <c r="MPF61" s="1462"/>
      <c r="MPG61" s="1463"/>
      <c r="MPH61" s="1459"/>
      <c r="MPI61" s="1459"/>
      <c r="MPJ61" s="1460"/>
      <c r="MPK61" s="1461"/>
      <c r="MPL61" s="1462"/>
      <c r="MPM61" s="1463"/>
      <c r="MPN61" s="1459"/>
      <c r="MPO61" s="1459"/>
      <c r="MPP61" s="1460"/>
      <c r="MPQ61" s="1461"/>
      <c r="MPR61" s="1462"/>
      <c r="MPS61" s="1463"/>
      <c r="MPT61" s="1459"/>
      <c r="MPU61" s="1459"/>
      <c r="MPV61" s="1460"/>
      <c r="MPW61" s="1461"/>
      <c r="MPX61" s="1462"/>
      <c r="MPY61" s="1463"/>
      <c r="MPZ61" s="1459"/>
      <c r="MQA61" s="1459"/>
      <c r="MQB61" s="1460"/>
      <c r="MQC61" s="1461"/>
      <c r="MQD61" s="1462"/>
      <c r="MQE61" s="1463"/>
      <c r="MQF61" s="1459"/>
      <c r="MQG61" s="1459"/>
      <c r="MQH61" s="1460"/>
      <c r="MQI61" s="1461"/>
      <c r="MQJ61" s="1462"/>
      <c r="MQK61" s="1463"/>
      <c r="MQL61" s="1459"/>
      <c r="MQM61" s="1459"/>
      <c r="MQN61" s="1460"/>
      <c r="MQO61" s="1461"/>
      <c r="MQP61" s="1462"/>
      <c r="MQQ61" s="1463"/>
      <c r="MQR61" s="1459"/>
      <c r="MQS61" s="1459"/>
      <c r="MQT61" s="1460"/>
      <c r="MQU61" s="1461"/>
      <c r="MQV61" s="1462"/>
      <c r="MQW61" s="1463"/>
      <c r="MQX61" s="1459"/>
      <c r="MQY61" s="1459"/>
      <c r="MQZ61" s="1460"/>
      <c r="MRA61" s="1461"/>
      <c r="MRB61" s="1462"/>
      <c r="MRC61" s="1463"/>
      <c r="MRD61" s="1459"/>
      <c r="MRE61" s="1459"/>
      <c r="MRF61" s="1460"/>
      <c r="MRG61" s="1461"/>
      <c r="MRH61" s="1462"/>
      <c r="MRI61" s="1463"/>
      <c r="MRJ61" s="1459"/>
      <c r="MRK61" s="1459"/>
      <c r="MRL61" s="1460"/>
      <c r="MRM61" s="1461"/>
      <c r="MRN61" s="1462"/>
      <c r="MRO61" s="1463"/>
      <c r="MRP61" s="1459"/>
      <c r="MRQ61" s="1459"/>
      <c r="MRR61" s="1460"/>
      <c r="MRS61" s="1461"/>
      <c r="MRT61" s="1462"/>
      <c r="MRU61" s="1463"/>
      <c r="MRV61" s="1459"/>
      <c r="MRW61" s="1459"/>
      <c r="MRX61" s="1460"/>
      <c r="MRY61" s="1461"/>
      <c r="MRZ61" s="1462"/>
      <c r="MSA61" s="1463"/>
      <c r="MSB61" s="1459"/>
      <c r="MSC61" s="1459"/>
      <c r="MSD61" s="1460"/>
      <c r="MSE61" s="1461"/>
      <c r="MSF61" s="1462"/>
      <c r="MSG61" s="1463"/>
      <c r="MSH61" s="1459"/>
      <c r="MSI61" s="1459"/>
      <c r="MSJ61" s="1460"/>
      <c r="MSK61" s="1461"/>
      <c r="MSL61" s="1462"/>
      <c r="MSM61" s="1463"/>
      <c r="MSN61" s="1459"/>
      <c r="MSO61" s="1459"/>
      <c r="MSP61" s="1460"/>
      <c r="MSQ61" s="1461"/>
      <c r="MSR61" s="1462"/>
      <c r="MSS61" s="1463"/>
      <c r="MST61" s="1459"/>
      <c r="MSU61" s="1459"/>
      <c r="MSV61" s="1460"/>
      <c r="MSW61" s="1461"/>
      <c r="MSX61" s="1462"/>
      <c r="MSY61" s="1463"/>
      <c r="MSZ61" s="1459"/>
      <c r="MTA61" s="1459"/>
      <c r="MTB61" s="1460"/>
      <c r="MTC61" s="1461"/>
      <c r="MTD61" s="1462"/>
      <c r="MTE61" s="1463"/>
      <c r="MTF61" s="1459"/>
      <c r="MTG61" s="1459"/>
      <c r="MTH61" s="1460"/>
      <c r="MTI61" s="1461"/>
      <c r="MTJ61" s="1462"/>
      <c r="MTK61" s="1463"/>
      <c r="MTL61" s="1459"/>
      <c r="MTM61" s="1459"/>
      <c r="MTN61" s="1460"/>
      <c r="MTO61" s="1461"/>
      <c r="MTP61" s="1462"/>
      <c r="MTQ61" s="1463"/>
      <c r="MTR61" s="1459"/>
      <c r="MTS61" s="1459"/>
      <c r="MTT61" s="1460"/>
      <c r="MTU61" s="1461"/>
      <c r="MTV61" s="1462"/>
      <c r="MTW61" s="1463"/>
      <c r="MTX61" s="1459"/>
      <c r="MTY61" s="1459"/>
      <c r="MTZ61" s="1460"/>
      <c r="MUA61" s="1461"/>
      <c r="MUB61" s="1462"/>
      <c r="MUC61" s="1463"/>
      <c r="MUD61" s="1459"/>
      <c r="MUE61" s="1459"/>
      <c r="MUF61" s="1460"/>
      <c r="MUG61" s="1461"/>
      <c r="MUH61" s="1462"/>
      <c r="MUI61" s="1463"/>
      <c r="MUJ61" s="1459"/>
      <c r="MUK61" s="1459"/>
      <c r="MUL61" s="1460"/>
      <c r="MUM61" s="1461"/>
      <c r="MUN61" s="1462"/>
      <c r="MUO61" s="1463"/>
      <c r="MUP61" s="1459"/>
      <c r="MUQ61" s="1459"/>
      <c r="MUR61" s="1460"/>
      <c r="MUS61" s="1461"/>
      <c r="MUT61" s="1462"/>
      <c r="MUU61" s="1463"/>
      <c r="MUV61" s="1459"/>
      <c r="MUW61" s="1459"/>
      <c r="MUX61" s="1460"/>
      <c r="MUY61" s="1461"/>
      <c r="MUZ61" s="1462"/>
      <c r="MVA61" s="1463"/>
      <c r="MVB61" s="1459"/>
      <c r="MVC61" s="1459"/>
      <c r="MVD61" s="1460"/>
      <c r="MVE61" s="1461"/>
      <c r="MVF61" s="1462"/>
      <c r="MVG61" s="1463"/>
      <c r="MVH61" s="1459"/>
      <c r="MVI61" s="1459"/>
      <c r="MVJ61" s="1460"/>
      <c r="MVK61" s="1461"/>
      <c r="MVL61" s="1462"/>
      <c r="MVM61" s="1463"/>
      <c r="MVN61" s="1459"/>
      <c r="MVO61" s="1459"/>
      <c r="MVP61" s="1460"/>
      <c r="MVQ61" s="1461"/>
      <c r="MVR61" s="1462"/>
      <c r="MVS61" s="1463"/>
      <c r="MVT61" s="1459"/>
      <c r="MVU61" s="1459"/>
      <c r="MVV61" s="1460"/>
      <c r="MVW61" s="1461"/>
      <c r="MVX61" s="1462"/>
      <c r="MVY61" s="1463"/>
      <c r="MVZ61" s="1459"/>
      <c r="MWA61" s="1459"/>
      <c r="MWB61" s="1460"/>
      <c r="MWC61" s="1461"/>
      <c r="MWD61" s="1462"/>
      <c r="MWE61" s="1463"/>
      <c r="MWF61" s="1459"/>
      <c r="MWG61" s="1459"/>
      <c r="MWH61" s="1460"/>
      <c r="MWI61" s="1461"/>
      <c r="MWJ61" s="1462"/>
      <c r="MWK61" s="1463"/>
      <c r="MWL61" s="1459"/>
      <c r="MWM61" s="1459"/>
      <c r="MWN61" s="1460"/>
      <c r="MWO61" s="1461"/>
      <c r="MWP61" s="1462"/>
      <c r="MWQ61" s="1463"/>
      <c r="MWR61" s="1459"/>
      <c r="MWS61" s="1459"/>
      <c r="MWT61" s="1460"/>
      <c r="MWU61" s="1461"/>
      <c r="MWV61" s="1462"/>
      <c r="MWW61" s="1463"/>
      <c r="MWX61" s="1459"/>
      <c r="MWY61" s="1459"/>
      <c r="MWZ61" s="1460"/>
      <c r="MXA61" s="1461"/>
      <c r="MXB61" s="1462"/>
      <c r="MXC61" s="1463"/>
      <c r="MXD61" s="1459"/>
      <c r="MXE61" s="1459"/>
      <c r="MXF61" s="1460"/>
      <c r="MXG61" s="1461"/>
      <c r="MXH61" s="1462"/>
      <c r="MXI61" s="1463"/>
      <c r="MXJ61" s="1459"/>
      <c r="MXK61" s="1459"/>
      <c r="MXL61" s="1460"/>
      <c r="MXM61" s="1461"/>
      <c r="MXN61" s="1462"/>
      <c r="MXO61" s="1463"/>
      <c r="MXP61" s="1459"/>
      <c r="MXQ61" s="1459"/>
      <c r="MXR61" s="1460"/>
      <c r="MXS61" s="1461"/>
      <c r="MXT61" s="1462"/>
      <c r="MXU61" s="1463"/>
      <c r="MXV61" s="1459"/>
      <c r="MXW61" s="1459"/>
      <c r="MXX61" s="1460"/>
      <c r="MXY61" s="1461"/>
      <c r="MXZ61" s="1462"/>
      <c r="MYA61" s="1463"/>
      <c r="MYB61" s="1459"/>
      <c r="MYC61" s="1459"/>
      <c r="MYD61" s="1460"/>
      <c r="MYE61" s="1461"/>
      <c r="MYF61" s="1462"/>
      <c r="MYG61" s="1463"/>
      <c r="MYH61" s="1459"/>
      <c r="MYI61" s="1459"/>
      <c r="MYJ61" s="1460"/>
      <c r="MYK61" s="1461"/>
      <c r="MYL61" s="1462"/>
      <c r="MYM61" s="1463"/>
      <c r="MYN61" s="1459"/>
      <c r="MYO61" s="1459"/>
      <c r="MYP61" s="1460"/>
      <c r="MYQ61" s="1461"/>
      <c r="MYR61" s="1462"/>
      <c r="MYS61" s="1463"/>
      <c r="MYT61" s="1459"/>
      <c r="MYU61" s="1459"/>
      <c r="MYV61" s="1460"/>
      <c r="MYW61" s="1461"/>
      <c r="MYX61" s="1462"/>
      <c r="MYY61" s="1463"/>
      <c r="MYZ61" s="1459"/>
      <c r="MZA61" s="1459"/>
      <c r="MZB61" s="1460"/>
      <c r="MZC61" s="1461"/>
      <c r="MZD61" s="1462"/>
      <c r="MZE61" s="1463"/>
      <c r="MZF61" s="1459"/>
      <c r="MZG61" s="1459"/>
      <c r="MZH61" s="1460"/>
      <c r="MZI61" s="1461"/>
      <c r="MZJ61" s="1462"/>
      <c r="MZK61" s="1463"/>
      <c r="MZL61" s="1459"/>
      <c r="MZM61" s="1459"/>
      <c r="MZN61" s="1460"/>
      <c r="MZO61" s="1461"/>
      <c r="MZP61" s="1462"/>
      <c r="MZQ61" s="1463"/>
      <c r="MZR61" s="1459"/>
      <c r="MZS61" s="1459"/>
      <c r="MZT61" s="1460"/>
      <c r="MZU61" s="1461"/>
      <c r="MZV61" s="1462"/>
      <c r="MZW61" s="1463"/>
      <c r="MZX61" s="1459"/>
      <c r="MZY61" s="1459"/>
      <c r="MZZ61" s="1460"/>
      <c r="NAA61" s="1461"/>
      <c r="NAB61" s="1462"/>
      <c r="NAC61" s="1463"/>
      <c r="NAD61" s="1459"/>
      <c r="NAE61" s="1459"/>
      <c r="NAF61" s="1460"/>
      <c r="NAG61" s="1461"/>
      <c r="NAH61" s="1462"/>
      <c r="NAI61" s="1463"/>
      <c r="NAJ61" s="1459"/>
      <c r="NAK61" s="1459"/>
      <c r="NAL61" s="1460"/>
      <c r="NAM61" s="1461"/>
      <c r="NAN61" s="1462"/>
      <c r="NAO61" s="1463"/>
      <c r="NAP61" s="1459"/>
      <c r="NAQ61" s="1459"/>
      <c r="NAR61" s="1460"/>
      <c r="NAS61" s="1461"/>
      <c r="NAT61" s="1462"/>
      <c r="NAU61" s="1463"/>
      <c r="NAV61" s="1459"/>
      <c r="NAW61" s="1459"/>
      <c r="NAX61" s="1460"/>
      <c r="NAY61" s="1461"/>
      <c r="NAZ61" s="1462"/>
      <c r="NBA61" s="1463"/>
      <c r="NBB61" s="1459"/>
      <c r="NBC61" s="1459"/>
      <c r="NBD61" s="1460"/>
      <c r="NBE61" s="1461"/>
      <c r="NBF61" s="1462"/>
      <c r="NBG61" s="1463"/>
      <c r="NBH61" s="1459"/>
      <c r="NBI61" s="1459"/>
      <c r="NBJ61" s="1460"/>
      <c r="NBK61" s="1461"/>
      <c r="NBL61" s="1462"/>
      <c r="NBM61" s="1463"/>
      <c r="NBN61" s="1459"/>
      <c r="NBO61" s="1459"/>
      <c r="NBP61" s="1460"/>
      <c r="NBQ61" s="1461"/>
      <c r="NBR61" s="1462"/>
      <c r="NBS61" s="1463"/>
      <c r="NBT61" s="1459"/>
      <c r="NBU61" s="1459"/>
      <c r="NBV61" s="1460"/>
      <c r="NBW61" s="1461"/>
      <c r="NBX61" s="1462"/>
      <c r="NBY61" s="1463"/>
      <c r="NBZ61" s="1459"/>
      <c r="NCA61" s="1459"/>
      <c r="NCB61" s="1460"/>
      <c r="NCC61" s="1461"/>
      <c r="NCD61" s="1462"/>
      <c r="NCE61" s="1463"/>
      <c r="NCF61" s="1459"/>
      <c r="NCG61" s="1459"/>
      <c r="NCH61" s="1460"/>
      <c r="NCI61" s="1461"/>
      <c r="NCJ61" s="1462"/>
      <c r="NCK61" s="1463"/>
      <c r="NCL61" s="1459"/>
      <c r="NCM61" s="1459"/>
      <c r="NCN61" s="1460"/>
      <c r="NCO61" s="1461"/>
      <c r="NCP61" s="1462"/>
      <c r="NCQ61" s="1463"/>
      <c r="NCR61" s="1459"/>
      <c r="NCS61" s="1459"/>
      <c r="NCT61" s="1460"/>
      <c r="NCU61" s="1461"/>
      <c r="NCV61" s="1462"/>
      <c r="NCW61" s="1463"/>
      <c r="NCX61" s="1459"/>
      <c r="NCY61" s="1459"/>
      <c r="NCZ61" s="1460"/>
      <c r="NDA61" s="1461"/>
      <c r="NDB61" s="1462"/>
      <c r="NDC61" s="1463"/>
      <c r="NDD61" s="1459"/>
      <c r="NDE61" s="1459"/>
      <c r="NDF61" s="1460"/>
      <c r="NDG61" s="1461"/>
      <c r="NDH61" s="1462"/>
      <c r="NDI61" s="1463"/>
      <c r="NDJ61" s="1459"/>
      <c r="NDK61" s="1459"/>
      <c r="NDL61" s="1460"/>
      <c r="NDM61" s="1461"/>
      <c r="NDN61" s="1462"/>
      <c r="NDO61" s="1463"/>
      <c r="NDP61" s="1459"/>
      <c r="NDQ61" s="1459"/>
      <c r="NDR61" s="1460"/>
      <c r="NDS61" s="1461"/>
      <c r="NDT61" s="1462"/>
      <c r="NDU61" s="1463"/>
      <c r="NDV61" s="1459"/>
      <c r="NDW61" s="1459"/>
      <c r="NDX61" s="1460"/>
      <c r="NDY61" s="1461"/>
      <c r="NDZ61" s="1462"/>
      <c r="NEA61" s="1463"/>
      <c r="NEB61" s="1459"/>
      <c r="NEC61" s="1459"/>
      <c r="NED61" s="1460"/>
      <c r="NEE61" s="1461"/>
      <c r="NEF61" s="1462"/>
      <c r="NEG61" s="1463"/>
      <c r="NEH61" s="1459"/>
      <c r="NEI61" s="1459"/>
      <c r="NEJ61" s="1460"/>
      <c r="NEK61" s="1461"/>
      <c r="NEL61" s="1462"/>
      <c r="NEM61" s="1463"/>
      <c r="NEN61" s="1459"/>
      <c r="NEO61" s="1459"/>
      <c r="NEP61" s="1460"/>
      <c r="NEQ61" s="1461"/>
      <c r="NER61" s="1462"/>
      <c r="NES61" s="1463"/>
      <c r="NET61" s="1459"/>
      <c r="NEU61" s="1459"/>
      <c r="NEV61" s="1460"/>
      <c r="NEW61" s="1461"/>
      <c r="NEX61" s="1462"/>
      <c r="NEY61" s="1463"/>
      <c r="NEZ61" s="1459"/>
      <c r="NFA61" s="1459"/>
      <c r="NFB61" s="1460"/>
      <c r="NFC61" s="1461"/>
      <c r="NFD61" s="1462"/>
      <c r="NFE61" s="1463"/>
      <c r="NFF61" s="1459"/>
      <c r="NFG61" s="1459"/>
      <c r="NFH61" s="1460"/>
      <c r="NFI61" s="1461"/>
      <c r="NFJ61" s="1462"/>
      <c r="NFK61" s="1463"/>
      <c r="NFL61" s="1459"/>
      <c r="NFM61" s="1459"/>
      <c r="NFN61" s="1460"/>
      <c r="NFO61" s="1461"/>
      <c r="NFP61" s="1462"/>
      <c r="NFQ61" s="1463"/>
      <c r="NFR61" s="1459"/>
      <c r="NFS61" s="1459"/>
      <c r="NFT61" s="1460"/>
      <c r="NFU61" s="1461"/>
      <c r="NFV61" s="1462"/>
      <c r="NFW61" s="1463"/>
      <c r="NFX61" s="1459"/>
      <c r="NFY61" s="1459"/>
      <c r="NFZ61" s="1460"/>
      <c r="NGA61" s="1461"/>
      <c r="NGB61" s="1462"/>
      <c r="NGC61" s="1463"/>
      <c r="NGD61" s="1459"/>
      <c r="NGE61" s="1459"/>
      <c r="NGF61" s="1460"/>
      <c r="NGG61" s="1461"/>
      <c r="NGH61" s="1462"/>
      <c r="NGI61" s="1463"/>
      <c r="NGJ61" s="1459"/>
      <c r="NGK61" s="1459"/>
      <c r="NGL61" s="1460"/>
      <c r="NGM61" s="1461"/>
      <c r="NGN61" s="1462"/>
      <c r="NGO61" s="1463"/>
      <c r="NGP61" s="1459"/>
      <c r="NGQ61" s="1459"/>
      <c r="NGR61" s="1460"/>
      <c r="NGS61" s="1461"/>
      <c r="NGT61" s="1462"/>
      <c r="NGU61" s="1463"/>
      <c r="NGV61" s="1459"/>
      <c r="NGW61" s="1459"/>
      <c r="NGX61" s="1460"/>
      <c r="NGY61" s="1461"/>
      <c r="NGZ61" s="1462"/>
      <c r="NHA61" s="1463"/>
      <c r="NHB61" s="1459"/>
      <c r="NHC61" s="1459"/>
      <c r="NHD61" s="1460"/>
      <c r="NHE61" s="1461"/>
      <c r="NHF61" s="1462"/>
      <c r="NHG61" s="1463"/>
      <c r="NHH61" s="1459"/>
      <c r="NHI61" s="1459"/>
      <c r="NHJ61" s="1460"/>
      <c r="NHK61" s="1461"/>
      <c r="NHL61" s="1462"/>
      <c r="NHM61" s="1463"/>
      <c r="NHN61" s="1459"/>
      <c r="NHO61" s="1459"/>
      <c r="NHP61" s="1460"/>
      <c r="NHQ61" s="1461"/>
      <c r="NHR61" s="1462"/>
      <c r="NHS61" s="1463"/>
      <c r="NHT61" s="1459"/>
      <c r="NHU61" s="1459"/>
      <c r="NHV61" s="1460"/>
      <c r="NHW61" s="1461"/>
      <c r="NHX61" s="1462"/>
      <c r="NHY61" s="1463"/>
      <c r="NHZ61" s="1459"/>
      <c r="NIA61" s="1459"/>
      <c r="NIB61" s="1460"/>
      <c r="NIC61" s="1461"/>
      <c r="NID61" s="1462"/>
      <c r="NIE61" s="1463"/>
      <c r="NIF61" s="1459"/>
      <c r="NIG61" s="1459"/>
      <c r="NIH61" s="1460"/>
      <c r="NII61" s="1461"/>
      <c r="NIJ61" s="1462"/>
      <c r="NIK61" s="1463"/>
      <c r="NIL61" s="1459"/>
      <c r="NIM61" s="1459"/>
      <c r="NIN61" s="1460"/>
      <c r="NIO61" s="1461"/>
      <c r="NIP61" s="1462"/>
      <c r="NIQ61" s="1463"/>
      <c r="NIR61" s="1459"/>
      <c r="NIS61" s="1459"/>
      <c r="NIT61" s="1460"/>
      <c r="NIU61" s="1461"/>
      <c r="NIV61" s="1462"/>
      <c r="NIW61" s="1463"/>
      <c r="NIX61" s="1459"/>
      <c r="NIY61" s="1459"/>
      <c r="NIZ61" s="1460"/>
      <c r="NJA61" s="1461"/>
      <c r="NJB61" s="1462"/>
      <c r="NJC61" s="1463"/>
      <c r="NJD61" s="1459"/>
      <c r="NJE61" s="1459"/>
      <c r="NJF61" s="1460"/>
      <c r="NJG61" s="1461"/>
      <c r="NJH61" s="1462"/>
      <c r="NJI61" s="1463"/>
      <c r="NJJ61" s="1459"/>
      <c r="NJK61" s="1459"/>
      <c r="NJL61" s="1460"/>
      <c r="NJM61" s="1461"/>
      <c r="NJN61" s="1462"/>
      <c r="NJO61" s="1463"/>
      <c r="NJP61" s="1459"/>
      <c r="NJQ61" s="1459"/>
      <c r="NJR61" s="1460"/>
      <c r="NJS61" s="1461"/>
      <c r="NJT61" s="1462"/>
      <c r="NJU61" s="1463"/>
      <c r="NJV61" s="1459"/>
      <c r="NJW61" s="1459"/>
      <c r="NJX61" s="1460"/>
      <c r="NJY61" s="1461"/>
      <c r="NJZ61" s="1462"/>
      <c r="NKA61" s="1463"/>
      <c r="NKB61" s="1459"/>
      <c r="NKC61" s="1459"/>
      <c r="NKD61" s="1460"/>
      <c r="NKE61" s="1461"/>
      <c r="NKF61" s="1462"/>
      <c r="NKG61" s="1463"/>
      <c r="NKH61" s="1459"/>
      <c r="NKI61" s="1459"/>
      <c r="NKJ61" s="1460"/>
      <c r="NKK61" s="1461"/>
      <c r="NKL61" s="1462"/>
      <c r="NKM61" s="1463"/>
      <c r="NKN61" s="1459"/>
      <c r="NKO61" s="1459"/>
      <c r="NKP61" s="1460"/>
      <c r="NKQ61" s="1461"/>
      <c r="NKR61" s="1462"/>
      <c r="NKS61" s="1463"/>
      <c r="NKT61" s="1459"/>
      <c r="NKU61" s="1459"/>
      <c r="NKV61" s="1460"/>
      <c r="NKW61" s="1461"/>
      <c r="NKX61" s="1462"/>
      <c r="NKY61" s="1463"/>
      <c r="NKZ61" s="1459"/>
      <c r="NLA61" s="1459"/>
      <c r="NLB61" s="1460"/>
      <c r="NLC61" s="1461"/>
      <c r="NLD61" s="1462"/>
      <c r="NLE61" s="1463"/>
      <c r="NLF61" s="1459"/>
      <c r="NLG61" s="1459"/>
      <c r="NLH61" s="1460"/>
      <c r="NLI61" s="1461"/>
      <c r="NLJ61" s="1462"/>
      <c r="NLK61" s="1463"/>
      <c r="NLL61" s="1459"/>
      <c r="NLM61" s="1459"/>
      <c r="NLN61" s="1460"/>
      <c r="NLO61" s="1461"/>
      <c r="NLP61" s="1462"/>
      <c r="NLQ61" s="1463"/>
      <c r="NLR61" s="1459"/>
      <c r="NLS61" s="1459"/>
      <c r="NLT61" s="1460"/>
      <c r="NLU61" s="1461"/>
      <c r="NLV61" s="1462"/>
      <c r="NLW61" s="1463"/>
      <c r="NLX61" s="1459"/>
      <c r="NLY61" s="1459"/>
      <c r="NLZ61" s="1460"/>
      <c r="NMA61" s="1461"/>
      <c r="NMB61" s="1462"/>
      <c r="NMC61" s="1463"/>
      <c r="NMD61" s="1459"/>
      <c r="NME61" s="1459"/>
      <c r="NMF61" s="1460"/>
      <c r="NMG61" s="1461"/>
      <c r="NMH61" s="1462"/>
      <c r="NMI61" s="1463"/>
      <c r="NMJ61" s="1459"/>
      <c r="NMK61" s="1459"/>
      <c r="NML61" s="1460"/>
      <c r="NMM61" s="1461"/>
      <c r="NMN61" s="1462"/>
      <c r="NMO61" s="1463"/>
      <c r="NMP61" s="1459"/>
      <c r="NMQ61" s="1459"/>
      <c r="NMR61" s="1460"/>
      <c r="NMS61" s="1461"/>
      <c r="NMT61" s="1462"/>
      <c r="NMU61" s="1463"/>
      <c r="NMV61" s="1459"/>
      <c r="NMW61" s="1459"/>
      <c r="NMX61" s="1460"/>
      <c r="NMY61" s="1461"/>
      <c r="NMZ61" s="1462"/>
      <c r="NNA61" s="1463"/>
      <c r="NNB61" s="1459"/>
      <c r="NNC61" s="1459"/>
      <c r="NND61" s="1460"/>
      <c r="NNE61" s="1461"/>
      <c r="NNF61" s="1462"/>
      <c r="NNG61" s="1463"/>
      <c r="NNH61" s="1459"/>
      <c r="NNI61" s="1459"/>
      <c r="NNJ61" s="1460"/>
      <c r="NNK61" s="1461"/>
      <c r="NNL61" s="1462"/>
      <c r="NNM61" s="1463"/>
      <c r="NNN61" s="1459"/>
      <c r="NNO61" s="1459"/>
      <c r="NNP61" s="1460"/>
      <c r="NNQ61" s="1461"/>
      <c r="NNR61" s="1462"/>
      <c r="NNS61" s="1463"/>
      <c r="NNT61" s="1459"/>
      <c r="NNU61" s="1459"/>
      <c r="NNV61" s="1460"/>
      <c r="NNW61" s="1461"/>
      <c r="NNX61" s="1462"/>
      <c r="NNY61" s="1463"/>
      <c r="NNZ61" s="1459"/>
      <c r="NOA61" s="1459"/>
      <c r="NOB61" s="1460"/>
      <c r="NOC61" s="1461"/>
      <c r="NOD61" s="1462"/>
      <c r="NOE61" s="1463"/>
      <c r="NOF61" s="1459"/>
      <c r="NOG61" s="1459"/>
      <c r="NOH61" s="1460"/>
      <c r="NOI61" s="1461"/>
      <c r="NOJ61" s="1462"/>
      <c r="NOK61" s="1463"/>
      <c r="NOL61" s="1459"/>
      <c r="NOM61" s="1459"/>
      <c r="NON61" s="1460"/>
      <c r="NOO61" s="1461"/>
      <c r="NOP61" s="1462"/>
      <c r="NOQ61" s="1463"/>
      <c r="NOR61" s="1459"/>
      <c r="NOS61" s="1459"/>
      <c r="NOT61" s="1460"/>
      <c r="NOU61" s="1461"/>
      <c r="NOV61" s="1462"/>
      <c r="NOW61" s="1463"/>
      <c r="NOX61" s="1459"/>
      <c r="NOY61" s="1459"/>
      <c r="NOZ61" s="1460"/>
      <c r="NPA61" s="1461"/>
      <c r="NPB61" s="1462"/>
      <c r="NPC61" s="1463"/>
      <c r="NPD61" s="1459"/>
      <c r="NPE61" s="1459"/>
      <c r="NPF61" s="1460"/>
      <c r="NPG61" s="1461"/>
      <c r="NPH61" s="1462"/>
      <c r="NPI61" s="1463"/>
      <c r="NPJ61" s="1459"/>
      <c r="NPK61" s="1459"/>
      <c r="NPL61" s="1460"/>
      <c r="NPM61" s="1461"/>
      <c r="NPN61" s="1462"/>
      <c r="NPO61" s="1463"/>
      <c r="NPP61" s="1459"/>
      <c r="NPQ61" s="1459"/>
      <c r="NPR61" s="1460"/>
      <c r="NPS61" s="1461"/>
      <c r="NPT61" s="1462"/>
      <c r="NPU61" s="1463"/>
      <c r="NPV61" s="1459"/>
      <c r="NPW61" s="1459"/>
      <c r="NPX61" s="1460"/>
      <c r="NPY61" s="1461"/>
      <c r="NPZ61" s="1462"/>
      <c r="NQA61" s="1463"/>
      <c r="NQB61" s="1459"/>
      <c r="NQC61" s="1459"/>
      <c r="NQD61" s="1460"/>
      <c r="NQE61" s="1461"/>
      <c r="NQF61" s="1462"/>
      <c r="NQG61" s="1463"/>
      <c r="NQH61" s="1459"/>
      <c r="NQI61" s="1459"/>
      <c r="NQJ61" s="1460"/>
      <c r="NQK61" s="1461"/>
      <c r="NQL61" s="1462"/>
      <c r="NQM61" s="1463"/>
      <c r="NQN61" s="1459"/>
      <c r="NQO61" s="1459"/>
      <c r="NQP61" s="1460"/>
      <c r="NQQ61" s="1461"/>
      <c r="NQR61" s="1462"/>
      <c r="NQS61" s="1463"/>
      <c r="NQT61" s="1459"/>
      <c r="NQU61" s="1459"/>
      <c r="NQV61" s="1460"/>
      <c r="NQW61" s="1461"/>
      <c r="NQX61" s="1462"/>
      <c r="NQY61" s="1463"/>
      <c r="NQZ61" s="1459"/>
      <c r="NRA61" s="1459"/>
      <c r="NRB61" s="1460"/>
      <c r="NRC61" s="1461"/>
      <c r="NRD61" s="1462"/>
      <c r="NRE61" s="1463"/>
      <c r="NRF61" s="1459"/>
      <c r="NRG61" s="1459"/>
      <c r="NRH61" s="1460"/>
      <c r="NRI61" s="1461"/>
      <c r="NRJ61" s="1462"/>
      <c r="NRK61" s="1463"/>
      <c r="NRL61" s="1459"/>
      <c r="NRM61" s="1459"/>
      <c r="NRN61" s="1460"/>
      <c r="NRO61" s="1461"/>
      <c r="NRP61" s="1462"/>
      <c r="NRQ61" s="1463"/>
      <c r="NRR61" s="1459"/>
      <c r="NRS61" s="1459"/>
      <c r="NRT61" s="1460"/>
      <c r="NRU61" s="1461"/>
      <c r="NRV61" s="1462"/>
      <c r="NRW61" s="1463"/>
      <c r="NRX61" s="1459"/>
      <c r="NRY61" s="1459"/>
      <c r="NRZ61" s="1460"/>
      <c r="NSA61" s="1461"/>
      <c r="NSB61" s="1462"/>
      <c r="NSC61" s="1463"/>
      <c r="NSD61" s="1459"/>
      <c r="NSE61" s="1459"/>
      <c r="NSF61" s="1460"/>
      <c r="NSG61" s="1461"/>
      <c r="NSH61" s="1462"/>
      <c r="NSI61" s="1463"/>
      <c r="NSJ61" s="1459"/>
      <c r="NSK61" s="1459"/>
      <c r="NSL61" s="1460"/>
      <c r="NSM61" s="1461"/>
      <c r="NSN61" s="1462"/>
      <c r="NSO61" s="1463"/>
      <c r="NSP61" s="1459"/>
      <c r="NSQ61" s="1459"/>
      <c r="NSR61" s="1460"/>
      <c r="NSS61" s="1461"/>
      <c r="NST61" s="1462"/>
      <c r="NSU61" s="1463"/>
      <c r="NSV61" s="1459"/>
      <c r="NSW61" s="1459"/>
      <c r="NSX61" s="1460"/>
      <c r="NSY61" s="1461"/>
      <c r="NSZ61" s="1462"/>
      <c r="NTA61" s="1463"/>
      <c r="NTB61" s="1459"/>
      <c r="NTC61" s="1459"/>
      <c r="NTD61" s="1460"/>
      <c r="NTE61" s="1461"/>
      <c r="NTF61" s="1462"/>
      <c r="NTG61" s="1463"/>
      <c r="NTH61" s="1459"/>
      <c r="NTI61" s="1459"/>
      <c r="NTJ61" s="1460"/>
      <c r="NTK61" s="1461"/>
      <c r="NTL61" s="1462"/>
      <c r="NTM61" s="1463"/>
      <c r="NTN61" s="1459"/>
      <c r="NTO61" s="1459"/>
      <c r="NTP61" s="1460"/>
      <c r="NTQ61" s="1461"/>
      <c r="NTR61" s="1462"/>
      <c r="NTS61" s="1463"/>
      <c r="NTT61" s="1459"/>
      <c r="NTU61" s="1459"/>
      <c r="NTV61" s="1460"/>
      <c r="NTW61" s="1461"/>
      <c r="NTX61" s="1462"/>
      <c r="NTY61" s="1463"/>
      <c r="NTZ61" s="1459"/>
      <c r="NUA61" s="1459"/>
      <c r="NUB61" s="1460"/>
      <c r="NUC61" s="1461"/>
      <c r="NUD61" s="1462"/>
      <c r="NUE61" s="1463"/>
      <c r="NUF61" s="1459"/>
      <c r="NUG61" s="1459"/>
      <c r="NUH61" s="1460"/>
      <c r="NUI61" s="1461"/>
      <c r="NUJ61" s="1462"/>
      <c r="NUK61" s="1463"/>
      <c r="NUL61" s="1459"/>
      <c r="NUM61" s="1459"/>
      <c r="NUN61" s="1460"/>
      <c r="NUO61" s="1461"/>
      <c r="NUP61" s="1462"/>
      <c r="NUQ61" s="1463"/>
      <c r="NUR61" s="1459"/>
      <c r="NUS61" s="1459"/>
      <c r="NUT61" s="1460"/>
      <c r="NUU61" s="1461"/>
      <c r="NUV61" s="1462"/>
      <c r="NUW61" s="1463"/>
      <c r="NUX61" s="1459"/>
      <c r="NUY61" s="1459"/>
      <c r="NUZ61" s="1460"/>
      <c r="NVA61" s="1461"/>
      <c r="NVB61" s="1462"/>
      <c r="NVC61" s="1463"/>
      <c r="NVD61" s="1459"/>
      <c r="NVE61" s="1459"/>
      <c r="NVF61" s="1460"/>
      <c r="NVG61" s="1461"/>
      <c r="NVH61" s="1462"/>
      <c r="NVI61" s="1463"/>
      <c r="NVJ61" s="1459"/>
      <c r="NVK61" s="1459"/>
      <c r="NVL61" s="1460"/>
      <c r="NVM61" s="1461"/>
      <c r="NVN61" s="1462"/>
      <c r="NVO61" s="1463"/>
      <c r="NVP61" s="1459"/>
      <c r="NVQ61" s="1459"/>
      <c r="NVR61" s="1460"/>
      <c r="NVS61" s="1461"/>
      <c r="NVT61" s="1462"/>
      <c r="NVU61" s="1463"/>
      <c r="NVV61" s="1459"/>
      <c r="NVW61" s="1459"/>
      <c r="NVX61" s="1460"/>
      <c r="NVY61" s="1461"/>
      <c r="NVZ61" s="1462"/>
      <c r="NWA61" s="1463"/>
      <c r="NWB61" s="1459"/>
      <c r="NWC61" s="1459"/>
      <c r="NWD61" s="1460"/>
      <c r="NWE61" s="1461"/>
      <c r="NWF61" s="1462"/>
      <c r="NWG61" s="1463"/>
      <c r="NWH61" s="1459"/>
      <c r="NWI61" s="1459"/>
      <c r="NWJ61" s="1460"/>
      <c r="NWK61" s="1461"/>
      <c r="NWL61" s="1462"/>
      <c r="NWM61" s="1463"/>
      <c r="NWN61" s="1459"/>
      <c r="NWO61" s="1459"/>
      <c r="NWP61" s="1460"/>
      <c r="NWQ61" s="1461"/>
      <c r="NWR61" s="1462"/>
      <c r="NWS61" s="1463"/>
      <c r="NWT61" s="1459"/>
      <c r="NWU61" s="1459"/>
      <c r="NWV61" s="1460"/>
      <c r="NWW61" s="1461"/>
      <c r="NWX61" s="1462"/>
      <c r="NWY61" s="1463"/>
      <c r="NWZ61" s="1459"/>
      <c r="NXA61" s="1459"/>
      <c r="NXB61" s="1460"/>
      <c r="NXC61" s="1461"/>
      <c r="NXD61" s="1462"/>
      <c r="NXE61" s="1463"/>
      <c r="NXF61" s="1459"/>
      <c r="NXG61" s="1459"/>
      <c r="NXH61" s="1460"/>
      <c r="NXI61" s="1461"/>
      <c r="NXJ61" s="1462"/>
      <c r="NXK61" s="1463"/>
      <c r="NXL61" s="1459"/>
      <c r="NXM61" s="1459"/>
      <c r="NXN61" s="1460"/>
      <c r="NXO61" s="1461"/>
      <c r="NXP61" s="1462"/>
      <c r="NXQ61" s="1463"/>
      <c r="NXR61" s="1459"/>
      <c r="NXS61" s="1459"/>
      <c r="NXT61" s="1460"/>
      <c r="NXU61" s="1461"/>
      <c r="NXV61" s="1462"/>
      <c r="NXW61" s="1463"/>
      <c r="NXX61" s="1459"/>
      <c r="NXY61" s="1459"/>
      <c r="NXZ61" s="1460"/>
      <c r="NYA61" s="1461"/>
      <c r="NYB61" s="1462"/>
      <c r="NYC61" s="1463"/>
      <c r="NYD61" s="1459"/>
      <c r="NYE61" s="1459"/>
      <c r="NYF61" s="1460"/>
      <c r="NYG61" s="1461"/>
      <c r="NYH61" s="1462"/>
      <c r="NYI61" s="1463"/>
      <c r="NYJ61" s="1459"/>
      <c r="NYK61" s="1459"/>
      <c r="NYL61" s="1460"/>
      <c r="NYM61" s="1461"/>
      <c r="NYN61" s="1462"/>
      <c r="NYO61" s="1463"/>
      <c r="NYP61" s="1459"/>
      <c r="NYQ61" s="1459"/>
      <c r="NYR61" s="1460"/>
      <c r="NYS61" s="1461"/>
      <c r="NYT61" s="1462"/>
      <c r="NYU61" s="1463"/>
      <c r="NYV61" s="1459"/>
      <c r="NYW61" s="1459"/>
      <c r="NYX61" s="1460"/>
      <c r="NYY61" s="1461"/>
      <c r="NYZ61" s="1462"/>
      <c r="NZA61" s="1463"/>
      <c r="NZB61" s="1459"/>
      <c r="NZC61" s="1459"/>
      <c r="NZD61" s="1460"/>
      <c r="NZE61" s="1461"/>
      <c r="NZF61" s="1462"/>
      <c r="NZG61" s="1463"/>
      <c r="NZH61" s="1459"/>
      <c r="NZI61" s="1459"/>
      <c r="NZJ61" s="1460"/>
      <c r="NZK61" s="1461"/>
      <c r="NZL61" s="1462"/>
      <c r="NZM61" s="1463"/>
      <c r="NZN61" s="1459"/>
      <c r="NZO61" s="1459"/>
      <c r="NZP61" s="1460"/>
      <c r="NZQ61" s="1461"/>
      <c r="NZR61" s="1462"/>
      <c r="NZS61" s="1463"/>
      <c r="NZT61" s="1459"/>
      <c r="NZU61" s="1459"/>
      <c r="NZV61" s="1460"/>
      <c r="NZW61" s="1461"/>
      <c r="NZX61" s="1462"/>
      <c r="NZY61" s="1463"/>
      <c r="NZZ61" s="1459"/>
      <c r="OAA61" s="1459"/>
      <c r="OAB61" s="1460"/>
      <c r="OAC61" s="1461"/>
      <c r="OAD61" s="1462"/>
      <c r="OAE61" s="1463"/>
      <c r="OAF61" s="1459"/>
      <c r="OAG61" s="1459"/>
      <c r="OAH61" s="1460"/>
      <c r="OAI61" s="1461"/>
      <c r="OAJ61" s="1462"/>
      <c r="OAK61" s="1463"/>
      <c r="OAL61" s="1459"/>
      <c r="OAM61" s="1459"/>
      <c r="OAN61" s="1460"/>
      <c r="OAO61" s="1461"/>
      <c r="OAP61" s="1462"/>
      <c r="OAQ61" s="1463"/>
      <c r="OAR61" s="1459"/>
      <c r="OAS61" s="1459"/>
      <c r="OAT61" s="1460"/>
      <c r="OAU61" s="1461"/>
      <c r="OAV61" s="1462"/>
      <c r="OAW61" s="1463"/>
      <c r="OAX61" s="1459"/>
      <c r="OAY61" s="1459"/>
      <c r="OAZ61" s="1460"/>
      <c r="OBA61" s="1461"/>
      <c r="OBB61" s="1462"/>
      <c r="OBC61" s="1463"/>
      <c r="OBD61" s="1459"/>
      <c r="OBE61" s="1459"/>
      <c r="OBF61" s="1460"/>
      <c r="OBG61" s="1461"/>
      <c r="OBH61" s="1462"/>
      <c r="OBI61" s="1463"/>
      <c r="OBJ61" s="1459"/>
      <c r="OBK61" s="1459"/>
      <c r="OBL61" s="1460"/>
      <c r="OBM61" s="1461"/>
      <c r="OBN61" s="1462"/>
      <c r="OBO61" s="1463"/>
      <c r="OBP61" s="1459"/>
      <c r="OBQ61" s="1459"/>
      <c r="OBR61" s="1460"/>
      <c r="OBS61" s="1461"/>
      <c r="OBT61" s="1462"/>
      <c r="OBU61" s="1463"/>
      <c r="OBV61" s="1459"/>
      <c r="OBW61" s="1459"/>
      <c r="OBX61" s="1460"/>
      <c r="OBY61" s="1461"/>
      <c r="OBZ61" s="1462"/>
      <c r="OCA61" s="1463"/>
      <c r="OCB61" s="1459"/>
      <c r="OCC61" s="1459"/>
      <c r="OCD61" s="1460"/>
      <c r="OCE61" s="1461"/>
      <c r="OCF61" s="1462"/>
      <c r="OCG61" s="1463"/>
      <c r="OCH61" s="1459"/>
      <c r="OCI61" s="1459"/>
      <c r="OCJ61" s="1460"/>
      <c r="OCK61" s="1461"/>
      <c r="OCL61" s="1462"/>
      <c r="OCM61" s="1463"/>
      <c r="OCN61" s="1459"/>
      <c r="OCO61" s="1459"/>
      <c r="OCP61" s="1460"/>
      <c r="OCQ61" s="1461"/>
      <c r="OCR61" s="1462"/>
      <c r="OCS61" s="1463"/>
      <c r="OCT61" s="1459"/>
      <c r="OCU61" s="1459"/>
      <c r="OCV61" s="1460"/>
      <c r="OCW61" s="1461"/>
      <c r="OCX61" s="1462"/>
      <c r="OCY61" s="1463"/>
      <c r="OCZ61" s="1459"/>
      <c r="ODA61" s="1459"/>
      <c r="ODB61" s="1460"/>
      <c r="ODC61" s="1461"/>
      <c r="ODD61" s="1462"/>
      <c r="ODE61" s="1463"/>
      <c r="ODF61" s="1459"/>
      <c r="ODG61" s="1459"/>
      <c r="ODH61" s="1460"/>
      <c r="ODI61" s="1461"/>
      <c r="ODJ61" s="1462"/>
      <c r="ODK61" s="1463"/>
      <c r="ODL61" s="1459"/>
      <c r="ODM61" s="1459"/>
      <c r="ODN61" s="1460"/>
      <c r="ODO61" s="1461"/>
      <c r="ODP61" s="1462"/>
      <c r="ODQ61" s="1463"/>
      <c r="ODR61" s="1459"/>
      <c r="ODS61" s="1459"/>
      <c r="ODT61" s="1460"/>
      <c r="ODU61" s="1461"/>
      <c r="ODV61" s="1462"/>
      <c r="ODW61" s="1463"/>
      <c r="ODX61" s="1459"/>
      <c r="ODY61" s="1459"/>
      <c r="ODZ61" s="1460"/>
      <c r="OEA61" s="1461"/>
      <c r="OEB61" s="1462"/>
      <c r="OEC61" s="1463"/>
      <c r="OED61" s="1459"/>
      <c r="OEE61" s="1459"/>
      <c r="OEF61" s="1460"/>
      <c r="OEG61" s="1461"/>
      <c r="OEH61" s="1462"/>
      <c r="OEI61" s="1463"/>
      <c r="OEJ61" s="1459"/>
      <c r="OEK61" s="1459"/>
      <c r="OEL61" s="1460"/>
      <c r="OEM61" s="1461"/>
      <c r="OEN61" s="1462"/>
      <c r="OEO61" s="1463"/>
      <c r="OEP61" s="1459"/>
      <c r="OEQ61" s="1459"/>
      <c r="OER61" s="1460"/>
      <c r="OES61" s="1461"/>
      <c r="OET61" s="1462"/>
      <c r="OEU61" s="1463"/>
      <c r="OEV61" s="1459"/>
      <c r="OEW61" s="1459"/>
      <c r="OEX61" s="1460"/>
      <c r="OEY61" s="1461"/>
      <c r="OEZ61" s="1462"/>
      <c r="OFA61" s="1463"/>
      <c r="OFB61" s="1459"/>
      <c r="OFC61" s="1459"/>
      <c r="OFD61" s="1460"/>
      <c r="OFE61" s="1461"/>
      <c r="OFF61" s="1462"/>
      <c r="OFG61" s="1463"/>
      <c r="OFH61" s="1459"/>
      <c r="OFI61" s="1459"/>
      <c r="OFJ61" s="1460"/>
      <c r="OFK61" s="1461"/>
      <c r="OFL61" s="1462"/>
      <c r="OFM61" s="1463"/>
      <c r="OFN61" s="1459"/>
      <c r="OFO61" s="1459"/>
      <c r="OFP61" s="1460"/>
      <c r="OFQ61" s="1461"/>
      <c r="OFR61" s="1462"/>
      <c r="OFS61" s="1463"/>
      <c r="OFT61" s="1459"/>
      <c r="OFU61" s="1459"/>
      <c r="OFV61" s="1460"/>
      <c r="OFW61" s="1461"/>
      <c r="OFX61" s="1462"/>
      <c r="OFY61" s="1463"/>
      <c r="OFZ61" s="1459"/>
      <c r="OGA61" s="1459"/>
      <c r="OGB61" s="1460"/>
      <c r="OGC61" s="1461"/>
      <c r="OGD61" s="1462"/>
      <c r="OGE61" s="1463"/>
      <c r="OGF61" s="1459"/>
      <c r="OGG61" s="1459"/>
      <c r="OGH61" s="1460"/>
      <c r="OGI61" s="1461"/>
      <c r="OGJ61" s="1462"/>
      <c r="OGK61" s="1463"/>
      <c r="OGL61" s="1459"/>
      <c r="OGM61" s="1459"/>
      <c r="OGN61" s="1460"/>
      <c r="OGO61" s="1461"/>
      <c r="OGP61" s="1462"/>
      <c r="OGQ61" s="1463"/>
      <c r="OGR61" s="1459"/>
      <c r="OGS61" s="1459"/>
      <c r="OGT61" s="1460"/>
      <c r="OGU61" s="1461"/>
      <c r="OGV61" s="1462"/>
      <c r="OGW61" s="1463"/>
      <c r="OGX61" s="1459"/>
      <c r="OGY61" s="1459"/>
      <c r="OGZ61" s="1460"/>
      <c r="OHA61" s="1461"/>
      <c r="OHB61" s="1462"/>
      <c r="OHC61" s="1463"/>
      <c r="OHD61" s="1459"/>
      <c r="OHE61" s="1459"/>
      <c r="OHF61" s="1460"/>
      <c r="OHG61" s="1461"/>
      <c r="OHH61" s="1462"/>
      <c r="OHI61" s="1463"/>
      <c r="OHJ61" s="1459"/>
      <c r="OHK61" s="1459"/>
      <c r="OHL61" s="1460"/>
      <c r="OHM61" s="1461"/>
      <c r="OHN61" s="1462"/>
      <c r="OHO61" s="1463"/>
      <c r="OHP61" s="1459"/>
      <c r="OHQ61" s="1459"/>
      <c r="OHR61" s="1460"/>
      <c r="OHS61" s="1461"/>
      <c r="OHT61" s="1462"/>
      <c r="OHU61" s="1463"/>
      <c r="OHV61" s="1459"/>
      <c r="OHW61" s="1459"/>
      <c r="OHX61" s="1460"/>
      <c r="OHY61" s="1461"/>
      <c r="OHZ61" s="1462"/>
      <c r="OIA61" s="1463"/>
      <c r="OIB61" s="1459"/>
      <c r="OIC61" s="1459"/>
      <c r="OID61" s="1460"/>
      <c r="OIE61" s="1461"/>
      <c r="OIF61" s="1462"/>
      <c r="OIG61" s="1463"/>
      <c r="OIH61" s="1459"/>
      <c r="OII61" s="1459"/>
      <c r="OIJ61" s="1460"/>
      <c r="OIK61" s="1461"/>
      <c r="OIL61" s="1462"/>
      <c r="OIM61" s="1463"/>
      <c r="OIN61" s="1459"/>
      <c r="OIO61" s="1459"/>
      <c r="OIP61" s="1460"/>
      <c r="OIQ61" s="1461"/>
      <c r="OIR61" s="1462"/>
      <c r="OIS61" s="1463"/>
      <c r="OIT61" s="1459"/>
      <c r="OIU61" s="1459"/>
      <c r="OIV61" s="1460"/>
      <c r="OIW61" s="1461"/>
      <c r="OIX61" s="1462"/>
      <c r="OIY61" s="1463"/>
      <c r="OIZ61" s="1459"/>
      <c r="OJA61" s="1459"/>
      <c r="OJB61" s="1460"/>
      <c r="OJC61" s="1461"/>
      <c r="OJD61" s="1462"/>
      <c r="OJE61" s="1463"/>
      <c r="OJF61" s="1459"/>
      <c r="OJG61" s="1459"/>
      <c r="OJH61" s="1460"/>
      <c r="OJI61" s="1461"/>
      <c r="OJJ61" s="1462"/>
      <c r="OJK61" s="1463"/>
      <c r="OJL61" s="1459"/>
      <c r="OJM61" s="1459"/>
      <c r="OJN61" s="1460"/>
      <c r="OJO61" s="1461"/>
      <c r="OJP61" s="1462"/>
      <c r="OJQ61" s="1463"/>
      <c r="OJR61" s="1459"/>
      <c r="OJS61" s="1459"/>
      <c r="OJT61" s="1460"/>
      <c r="OJU61" s="1461"/>
      <c r="OJV61" s="1462"/>
      <c r="OJW61" s="1463"/>
      <c r="OJX61" s="1459"/>
      <c r="OJY61" s="1459"/>
      <c r="OJZ61" s="1460"/>
      <c r="OKA61" s="1461"/>
      <c r="OKB61" s="1462"/>
      <c r="OKC61" s="1463"/>
      <c r="OKD61" s="1459"/>
      <c r="OKE61" s="1459"/>
      <c r="OKF61" s="1460"/>
      <c r="OKG61" s="1461"/>
      <c r="OKH61" s="1462"/>
      <c r="OKI61" s="1463"/>
      <c r="OKJ61" s="1459"/>
      <c r="OKK61" s="1459"/>
      <c r="OKL61" s="1460"/>
      <c r="OKM61" s="1461"/>
      <c r="OKN61" s="1462"/>
      <c r="OKO61" s="1463"/>
      <c r="OKP61" s="1459"/>
      <c r="OKQ61" s="1459"/>
      <c r="OKR61" s="1460"/>
      <c r="OKS61" s="1461"/>
      <c r="OKT61" s="1462"/>
      <c r="OKU61" s="1463"/>
      <c r="OKV61" s="1459"/>
      <c r="OKW61" s="1459"/>
      <c r="OKX61" s="1460"/>
      <c r="OKY61" s="1461"/>
      <c r="OKZ61" s="1462"/>
      <c r="OLA61" s="1463"/>
      <c r="OLB61" s="1459"/>
      <c r="OLC61" s="1459"/>
      <c r="OLD61" s="1460"/>
      <c r="OLE61" s="1461"/>
      <c r="OLF61" s="1462"/>
      <c r="OLG61" s="1463"/>
      <c r="OLH61" s="1459"/>
      <c r="OLI61" s="1459"/>
      <c r="OLJ61" s="1460"/>
      <c r="OLK61" s="1461"/>
      <c r="OLL61" s="1462"/>
      <c r="OLM61" s="1463"/>
      <c r="OLN61" s="1459"/>
      <c r="OLO61" s="1459"/>
      <c r="OLP61" s="1460"/>
      <c r="OLQ61" s="1461"/>
      <c r="OLR61" s="1462"/>
      <c r="OLS61" s="1463"/>
      <c r="OLT61" s="1459"/>
      <c r="OLU61" s="1459"/>
      <c r="OLV61" s="1460"/>
      <c r="OLW61" s="1461"/>
      <c r="OLX61" s="1462"/>
      <c r="OLY61" s="1463"/>
      <c r="OLZ61" s="1459"/>
      <c r="OMA61" s="1459"/>
      <c r="OMB61" s="1460"/>
      <c r="OMC61" s="1461"/>
      <c r="OMD61" s="1462"/>
      <c r="OME61" s="1463"/>
      <c r="OMF61" s="1459"/>
      <c r="OMG61" s="1459"/>
      <c r="OMH61" s="1460"/>
      <c r="OMI61" s="1461"/>
      <c r="OMJ61" s="1462"/>
      <c r="OMK61" s="1463"/>
      <c r="OML61" s="1459"/>
      <c r="OMM61" s="1459"/>
      <c r="OMN61" s="1460"/>
      <c r="OMO61" s="1461"/>
      <c r="OMP61" s="1462"/>
      <c r="OMQ61" s="1463"/>
      <c r="OMR61" s="1459"/>
      <c r="OMS61" s="1459"/>
      <c r="OMT61" s="1460"/>
      <c r="OMU61" s="1461"/>
      <c r="OMV61" s="1462"/>
      <c r="OMW61" s="1463"/>
      <c r="OMX61" s="1459"/>
      <c r="OMY61" s="1459"/>
      <c r="OMZ61" s="1460"/>
      <c r="ONA61" s="1461"/>
      <c r="ONB61" s="1462"/>
      <c r="ONC61" s="1463"/>
      <c r="OND61" s="1459"/>
      <c r="ONE61" s="1459"/>
      <c r="ONF61" s="1460"/>
      <c r="ONG61" s="1461"/>
      <c r="ONH61" s="1462"/>
      <c r="ONI61" s="1463"/>
      <c r="ONJ61" s="1459"/>
      <c r="ONK61" s="1459"/>
      <c r="ONL61" s="1460"/>
      <c r="ONM61" s="1461"/>
      <c r="ONN61" s="1462"/>
      <c r="ONO61" s="1463"/>
      <c r="ONP61" s="1459"/>
      <c r="ONQ61" s="1459"/>
      <c r="ONR61" s="1460"/>
      <c r="ONS61" s="1461"/>
      <c r="ONT61" s="1462"/>
      <c r="ONU61" s="1463"/>
      <c r="ONV61" s="1459"/>
      <c r="ONW61" s="1459"/>
      <c r="ONX61" s="1460"/>
      <c r="ONY61" s="1461"/>
      <c r="ONZ61" s="1462"/>
      <c r="OOA61" s="1463"/>
      <c r="OOB61" s="1459"/>
      <c r="OOC61" s="1459"/>
      <c r="OOD61" s="1460"/>
      <c r="OOE61" s="1461"/>
      <c r="OOF61" s="1462"/>
      <c r="OOG61" s="1463"/>
      <c r="OOH61" s="1459"/>
      <c r="OOI61" s="1459"/>
      <c r="OOJ61" s="1460"/>
      <c r="OOK61" s="1461"/>
      <c r="OOL61" s="1462"/>
      <c r="OOM61" s="1463"/>
      <c r="OON61" s="1459"/>
      <c r="OOO61" s="1459"/>
      <c r="OOP61" s="1460"/>
      <c r="OOQ61" s="1461"/>
      <c r="OOR61" s="1462"/>
      <c r="OOS61" s="1463"/>
      <c r="OOT61" s="1459"/>
      <c r="OOU61" s="1459"/>
      <c r="OOV61" s="1460"/>
      <c r="OOW61" s="1461"/>
      <c r="OOX61" s="1462"/>
      <c r="OOY61" s="1463"/>
      <c r="OOZ61" s="1459"/>
      <c r="OPA61" s="1459"/>
      <c r="OPB61" s="1460"/>
      <c r="OPC61" s="1461"/>
      <c r="OPD61" s="1462"/>
      <c r="OPE61" s="1463"/>
      <c r="OPF61" s="1459"/>
      <c r="OPG61" s="1459"/>
      <c r="OPH61" s="1460"/>
      <c r="OPI61" s="1461"/>
      <c r="OPJ61" s="1462"/>
      <c r="OPK61" s="1463"/>
      <c r="OPL61" s="1459"/>
      <c r="OPM61" s="1459"/>
      <c r="OPN61" s="1460"/>
      <c r="OPO61" s="1461"/>
      <c r="OPP61" s="1462"/>
      <c r="OPQ61" s="1463"/>
      <c r="OPR61" s="1459"/>
      <c r="OPS61" s="1459"/>
      <c r="OPT61" s="1460"/>
      <c r="OPU61" s="1461"/>
      <c r="OPV61" s="1462"/>
      <c r="OPW61" s="1463"/>
      <c r="OPX61" s="1459"/>
      <c r="OPY61" s="1459"/>
      <c r="OPZ61" s="1460"/>
      <c r="OQA61" s="1461"/>
      <c r="OQB61" s="1462"/>
      <c r="OQC61" s="1463"/>
      <c r="OQD61" s="1459"/>
      <c r="OQE61" s="1459"/>
      <c r="OQF61" s="1460"/>
      <c r="OQG61" s="1461"/>
      <c r="OQH61" s="1462"/>
      <c r="OQI61" s="1463"/>
      <c r="OQJ61" s="1459"/>
      <c r="OQK61" s="1459"/>
      <c r="OQL61" s="1460"/>
      <c r="OQM61" s="1461"/>
      <c r="OQN61" s="1462"/>
      <c r="OQO61" s="1463"/>
      <c r="OQP61" s="1459"/>
      <c r="OQQ61" s="1459"/>
      <c r="OQR61" s="1460"/>
      <c r="OQS61" s="1461"/>
      <c r="OQT61" s="1462"/>
      <c r="OQU61" s="1463"/>
      <c r="OQV61" s="1459"/>
      <c r="OQW61" s="1459"/>
      <c r="OQX61" s="1460"/>
      <c r="OQY61" s="1461"/>
      <c r="OQZ61" s="1462"/>
      <c r="ORA61" s="1463"/>
      <c r="ORB61" s="1459"/>
      <c r="ORC61" s="1459"/>
      <c r="ORD61" s="1460"/>
      <c r="ORE61" s="1461"/>
      <c r="ORF61" s="1462"/>
      <c r="ORG61" s="1463"/>
      <c r="ORH61" s="1459"/>
      <c r="ORI61" s="1459"/>
      <c r="ORJ61" s="1460"/>
      <c r="ORK61" s="1461"/>
      <c r="ORL61" s="1462"/>
      <c r="ORM61" s="1463"/>
      <c r="ORN61" s="1459"/>
      <c r="ORO61" s="1459"/>
      <c r="ORP61" s="1460"/>
      <c r="ORQ61" s="1461"/>
      <c r="ORR61" s="1462"/>
      <c r="ORS61" s="1463"/>
      <c r="ORT61" s="1459"/>
      <c r="ORU61" s="1459"/>
      <c r="ORV61" s="1460"/>
      <c r="ORW61" s="1461"/>
      <c r="ORX61" s="1462"/>
      <c r="ORY61" s="1463"/>
      <c r="ORZ61" s="1459"/>
      <c r="OSA61" s="1459"/>
      <c r="OSB61" s="1460"/>
      <c r="OSC61" s="1461"/>
      <c r="OSD61" s="1462"/>
      <c r="OSE61" s="1463"/>
      <c r="OSF61" s="1459"/>
      <c r="OSG61" s="1459"/>
      <c r="OSH61" s="1460"/>
      <c r="OSI61" s="1461"/>
      <c r="OSJ61" s="1462"/>
      <c r="OSK61" s="1463"/>
      <c r="OSL61" s="1459"/>
      <c r="OSM61" s="1459"/>
      <c r="OSN61" s="1460"/>
      <c r="OSO61" s="1461"/>
      <c r="OSP61" s="1462"/>
      <c r="OSQ61" s="1463"/>
      <c r="OSR61" s="1459"/>
      <c r="OSS61" s="1459"/>
      <c r="OST61" s="1460"/>
      <c r="OSU61" s="1461"/>
      <c r="OSV61" s="1462"/>
      <c r="OSW61" s="1463"/>
      <c r="OSX61" s="1459"/>
      <c r="OSY61" s="1459"/>
      <c r="OSZ61" s="1460"/>
      <c r="OTA61" s="1461"/>
      <c r="OTB61" s="1462"/>
      <c r="OTC61" s="1463"/>
      <c r="OTD61" s="1459"/>
      <c r="OTE61" s="1459"/>
      <c r="OTF61" s="1460"/>
      <c r="OTG61" s="1461"/>
      <c r="OTH61" s="1462"/>
      <c r="OTI61" s="1463"/>
      <c r="OTJ61" s="1459"/>
      <c r="OTK61" s="1459"/>
      <c r="OTL61" s="1460"/>
      <c r="OTM61" s="1461"/>
      <c r="OTN61" s="1462"/>
      <c r="OTO61" s="1463"/>
      <c r="OTP61" s="1459"/>
      <c r="OTQ61" s="1459"/>
      <c r="OTR61" s="1460"/>
      <c r="OTS61" s="1461"/>
      <c r="OTT61" s="1462"/>
      <c r="OTU61" s="1463"/>
      <c r="OTV61" s="1459"/>
      <c r="OTW61" s="1459"/>
      <c r="OTX61" s="1460"/>
      <c r="OTY61" s="1461"/>
      <c r="OTZ61" s="1462"/>
      <c r="OUA61" s="1463"/>
      <c r="OUB61" s="1459"/>
      <c r="OUC61" s="1459"/>
      <c r="OUD61" s="1460"/>
      <c r="OUE61" s="1461"/>
      <c r="OUF61" s="1462"/>
      <c r="OUG61" s="1463"/>
      <c r="OUH61" s="1459"/>
      <c r="OUI61" s="1459"/>
      <c r="OUJ61" s="1460"/>
      <c r="OUK61" s="1461"/>
      <c r="OUL61" s="1462"/>
      <c r="OUM61" s="1463"/>
      <c r="OUN61" s="1459"/>
      <c r="OUO61" s="1459"/>
      <c r="OUP61" s="1460"/>
      <c r="OUQ61" s="1461"/>
      <c r="OUR61" s="1462"/>
      <c r="OUS61" s="1463"/>
      <c r="OUT61" s="1459"/>
      <c r="OUU61" s="1459"/>
      <c r="OUV61" s="1460"/>
      <c r="OUW61" s="1461"/>
      <c r="OUX61" s="1462"/>
      <c r="OUY61" s="1463"/>
      <c r="OUZ61" s="1459"/>
      <c r="OVA61" s="1459"/>
      <c r="OVB61" s="1460"/>
      <c r="OVC61" s="1461"/>
      <c r="OVD61" s="1462"/>
      <c r="OVE61" s="1463"/>
      <c r="OVF61" s="1459"/>
      <c r="OVG61" s="1459"/>
      <c r="OVH61" s="1460"/>
      <c r="OVI61" s="1461"/>
      <c r="OVJ61" s="1462"/>
      <c r="OVK61" s="1463"/>
      <c r="OVL61" s="1459"/>
      <c r="OVM61" s="1459"/>
      <c r="OVN61" s="1460"/>
      <c r="OVO61" s="1461"/>
      <c r="OVP61" s="1462"/>
      <c r="OVQ61" s="1463"/>
      <c r="OVR61" s="1459"/>
      <c r="OVS61" s="1459"/>
      <c r="OVT61" s="1460"/>
      <c r="OVU61" s="1461"/>
      <c r="OVV61" s="1462"/>
      <c r="OVW61" s="1463"/>
      <c r="OVX61" s="1459"/>
      <c r="OVY61" s="1459"/>
      <c r="OVZ61" s="1460"/>
      <c r="OWA61" s="1461"/>
      <c r="OWB61" s="1462"/>
      <c r="OWC61" s="1463"/>
      <c r="OWD61" s="1459"/>
      <c r="OWE61" s="1459"/>
      <c r="OWF61" s="1460"/>
      <c r="OWG61" s="1461"/>
      <c r="OWH61" s="1462"/>
      <c r="OWI61" s="1463"/>
      <c r="OWJ61" s="1459"/>
      <c r="OWK61" s="1459"/>
      <c r="OWL61" s="1460"/>
      <c r="OWM61" s="1461"/>
      <c r="OWN61" s="1462"/>
      <c r="OWO61" s="1463"/>
      <c r="OWP61" s="1459"/>
      <c r="OWQ61" s="1459"/>
      <c r="OWR61" s="1460"/>
      <c r="OWS61" s="1461"/>
      <c r="OWT61" s="1462"/>
      <c r="OWU61" s="1463"/>
      <c r="OWV61" s="1459"/>
      <c r="OWW61" s="1459"/>
      <c r="OWX61" s="1460"/>
      <c r="OWY61" s="1461"/>
      <c r="OWZ61" s="1462"/>
      <c r="OXA61" s="1463"/>
      <c r="OXB61" s="1459"/>
      <c r="OXC61" s="1459"/>
      <c r="OXD61" s="1460"/>
      <c r="OXE61" s="1461"/>
      <c r="OXF61" s="1462"/>
      <c r="OXG61" s="1463"/>
      <c r="OXH61" s="1459"/>
      <c r="OXI61" s="1459"/>
      <c r="OXJ61" s="1460"/>
      <c r="OXK61" s="1461"/>
      <c r="OXL61" s="1462"/>
      <c r="OXM61" s="1463"/>
      <c r="OXN61" s="1459"/>
      <c r="OXO61" s="1459"/>
      <c r="OXP61" s="1460"/>
      <c r="OXQ61" s="1461"/>
      <c r="OXR61" s="1462"/>
      <c r="OXS61" s="1463"/>
      <c r="OXT61" s="1459"/>
      <c r="OXU61" s="1459"/>
      <c r="OXV61" s="1460"/>
      <c r="OXW61" s="1461"/>
      <c r="OXX61" s="1462"/>
      <c r="OXY61" s="1463"/>
      <c r="OXZ61" s="1459"/>
      <c r="OYA61" s="1459"/>
      <c r="OYB61" s="1460"/>
      <c r="OYC61" s="1461"/>
      <c r="OYD61" s="1462"/>
      <c r="OYE61" s="1463"/>
      <c r="OYF61" s="1459"/>
      <c r="OYG61" s="1459"/>
      <c r="OYH61" s="1460"/>
      <c r="OYI61" s="1461"/>
      <c r="OYJ61" s="1462"/>
      <c r="OYK61" s="1463"/>
      <c r="OYL61" s="1459"/>
      <c r="OYM61" s="1459"/>
      <c r="OYN61" s="1460"/>
      <c r="OYO61" s="1461"/>
      <c r="OYP61" s="1462"/>
      <c r="OYQ61" s="1463"/>
      <c r="OYR61" s="1459"/>
      <c r="OYS61" s="1459"/>
      <c r="OYT61" s="1460"/>
      <c r="OYU61" s="1461"/>
      <c r="OYV61" s="1462"/>
      <c r="OYW61" s="1463"/>
      <c r="OYX61" s="1459"/>
      <c r="OYY61" s="1459"/>
      <c r="OYZ61" s="1460"/>
      <c r="OZA61" s="1461"/>
      <c r="OZB61" s="1462"/>
      <c r="OZC61" s="1463"/>
      <c r="OZD61" s="1459"/>
      <c r="OZE61" s="1459"/>
      <c r="OZF61" s="1460"/>
      <c r="OZG61" s="1461"/>
      <c r="OZH61" s="1462"/>
      <c r="OZI61" s="1463"/>
      <c r="OZJ61" s="1459"/>
      <c r="OZK61" s="1459"/>
      <c r="OZL61" s="1460"/>
      <c r="OZM61" s="1461"/>
      <c r="OZN61" s="1462"/>
      <c r="OZO61" s="1463"/>
      <c r="OZP61" s="1459"/>
      <c r="OZQ61" s="1459"/>
      <c r="OZR61" s="1460"/>
      <c r="OZS61" s="1461"/>
      <c r="OZT61" s="1462"/>
      <c r="OZU61" s="1463"/>
      <c r="OZV61" s="1459"/>
      <c r="OZW61" s="1459"/>
      <c r="OZX61" s="1460"/>
      <c r="OZY61" s="1461"/>
      <c r="OZZ61" s="1462"/>
      <c r="PAA61" s="1463"/>
      <c r="PAB61" s="1459"/>
      <c r="PAC61" s="1459"/>
      <c r="PAD61" s="1460"/>
      <c r="PAE61" s="1461"/>
      <c r="PAF61" s="1462"/>
      <c r="PAG61" s="1463"/>
      <c r="PAH61" s="1459"/>
      <c r="PAI61" s="1459"/>
      <c r="PAJ61" s="1460"/>
      <c r="PAK61" s="1461"/>
      <c r="PAL61" s="1462"/>
      <c r="PAM61" s="1463"/>
      <c r="PAN61" s="1459"/>
      <c r="PAO61" s="1459"/>
      <c r="PAP61" s="1460"/>
      <c r="PAQ61" s="1461"/>
      <c r="PAR61" s="1462"/>
      <c r="PAS61" s="1463"/>
      <c r="PAT61" s="1459"/>
      <c r="PAU61" s="1459"/>
      <c r="PAV61" s="1460"/>
      <c r="PAW61" s="1461"/>
      <c r="PAX61" s="1462"/>
      <c r="PAY61" s="1463"/>
      <c r="PAZ61" s="1459"/>
      <c r="PBA61" s="1459"/>
      <c r="PBB61" s="1460"/>
      <c r="PBC61" s="1461"/>
      <c r="PBD61" s="1462"/>
      <c r="PBE61" s="1463"/>
      <c r="PBF61" s="1459"/>
      <c r="PBG61" s="1459"/>
      <c r="PBH61" s="1460"/>
      <c r="PBI61" s="1461"/>
      <c r="PBJ61" s="1462"/>
      <c r="PBK61" s="1463"/>
      <c r="PBL61" s="1459"/>
      <c r="PBM61" s="1459"/>
      <c r="PBN61" s="1460"/>
      <c r="PBO61" s="1461"/>
      <c r="PBP61" s="1462"/>
      <c r="PBQ61" s="1463"/>
      <c r="PBR61" s="1459"/>
      <c r="PBS61" s="1459"/>
      <c r="PBT61" s="1460"/>
      <c r="PBU61" s="1461"/>
      <c r="PBV61" s="1462"/>
      <c r="PBW61" s="1463"/>
      <c r="PBX61" s="1459"/>
      <c r="PBY61" s="1459"/>
      <c r="PBZ61" s="1460"/>
      <c r="PCA61" s="1461"/>
      <c r="PCB61" s="1462"/>
      <c r="PCC61" s="1463"/>
      <c r="PCD61" s="1459"/>
      <c r="PCE61" s="1459"/>
      <c r="PCF61" s="1460"/>
      <c r="PCG61" s="1461"/>
      <c r="PCH61" s="1462"/>
      <c r="PCI61" s="1463"/>
      <c r="PCJ61" s="1459"/>
      <c r="PCK61" s="1459"/>
      <c r="PCL61" s="1460"/>
      <c r="PCM61" s="1461"/>
      <c r="PCN61" s="1462"/>
      <c r="PCO61" s="1463"/>
      <c r="PCP61" s="1459"/>
      <c r="PCQ61" s="1459"/>
      <c r="PCR61" s="1460"/>
      <c r="PCS61" s="1461"/>
      <c r="PCT61" s="1462"/>
      <c r="PCU61" s="1463"/>
      <c r="PCV61" s="1459"/>
      <c r="PCW61" s="1459"/>
      <c r="PCX61" s="1460"/>
      <c r="PCY61" s="1461"/>
      <c r="PCZ61" s="1462"/>
      <c r="PDA61" s="1463"/>
      <c r="PDB61" s="1459"/>
      <c r="PDC61" s="1459"/>
      <c r="PDD61" s="1460"/>
      <c r="PDE61" s="1461"/>
      <c r="PDF61" s="1462"/>
      <c r="PDG61" s="1463"/>
      <c r="PDH61" s="1459"/>
      <c r="PDI61" s="1459"/>
      <c r="PDJ61" s="1460"/>
      <c r="PDK61" s="1461"/>
      <c r="PDL61" s="1462"/>
      <c r="PDM61" s="1463"/>
      <c r="PDN61" s="1459"/>
      <c r="PDO61" s="1459"/>
      <c r="PDP61" s="1460"/>
      <c r="PDQ61" s="1461"/>
      <c r="PDR61" s="1462"/>
      <c r="PDS61" s="1463"/>
      <c r="PDT61" s="1459"/>
      <c r="PDU61" s="1459"/>
      <c r="PDV61" s="1460"/>
      <c r="PDW61" s="1461"/>
      <c r="PDX61" s="1462"/>
      <c r="PDY61" s="1463"/>
      <c r="PDZ61" s="1459"/>
      <c r="PEA61" s="1459"/>
      <c r="PEB61" s="1460"/>
      <c r="PEC61" s="1461"/>
      <c r="PED61" s="1462"/>
      <c r="PEE61" s="1463"/>
      <c r="PEF61" s="1459"/>
      <c r="PEG61" s="1459"/>
      <c r="PEH61" s="1460"/>
      <c r="PEI61" s="1461"/>
      <c r="PEJ61" s="1462"/>
      <c r="PEK61" s="1463"/>
      <c r="PEL61" s="1459"/>
      <c r="PEM61" s="1459"/>
      <c r="PEN61" s="1460"/>
      <c r="PEO61" s="1461"/>
      <c r="PEP61" s="1462"/>
      <c r="PEQ61" s="1463"/>
      <c r="PER61" s="1459"/>
      <c r="PES61" s="1459"/>
      <c r="PET61" s="1460"/>
      <c r="PEU61" s="1461"/>
      <c r="PEV61" s="1462"/>
      <c r="PEW61" s="1463"/>
      <c r="PEX61" s="1459"/>
      <c r="PEY61" s="1459"/>
      <c r="PEZ61" s="1460"/>
      <c r="PFA61" s="1461"/>
      <c r="PFB61" s="1462"/>
      <c r="PFC61" s="1463"/>
      <c r="PFD61" s="1459"/>
      <c r="PFE61" s="1459"/>
      <c r="PFF61" s="1460"/>
      <c r="PFG61" s="1461"/>
      <c r="PFH61" s="1462"/>
      <c r="PFI61" s="1463"/>
      <c r="PFJ61" s="1459"/>
      <c r="PFK61" s="1459"/>
      <c r="PFL61" s="1460"/>
      <c r="PFM61" s="1461"/>
      <c r="PFN61" s="1462"/>
      <c r="PFO61" s="1463"/>
      <c r="PFP61" s="1459"/>
      <c r="PFQ61" s="1459"/>
      <c r="PFR61" s="1460"/>
      <c r="PFS61" s="1461"/>
      <c r="PFT61" s="1462"/>
      <c r="PFU61" s="1463"/>
      <c r="PFV61" s="1459"/>
      <c r="PFW61" s="1459"/>
      <c r="PFX61" s="1460"/>
      <c r="PFY61" s="1461"/>
      <c r="PFZ61" s="1462"/>
      <c r="PGA61" s="1463"/>
      <c r="PGB61" s="1459"/>
      <c r="PGC61" s="1459"/>
      <c r="PGD61" s="1460"/>
      <c r="PGE61" s="1461"/>
      <c r="PGF61" s="1462"/>
      <c r="PGG61" s="1463"/>
      <c r="PGH61" s="1459"/>
      <c r="PGI61" s="1459"/>
      <c r="PGJ61" s="1460"/>
      <c r="PGK61" s="1461"/>
      <c r="PGL61" s="1462"/>
      <c r="PGM61" s="1463"/>
      <c r="PGN61" s="1459"/>
      <c r="PGO61" s="1459"/>
      <c r="PGP61" s="1460"/>
      <c r="PGQ61" s="1461"/>
      <c r="PGR61" s="1462"/>
      <c r="PGS61" s="1463"/>
      <c r="PGT61" s="1459"/>
      <c r="PGU61" s="1459"/>
      <c r="PGV61" s="1460"/>
      <c r="PGW61" s="1461"/>
      <c r="PGX61" s="1462"/>
      <c r="PGY61" s="1463"/>
      <c r="PGZ61" s="1459"/>
      <c r="PHA61" s="1459"/>
      <c r="PHB61" s="1460"/>
      <c r="PHC61" s="1461"/>
      <c r="PHD61" s="1462"/>
      <c r="PHE61" s="1463"/>
      <c r="PHF61" s="1459"/>
      <c r="PHG61" s="1459"/>
      <c r="PHH61" s="1460"/>
      <c r="PHI61" s="1461"/>
      <c r="PHJ61" s="1462"/>
      <c r="PHK61" s="1463"/>
      <c r="PHL61" s="1459"/>
      <c r="PHM61" s="1459"/>
      <c r="PHN61" s="1460"/>
      <c r="PHO61" s="1461"/>
      <c r="PHP61" s="1462"/>
      <c r="PHQ61" s="1463"/>
      <c r="PHR61" s="1459"/>
      <c r="PHS61" s="1459"/>
      <c r="PHT61" s="1460"/>
      <c r="PHU61" s="1461"/>
      <c r="PHV61" s="1462"/>
      <c r="PHW61" s="1463"/>
      <c r="PHX61" s="1459"/>
      <c r="PHY61" s="1459"/>
      <c r="PHZ61" s="1460"/>
      <c r="PIA61" s="1461"/>
      <c r="PIB61" s="1462"/>
      <c r="PIC61" s="1463"/>
      <c r="PID61" s="1459"/>
      <c r="PIE61" s="1459"/>
      <c r="PIF61" s="1460"/>
      <c r="PIG61" s="1461"/>
      <c r="PIH61" s="1462"/>
      <c r="PII61" s="1463"/>
      <c r="PIJ61" s="1459"/>
      <c r="PIK61" s="1459"/>
      <c r="PIL61" s="1460"/>
      <c r="PIM61" s="1461"/>
      <c r="PIN61" s="1462"/>
      <c r="PIO61" s="1463"/>
      <c r="PIP61" s="1459"/>
      <c r="PIQ61" s="1459"/>
      <c r="PIR61" s="1460"/>
      <c r="PIS61" s="1461"/>
      <c r="PIT61" s="1462"/>
      <c r="PIU61" s="1463"/>
      <c r="PIV61" s="1459"/>
      <c r="PIW61" s="1459"/>
      <c r="PIX61" s="1460"/>
      <c r="PIY61" s="1461"/>
      <c r="PIZ61" s="1462"/>
      <c r="PJA61" s="1463"/>
      <c r="PJB61" s="1459"/>
      <c r="PJC61" s="1459"/>
      <c r="PJD61" s="1460"/>
      <c r="PJE61" s="1461"/>
      <c r="PJF61" s="1462"/>
      <c r="PJG61" s="1463"/>
      <c r="PJH61" s="1459"/>
      <c r="PJI61" s="1459"/>
      <c r="PJJ61" s="1460"/>
      <c r="PJK61" s="1461"/>
      <c r="PJL61" s="1462"/>
      <c r="PJM61" s="1463"/>
      <c r="PJN61" s="1459"/>
      <c r="PJO61" s="1459"/>
      <c r="PJP61" s="1460"/>
      <c r="PJQ61" s="1461"/>
      <c r="PJR61" s="1462"/>
      <c r="PJS61" s="1463"/>
      <c r="PJT61" s="1459"/>
      <c r="PJU61" s="1459"/>
      <c r="PJV61" s="1460"/>
      <c r="PJW61" s="1461"/>
      <c r="PJX61" s="1462"/>
      <c r="PJY61" s="1463"/>
      <c r="PJZ61" s="1459"/>
      <c r="PKA61" s="1459"/>
      <c r="PKB61" s="1460"/>
      <c r="PKC61" s="1461"/>
      <c r="PKD61" s="1462"/>
      <c r="PKE61" s="1463"/>
      <c r="PKF61" s="1459"/>
      <c r="PKG61" s="1459"/>
      <c r="PKH61" s="1460"/>
      <c r="PKI61" s="1461"/>
      <c r="PKJ61" s="1462"/>
      <c r="PKK61" s="1463"/>
      <c r="PKL61" s="1459"/>
      <c r="PKM61" s="1459"/>
      <c r="PKN61" s="1460"/>
      <c r="PKO61" s="1461"/>
      <c r="PKP61" s="1462"/>
      <c r="PKQ61" s="1463"/>
      <c r="PKR61" s="1459"/>
      <c r="PKS61" s="1459"/>
      <c r="PKT61" s="1460"/>
      <c r="PKU61" s="1461"/>
      <c r="PKV61" s="1462"/>
      <c r="PKW61" s="1463"/>
      <c r="PKX61" s="1459"/>
      <c r="PKY61" s="1459"/>
      <c r="PKZ61" s="1460"/>
      <c r="PLA61" s="1461"/>
      <c r="PLB61" s="1462"/>
      <c r="PLC61" s="1463"/>
      <c r="PLD61" s="1459"/>
      <c r="PLE61" s="1459"/>
      <c r="PLF61" s="1460"/>
      <c r="PLG61" s="1461"/>
      <c r="PLH61" s="1462"/>
      <c r="PLI61" s="1463"/>
      <c r="PLJ61" s="1459"/>
      <c r="PLK61" s="1459"/>
      <c r="PLL61" s="1460"/>
      <c r="PLM61" s="1461"/>
      <c r="PLN61" s="1462"/>
      <c r="PLO61" s="1463"/>
      <c r="PLP61" s="1459"/>
      <c r="PLQ61" s="1459"/>
      <c r="PLR61" s="1460"/>
      <c r="PLS61" s="1461"/>
      <c r="PLT61" s="1462"/>
      <c r="PLU61" s="1463"/>
      <c r="PLV61" s="1459"/>
      <c r="PLW61" s="1459"/>
      <c r="PLX61" s="1460"/>
      <c r="PLY61" s="1461"/>
      <c r="PLZ61" s="1462"/>
      <c r="PMA61" s="1463"/>
      <c r="PMB61" s="1459"/>
      <c r="PMC61" s="1459"/>
      <c r="PMD61" s="1460"/>
      <c r="PME61" s="1461"/>
      <c r="PMF61" s="1462"/>
      <c r="PMG61" s="1463"/>
      <c r="PMH61" s="1459"/>
      <c r="PMI61" s="1459"/>
      <c r="PMJ61" s="1460"/>
      <c r="PMK61" s="1461"/>
      <c r="PML61" s="1462"/>
      <c r="PMM61" s="1463"/>
      <c r="PMN61" s="1459"/>
      <c r="PMO61" s="1459"/>
      <c r="PMP61" s="1460"/>
      <c r="PMQ61" s="1461"/>
      <c r="PMR61" s="1462"/>
      <c r="PMS61" s="1463"/>
      <c r="PMT61" s="1459"/>
      <c r="PMU61" s="1459"/>
      <c r="PMV61" s="1460"/>
      <c r="PMW61" s="1461"/>
      <c r="PMX61" s="1462"/>
      <c r="PMY61" s="1463"/>
      <c r="PMZ61" s="1459"/>
      <c r="PNA61" s="1459"/>
      <c r="PNB61" s="1460"/>
      <c r="PNC61" s="1461"/>
      <c r="PND61" s="1462"/>
      <c r="PNE61" s="1463"/>
      <c r="PNF61" s="1459"/>
      <c r="PNG61" s="1459"/>
      <c r="PNH61" s="1460"/>
      <c r="PNI61" s="1461"/>
      <c r="PNJ61" s="1462"/>
      <c r="PNK61" s="1463"/>
      <c r="PNL61" s="1459"/>
      <c r="PNM61" s="1459"/>
      <c r="PNN61" s="1460"/>
      <c r="PNO61" s="1461"/>
      <c r="PNP61" s="1462"/>
      <c r="PNQ61" s="1463"/>
      <c r="PNR61" s="1459"/>
      <c r="PNS61" s="1459"/>
      <c r="PNT61" s="1460"/>
      <c r="PNU61" s="1461"/>
      <c r="PNV61" s="1462"/>
      <c r="PNW61" s="1463"/>
      <c r="PNX61" s="1459"/>
      <c r="PNY61" s="1459"/>
      <c r="PNZ61" s="1460"/>
      <c r="POA61" s="1461"/>
      <c r="POB61" s="1462"/>
      <c r="POC61" s="1463"/>
      <c r="POD61" s="1459"/>
      <c r="POE61" s="1459"/>
      <c r="POF61" s="1460"/>
      <c r="POG61" s="1461"/>
      <c r="POH61" s="1462"/>
      <c r="POI61" s="1463"/>
      <c r="POJ61" s="1459"/>
      <c r="POK61" s="1459"/>
      <c r="POL61" s="1460"/>
      <c r="POM61" s="1461"/>
      <c r="PON61" s="1462"/>
      <c r="POO61" s="1463"/>
      <c r="POP61" s="1459"/>
      <c r="POQ61" s="1459"/>
      <c r="POR61" s="1460"/>
      <c r="POS61" s="1461"/>
      <c r="POT61" s="1462"/>
      <c r="POU61" s="1463"/>
      <c r="POV61" s="1459"/>
      <c r="POW61" s="1459"/>
      <c r="POX61" s="1460"/>
      <c r="POY61" s="1461"/>
      <c r="POZ61" s="1462"/>
      <c r="PPA61" s="1463"/>
      <c r="PPB61" s="1459"/>
      <c r="PPC61" s="1459"/>
      <c r="PPD61" s="1460"/>
      <c r="PPE61" s="1461"/>
      <c r="PPF61" s="1462"/>
      <c r="PPG61" s="1463"/>
      <c r="PPH61" s="1459"/>
      <c r="PPI61" s="1459"/>
      <c r="PPJ61" s="1460"/>
      <c r="PPK61" s="1461"/>
      <c r="PPL61" s="1462"/>
      <c r="PPM61" s="1463"/>
      <c r="PPN61" s="1459"/>
      <c r="PPO61" s="1459"/>
      <c r="PPP61" s="1460"/>
      <c r="PPQ61" s="1461"/>
      <c r="PPR61" s="1462"/>
      <c r="PPS61" s="1463"/>
      <c r="PPT61" s="1459"/>
      <c r="PPU61" s="1459"/>
      <c r="PPV61" s="1460"/>
      <c r="PPW61" s="1461"/>
      <c r="PPX61" s="1462"/>
      <c r="PPY61" s="1463"/>
      <c r="PPZ61" s="1459"/>
      <c r="PQA61" s="1459"/>
      <c r="PQB61" s="1460"/>
      <c r="PQC61" s="1461"/>
      <c r="PQD61" s="1462"/>
      <c r="PQE61" s="1463"/>
      <c r="PQF61" s="1459"/>
      <c r="PQG61" s="1459"/>
      <c r="PQH61" s="1460"/>
      <c r="PQI61" s="1461"/>
      <c r="PQJ61" s="1462"/>
      <c r="PQK61" s="1463"/>
      <c r="PQL61" s="1459"/>
      <c r="PQM61" s="1459"/>
      <c r="PQN61" s="1460"/>
      <c r="PQO61" s="1461"/>
      <c r="PQP61" s="1462"/>
      <c r="PQQ61" s="1463"/>
      <c r="PQR61" s="1459"/>
      <c r="PQS61" s="1459"/>
      <c r="PQT61" s="1460"/>
      <c r="PQU61" s="1461"/>
      <c r="PQV61" s="1462"/>
      <c r="PQW61" s="1463"/>
      <c r="PQX61" s="1459"/>
      <c r="PQY61" s="1459"/>
      <c r="PQZ61" s="1460"/>
      <c r="PRA61" s="1461"/>
      <c r="PRB61" s="1462"/>
      <c r="PRC61" s="1463"/>
      <c r="PRD61" s="1459"/>
      <c r="PRE61" s="1459"/>
      <c r="PRF61" s="1460"/>
      <c r="PRG61" s="1461"/>
      <c r="PRH61" s="1462"/>
      <c r="PRI61" s="1463"/>
      <c r="PRJ61" s="1459"/>
      <c r="PRK61" s="1459"/>
      <c r="PRL61" s="1460"/>
      <c r="PRM61" s="1461"/>
      <c r="PRN61" s="1462"/>
      <c r="PRO61" s="1463"/>
      <c r="PRP61" s="1459"/>
      <c r="PRQ61" s="1459"/>
      <c r="PRR61" s="1460"/>
      <c r="PRS61" s="1461"/>
      <c r="PRT61" s="1462"/>
      <c r="PRU61" s="1463"/>
      <c r="PRV61" s="1459"/>
      <c r="PRW61" s="1459"/>
      <c r="PRX61" s="1460"/>
      <c r="PRY61" s="1461"/>
      <c r="PRZ61" s="1462"/>
      <c r="PSA61" s="1463"/>
      <c r="PSB61" s="1459"/>
      <c r="PSC61" s="1459"/>
      <c r="PSD61" s="1460"/>
      <c r="PSE61" s="1461"/>
      <c r="PSF61" s="1462"/>
      <c r="PSG61" s="1463"/>
      <c r="PSH61" s="1459"/>
      <c r="PSI61" s="1459"/>
      <c r="PSJ61" s="1460"/>
      <c r="PSK61" s="1461"/>
      <c r="PSL61" s="1462"/>
      <c r="PSM61" s="1463"/>
      <c r="PSN61" s="1459"/>
      <c r="PSO61" s="1459"/>
      <c r="PSP61" s="1460"/>
      <c r="PSQ61" s="1461"/>
      <c r="PSR61" s="1462"/>
      <c r="PSS61" s="1463"/>
      <c r="PST61" s="1459"/>
      <c r="PSU61" s="1459"/>
      <c r="PSV61" s="1460"/>
      <c r="PSW61" s="1461"/>
      <c r="PSX61" s="1462"/>
      <c r="PSY61" s="1463"/>
      <c r="PSZ61" s="1459"/>
      <c r="PTA61" s="1459"/>
      <c r="PTB61" s="1460"/>
      <c r="PTC61" s="1461"/>
      <c r="PTD61" s="1462"/>
      <c r="PTE61" s="1463"/>
      <c r="PTF61" s="1459"/>
      <c r="PTG61" s="1459"/>
      <c r="PTH61" s="1460"/>
      <c r="PTI61" s="1461"/>
      <c r="PTJ61" s="1462"/>
      <c r="PTK61" s="1463"/>
      <c r="PTL61" s="1459"/>
      <c r="PTM61" s="1459"/>
      <c r="PTN61" s="1460"/>
      <c r="PTO61" s="1461"/>
      <c r="PTP61" s="1462"/>
      <c r="PTQ61" s="1463"/>
      <c r="PTR61" s="1459"/>
      <c r="PTS61" s="1459"/>
      <c r="PTT61" s="1460"/>
      <c r="PTU61" s="1461"/>
      <c r="PTV61" s="1462"/>
      <c r="PTW61" s="1463"/>
      <c r="PTX61" s="1459"/>
      <c r="PTY61" s="1459"/>
      <c r="PTZ61" s="1460"/>
      <c r="PUA61" s="1461"/>
      <c r="PUB61" s="1462"/>
      <c r="PUC61" s="1463"/>
      <c r="PUD61" s="1459"/>
      <c r="PUE61" s="1459"/>
      <c r="PUF61" s="1460"/>
      <c r="PUG61" s="1461"/>
      <c r="PUH61" s="1462"/>
      <c r="PUI61" s="1463"/>
      <c r="PUJ61" s="1459"/>
      <c r="PUK61" s="1459"/>
      <c r="PUL61" s="1460"/>
      <c r="PUM61" s="1461"/>
      <c r="PUN61" s="1462"/>
      <c r="PUO61" s="1463"/>
      <c r="PUP61" s="1459"/>
      <c r="PUQ61" s="1459"/>
      <c r="PUR61" s="1460"/>
      <c r="PUS61" s="1461"/>
      <c r="PUT61" s="1462"/>
      <c r="PUU61" s="1463"/>
      <c r="PUV61" s="1459"/>
      <c r="PUW61" s="1459"/>
      <c r="PUX61" s="1460"/>
      <c r="PUY61" s="1461"/>
      <c r="PUZ61" s="1462"/>
      <c r="PVA61" s="1463"/>
      <c r="PVB61" s="1459"/>
      <c r="PVC61" s="1459"/>
      <c r="PVD61" s="1460"/>
      <c r="PVE61" s="1461"/>
      <c r="PVF61" s="1462"/>
      <c r="PVG61" s="1463"/>
      <c r="PVH61" s="1459"/>
      <c r="PVI61" s="1459"/>
      <c r="PVJ61" s="1460"/>
      <c r="PVK61" s="1461"/>
      <c r="PVL61" s="1462"/>
      <c r="PVM61" s="1463"/>
      <c r="PVN61" s="1459"/>
      <c r="PVO61" s="1459"/>
      <c r="PVP61" s="1460"/>
      <c r="PVQ61" s="1461"/>
      <c r="PVR61" s="1462"/>
      <c r="PVS61" s="1463"/>
      <c r="PVT61" s="1459"/>
      <c r="PVU61" s="1459"/>
      <c r="PVV61" s="1460"/>
      <c r="PVW61" s="1461"/>
      <c r="PVX61" s="1462"/>
      <c r="PVY61" s="1463"/>
      <c r="PVZ61" s="1459"/>
      <c r="PWA61" s="1459"/>
      <c r="PWB61" s="1460"/>
      <c r="PWC61" s="1461"/>
      <c r="PWD61" s="1462"/>
      <c r="PWE61" s="1463"/>
      <c r="PWF61" s="1459"/>
      <c r="PWG61" s="1459"/>
      <c r="PWH61" s="1460"/>
      <c r="PWI61" s="1461"/>
      <c r="PWJ61" s="1462"/>
      <c r="PWK61" s="1463"/>
      <c r="PWL61" s="1459"/>
      <c r="PWM61" s="1459"/>
      <c r="PWN61" s="1460"/>
      <c r="PWO61" s="1461"/>
      <c r="PWP61" s="1462"/>
      <c r="PWQ61" s="1463"/>
      <c r="PWR61" s="1459"/>
      <c r="PWS61" s="1459"/>
      <c r="PWT61" s="1460"/>
      <c r="PWU61" s="1461"/>
      <c r="PWV61" s="1462"/>
      <c r="PWW61" s="1463"/>
      <c r="PWX61" s="1459"/>
      <c r="PWY61" s="1459"/>
      <c r="PWZ61" s="1460"/>
      <c r="PXA61" s="1461"/>
      <c r="PXB61" s="1462"/>
      <c r="PXC61" s="1463"/>
      <c r="PXD61" s="1459"/>
      <c r="PXE61" s="1459"/>
      <c r="PXF61" s="1460"/>
      <c r="PXG61" s="1461"/>
      <c r="PXH61" s="1462"/>
      <c r="PXI61" s="1463"/>
      <c r="PXJ61" s="1459"/>
      <c r="PXK61" s="1459"/>
      <c r="PXL61" s="1460"/>
      <c r="PXM61" s="1461"/>
      <c r="PXN61" s="1462"/>
      <c r="PXO61" s="1463"/>
      <c r="PXP61" s="1459"/>
      <c r="PXQ61" s="1459"/>
      <c r="PXR61" s="1460"/>
      <c r="PXS61" s="1461"/>
      <c r="PXT61" s="1462"/>
      <c r="PXU61" s="1463"/>
      <c r="PXV61" s="1459"/>
      <c r="PXW61" s="1459"/>
      <c r="PXX61" s="1460"/>
      <c r="PXY61" s="1461"/>
      <c r="PXZ61" s="1462"/>
      <c r="PYA61" s="1463"/>
      <c r="PYB61" s="1459"/>
      <c r="PYC61" s="1459"/>
      <c r="PYD61" s="1460"/>
      <c r="PYE61" s="1461"/>
      <c r="PYF61" s="1462"/>
      <c r="PYG61" s="1463"/>
      <c r="PYH61" s="1459"/>
      <c r="PYI61" s="1459"/>
      <c r="PYJ61" s="1460"/>
      <c r="PYK61" s="1461"/>
      <c r="PYL61" s="1462"/>
      <c r="PYM61" s="1463"/>
      <c r="PYN61" s="1459"/>
      <c r="PYO61" s="1459"/>
      <c r="PYP61" s="1460"/>
      <c r="PYQ61" s="1461"/>
      <c r="PYR61" s="1462"/>
      <c r="PYS61" s="1463"/>
      <c r="PYT61" s="1459"/>
      <c r="PYU61" s="1459"/>
      <c r="PYV61" s="1460"/>
      <c r="PYW61" s="1461"/>
      <c r="PYX61" s="1462"/>
      <c r="PYY61" s="1463"/>
      <c r="PYZ61" s="1459"/>
      <c r="PZA61" s="1459"/>
      <c r="PZB61" s="1460"/>
      <c r="PZC61" s="1461"/>
      <c r="PZD61" s="1462"/>
      <c r="PZE61" s="1463"/>
      <c r="PZF61" s="1459"/>
      <c r="PZG61" s="1459"/>
      <c r="PZH61" s="1460"/>
      <c r="PZI61" s="1461"/>
      <c r="PZJ61" s="1462"/>
      <c r="PZK61" s="1463"/>
      <c r="PZL61" s="1459"/>
      <c r="PZM61" s="1459"/>
      <c r="PZN61" s="1460"/>
      <c r="PZO61" s="1461"/>
      <c r="PZP61" s="1462"/>
      <c r="PZQ61" s="1463"/>
      <c r="PZR61" s="1459"/>
      <c r="PZS61" s="1459"/>
      <c r="PZT61" s="1460"/>
      <c r="PZU61" s="1461"/>
      <c r="PZV61" s="1462"/>
      <c r="PZW61" s="1463"/>
      <c r="PZX61" s="1459"/>
      <c r="PZY61" s="1459"/>
      <c r="PZZ61" s="1460"/>
      <c r="QAA61" s="1461"/>
      <c r="QAB61" s="1462"/>
      <c r="QAC61" s="1463"/>
      <c r="QAD61" s="1459"/>
      <c r="QAE61" s="1459"/>
      <c r="QAF61" s="1460"/>
      <c r="QAG61" s="1461"/>
      <c r="QAH61" s="1462"/>
      <c r="QAI61" s="1463"/>
      <c r="QAJ61" s="1459"/>
      <c r="QAK61" s="1459"/>
      <c r="QAL61" s="1460"/>
      <c r="QAM61" s="1461"/>
      <c r="QAN61" s="1462"/>
      <c r="QAO61" s="1463"/>
      <c r="QAP61" s="1459"/>
      <c r="QAQ61" s="1459"/>
      <c r="QAR61" s="1460"/>
      <c r="QAS61" s="1461"/>
      <c r="QAT61" s="1462"/>
      <c r="QAU61" s="1463"/>
      <c r="QAV61" s="1459"/>
      <c r="QAW61" s="1459"/>
      <c r="QAX61" s="1460"/>
      <c r="QAY61" s="1461"/>
      <c r="QAZ61" s="1462"/>
      <c r="QBA61" s="1463"/>
      <c r="QBB61" s="1459"/>
      <c r="QBC61" s="1459"/>
      <c r="QBD61" s="1460"/>
      <c r="QBE61" s="1461"/>
      <c r="QBF61" s="1462"/>
      <c r="QBG61" s="1463"/>
      <c r="QBH61" s="1459"/>
      <c r="QBI61" s="1459"/>
      <c r="QBJ61" s="1460"/>
      <c r="QBK61" s="1461"/>
      <c r="QBL61" s="1462"/>
      <c r="QBM61" s="1463"/>
      <c r="QBN61" s="1459"/>
      <c r="QBO61" s="1459"/>
      <c r="QBP61" s="1460"/>
      <c r="QBQ61" s="1461"/>
      <c r="QBR61" s="1462"/>
      <c r="QBS61" s="1463"/>
      <c r="QBT61" s="1459"/>
      <c r="QBU61" s="1459"/>
      <c r="QBV61" s="1460"/>
      <c r="QBW61" s="1461"/>
      <c r="QBX61" s="1462"/>
      <c r="QBY61" s="1463"/>
      <c r="QBZ61" s="1459"/>
      <c r="QCA61" s="1459"/>
      <c r="QCB61" s="1460"/>
      <c r="QCC61" s="1461"/>
      <c r="QCD61" s="1462"/>
      <c r="QCE61" s="1463"/>
      <c r="QCF61" s="1459"/>
      <c r="QCG61" s="1459"/>
      <c r="QCH61" s="1460"/>
      <c r="QCI61" s="1461"/>
      <c r="QCJ61" s="1462"/>
      <c r="QCK61" s="1463"/>
      <c r="QCL61" s="1459"/>
      <c r="QCM61" s="1459"/>
      <c r="QCN61" s="1460"/>
      <c r="QCO61" s="1461"/>
      <c r="QCP61" s="1462"/>
      <c r="QCQ61" s="1463"/>
      <c r="QCR61" s="1459"/>
      <c r="QCS61" s="1459"/>
      <c r="QCT61" s="1460"/>
      <c r="QCU61" s="1461"/>
      <c r="QCV61" s="1462"/>
      <c r="QCW61" s="1463"/>
      <c r="QCX61" s="1459"/>
      <c r="QCY61" s="1459"/>
      <c r="QCZ61" s="1460"/>
      <c r="QDA61" s="1461"/>
      <c r="QDB61" s="1462"/>
      <c r="QDC61" s="1463"/>
      <c r="QDD61" s="1459"/>
      <c r="QDE61" s="1459"/>
      <c r="QDF61" s="1460"/>
      <c r="QDG61" s="1461"/>
      <c r="QDH61" s="1462"/>
      <c r="QDI61" s="1463"/>
      <c r="QDJ61" s="1459"/>
      <c r="QDK61" s="1459"/>
      <c r="QDL61" s="1460"/>
      <c r="QDM61" s="1461"/>
      <c r="QDN61" s="1462"/>
      <c r="QDO61" s="1463"/>
      <c r="QDP61" s="1459"/>
      <c r="QDQ61" s="1459"/>
      <c r="QDR61" s="1460"/>
      <c r="QDS61" s="1461"/>
      <c r="QDT61" s="1462"/>
      <c r="QDU61" s="1463"/>
      <c r="QDV61" s="1459"/>
      <c r="QDW61" s="1459"/>
      <c r="QDX61" s="1460"/>
      <c r="QDY61" s="1461"/>
      <c r="QDZ61" s="1462"/>
      <c r="QEA61" s="1463"/>
      <c r="QEB61" s="1459"/>
      <c r="QEC61" s="1459"/>
      <c r="QED61" s="1460"/>
      <c r="QEE61" s="1461"/>
      <c r="QEF61" s="1462"/>
      <c r="QEG61" s="1463"/>
      <c r="QEH61" s="1459"/>
      <c r="QEI61" s="1459"/>
      <c r="QEJ61" s="1460"/>
      <c r="QEK61" s="1461"/>
      <c r="QEL61" s="1462"/>
      <c r="QEM61" s="1463"/>
      <c r="QEN61" s="1459"/>
      <c r="QEO61" s="1459"/>
      <c r="QEP61" s="1460"/>
      <c r="QEQ61" s="1461"/>
      <c r="QER61" s="1462"/>
      <c r="QES61" s="1463"/>
      <c r="QET61" s="1459"/>
      <c r="QEU61" s="1459"/>
      <c r="QEV61" s="1460"/>
      <c r="QEW61" s="1461"/>
      <c r="QEX61" s="1462"/>
      <c r="QEY61" s="1463"/>
      <c r="QEZ61" s="1459"/>
      <c r="QFA61" s="1459"/>
      <c r="QFB61" s="1460"/>
      <c r="QFC61" s="1461"/>
      <c r="QFD61" s="1462"/>
      <c r="QFE61" s="1463"/>
      <c r="QFF61" s="1459"/>
      <c r="QFG61" s="1459"/>
      <c r="QFH61" s="1460"/>
      <c r="QFI61" s="1461"/>
      <c r="QFJ61" s="1462"/>
      <c r="QFK61" s="1463"/>
      <c r="QFL61" s="1459"/>
      <c r="QFM61" s="1459"/>
      <c r="QFN61" s="1460"/>
      <c r="QFO61" s="1461"/>
      <c r="QFP61" s="1462"/>
      <c r="QFQ61" s="1463"/>
      <c r="QFR61" s="1459"/>
      <c r="QFS61" s="1459"/>
      <c r="QFT61" s="1460"/>
      <c r="QFU61" s="1461"/>
      <c r="QFV61" s="1462"/>
      <c r="QFW61" s="1463"/>
      <c r="QFX61" s="1459"/>
      <c r="QFY61" s="1459"/>
      <c r="QFZ61" s="1460"/>
      <c r="QGA61" s="1461"/>
      <c r="QGB61" s="1462"/>
      <c r="QGC61" s="1463"/>
      <c r="QGD61" s="1459"/>
      <c r="QGE61" s="1459"/>
      <c r="QGF61" s="1460"/>
      <c r="QGG61" s="1461"/>
      <c r="QGH61" s="1462"/>
      <c r="QGI61" s="1463"/>
      <c r="QGJ61" s="1459"/>
      <c r="QGK61" s="1459"/>
      <c r="QGL61" s="1460"/>
      <c r="QGM61" s="1461"/>
      <c r="QGN61" s="1462"/>
      <c r="QGO61" s="1463"/>
      <c r="QGP61" s="1459"/>
      <c r="QGQ61" s="1459"/>
      <c r="QGR61" s="1460"/>
      <c r="QGS61" s="1461"/>
      <c r="QGT61" s="1462"/>
      <c r="QGU61" s="1463"/>
      <c r="QGV61" s="1459"/>
      <c r="QGW61" s="1459"/>
      <c r="QGX61" s="1460"/>
      <c r="QGY61" s="1461"/>
      <c r="QGZ61" s="1462"/>
      <c r="QHA61" s="1463"/>
      <c r="QHB61" s="1459"/>
      <c r="QHC61" s="1459"/>
      <c r="QHD61" s="1460"/>
      <c r="QHE61" s="1461"/>
      <c r="QHF61" s="1462"/>
      <c r="QHG61" s="1463"/>
      <c r="QHH61" s="1459"/>
      <c r="QHI61" s="1459"/>
      <c r="QHJ61" s="1460"/>
      <c r="QHK61" s="1461"/>
      <c r="QHL61" s="1462"/>
      <c r="QHM61" s="1463"/>
      <c r="QHN61" s="1459"/>
      <c r="QHO61" s="1459"/>
      <c r="QHP61" s="1460"/>
      <c r="QHQ61" s="1461"/>
      <c r="QHR61" s="1462"/>
      <c r="QHS61" s="1463"/>
      <c r="QHT61" s="1459"/>
      <c r="QHU61" s="1459"/>
      <c r="QHV61" s="1460"/>
      <c r="QHW61" s="1461"/>
      <c r="QHX61" s="1462"/>
      <c r="QHY61" s="1463"/>
      <c r="QHZ61" s="1459"/>
      <c r="QIA61" s="1459"/>
      <c r="QIB61" s="1460"/>
      <c r="QIC61" s="1461"/>
      <c r="QID61" s="1462"/>
      <c r="QIE61" s="1463"/>
      <c r="QIF61" s="1459"/>
      <c r="QIG61" s="1459"/>
      <c r="QIH61" s="1460"/>
      <c r="QII61" s="1461"/>
      <c r="QIJ61" s="1462"/>
      <c r="QIK61" s="1463"/>
      <c r="QIL61" s="1459"/>
      <c r="QIM61" s="1459"/>
      <c r="QIN61" s="1460"/>
      <c r="QIO61" s="1461"/>
      <c r="QIP61" s="1462"/>
      <c r="QIQ61" s="1463"/>
      <c r="QIR61" s="1459"/>
      <c r="QIS61" s="1459"/>
      <c r="QIT61" s="1460"/>
      <c r="QIU61" s="1461"/>
      <c r="QIV61" s="1462"/>
      <c r="QIW61" s="1463"/>
      <c r="QIX61" s="1459"/>
      <c r="QIY61" s="1459"/>
      <c r="QIZ61" s="1460"/>
      <c r="QJA61" s="1461"/>
      <c r="QJB61" s="1462"/>
      <c r="QJC61" s="1463"/>
      <c r="QJD61" s="1459"/>
      <c r="QJE61" s="1459"/>
      <c r="QJF61" s="1460"/>
      <c r="QJG61" s="1461"/>
      <c r="QJH61" s="1462"/>
      <c r="QJI61" s="1463"/>
      <c r="QJJ61" s="1459"/>
      <c r="QJK61" s="1459"/>
      <c r="QJL61" s="1460"/>
      <c r="QJM61" s="1461"/>
      <c r="QJN61" s="1462"/>
      <c r="QJO61" s="1463"/>
      <c r="QJP61" s="1459"/>
      <c r="QJQ61" s="1459"/>
      <c r="QJR61" s="1460"/>
      <c r="QJS61" s="1461"/>
      <c r="QJT61" s="1462"/>
      <c r="QJU61" s="1463"/>
      <c r="QJV61" s="1459"/>
      <c r="QJW61" s="1459"/>
      <c r="QJX61" s="1460"/>
      <c r="QJY61" s="1461"/>
      <c r="QJZ61" s="1462"/>
      <c r="QKA61" s="1463"/>
      <c r="QKB61" s="1459"/>
      <c r="QKC61" s="1459"/>
      <c r="QKD61" s="1460"/>
      <c r="QKE61" s="1461"/>
      <c r="QKF61" s="1462"/>
      <c r="QKG61" s="1463"/>
      <c r="QKH61" s="1459"/>
      <c r="QKI61" s="1459"/>
      <c r="QKJ61" s="1460"/>
      <c r="QKK61" s="1461"/>
      <c r="QKL61" s="1462"/>
      <c r="QKM61" s="1463"/>
      <c r="QKN61" s="1459"/>
      <c r="QKO61" s="1459"/>
      <c r="QKP61" s="1460"/>
      <c r="QKQ61" s="1461"/>
      <c r="QKR61" s="1462"/>
      <c r="QKS61" s="1463"/>
      <c r="QKT61" s="1459"/>
      <c r="QKU61" s="1459"/>
      <c r="QKV61" s="1460"/>
      <c r="QKW61" s="1461"/>
      <c r="QKX61" s="1462"/>
      <c r="QKY61" s="1463"/>
      <c r="QKZ61" s="1459"/>
      <c r="QLA61" s="1459"/>
      <c r="QLB61" s="1460"/>
      <c r="QLC61" s="1461"/>
      <c r="QLD61" s="1462"/>
      <c r="QLE61" s="1463"/>
      <c r="QLF61" s="1459"/>
      <c r="QLG61" s="1459"/>
      <c r="QLH61" s="1460"/>
      <c r="QLI61" s="1461"/>
      <c r="QLJ61" s="1462"/>
      <c r="QLK61" s="1463"/>
      <c r="QLL61" s="1459"/>
      <c r="QLM61" s="1459"/>
      <c r="QLN61" s="1460"/>
      <c r="QLO61" s="1461"/>
      <c r="QLP61" s="1462"/>
      <c r="QLQ61" s="1463"/>
      <c r="QLR61" s="1459"/>
      <c r="QLS61" s="1459"/>
      <c r="QLT61" s="1460"/>
      <c r="QLU61" s="1461"/>
      <c r="QLV61" s="1462"/>
      <c r="QLW61" s="1463"/>
      <c r="QLX61" s="1459"/>
      <c r="QLY61" s="1459"/>
      <c r="QLZ61" s="1460"/>
      <c r="QMA61" s="1461"/>
      <c r="QMB61" s="1462"/>
      <c r="QMC61" s="1463"/>
      <c r="QMD61" s="1459"/>
      <c r="QME61" s="1459"/>
      <c r="QMF61" s="1460"/>
      <c r="QMG61" s="1461"/>
      <c r="QMH61" s="1462"/>
      <c r="QMI61" s="1463"/>
      <c r="QMJ61" s="1459"/>
      <c r="QMK61" s="1459"/>
      <c r="QML61" s="1460"/>
      <c r="QMM61" s="1461"/>
      <c r="QMN61" s="1462"/>
      <c r="QMO61" s="1463"/>
      <c r="QMP61" s="1459"/>
      <c r="QMQ61" s="1459"/>
      <c r="QMR61" s="1460"/>
      <c r="QMS61" s="1461"/>
      <c r="QMT61" s="1462"/>
      <c r="QMU61" s="1463"/>
      <c r="QMV61" s="1459"/>
      <c r="QMW61" s="1459"/>
      <c r="QMX61" s="1460"/>
      <c r="QMY61" s="1461"/>
      <c r="QMZ61" s="1462"/>
      <c r="QNA61" s="1463"/>
      <c r="QNB61" s="1459"/>
      <c r="QNC61" s="1459"/>
      <c r="QND61" s="1460"/>
      <c r="QNE61" s="1461"/>
      <c r="QNF61" s="1462"/>
      <c r="QNG61" s="1463"/>
      <c r="QNH61" s="1459"/>
      <c r="QNI61" s="1459"/>
      <c r="QNJ61" s="1460"/>
      <c r="QNK61" s="1461"/>
      <c r="QNL61" s="1462"/>
      <c r="QNM61" s="1463"/>
      <c r="QNN61" s="1459"/>
      <c r="QNO61" s="1459"/>
      <c r="QNP61" s="1460"/>
      <c r="QNQ61" s="1461"/>
      <c r="QNR61" s="1462"/>
      <c r="QNS61" s="1463"/>
      <c r="QNT61" s="1459"/>
      <c r="QNU61" s="1459"/>
      <c r="QNV61" s="1460"/>
      <c r="QNW61" s="1461"/>
      <c r="QNX61" s="1462"/>
      <c r="QNY61" s="1463"/>
      <c r="QNZ61" s="1459"/>
      <c r="QOA61" s="1459"/>
      <c r="QOB61" s="1460"/>
      <c r="QOC61" s="1461"/>
      <c r="QOD61" s="1462"/>
      <c r="QOE61" s="1463"/>
      <c r="QOF61" s="1459"/>
      <c r="QOG61" s="1459"/>
      <c r="QOH61" s="1460"/>
      <c r="QOI61" s="1461"/>
      <c r="QOJ61" s="1462"/>
      <c r="QOK61" s="1463"/>
      <c r="QOL61" s="1459"/>
      <c r="QOM61" s="1459"/>
      <c r="QON61" s="1460"/>
      <c r="QOO61" s="1461"/>
      <c r="QOP61" s="1462"/>
      <c r="QOQ61" s="1463"/>
      <c r="QOR61" s="1459"/>
      <c r="QOS61" s="1459"/>
      <c r="QOT61" s="1460"/>
      <c r="QOU61" s="1461"/>
      <c r="QOV61" s="1462"/>
      <c r="QOW61" s="1463"/>
      <c r="QOX61" s="1459"/>
      <c r="QOY61" s="1459"/>
      <c r="QOZ61" s="1460"/>
      <c r="QPA61" s="1461"/>
      <c r="QPB61" s="1462"/>
      <c r="QPC61" s="1463"/>
      <c r="QPD61" s="1459"/>
      <c r="QPE61" s="1459"/>
      <c r="QPF61" s="1460"/>
      <c r="QPG61" s="1461"/>
      <c r="QPH61" s="1462"/>
      <c r="QPI61" s="1463"/>
      <c r="QPJ61" s="1459"/>
      <c r="QPK61" s="1459"/>
      <c r="QPL61" s="1460"/>
      <c r="QPM61" s="1461"/>
      <c r="QPN61" s="1462"/>
      <c r="QPO61" s="1463"/>
      <c r="QPP61" s="1459"/>
      <c r="QPQ61" s="1459"/>
      <c r="QPR61" s="1460"/>
      <c r="QPS61" s="1461"/>
      <c r="QPT61" s="1462"/>
      <c r="QPU61" s="1463"/>
      <c r="QPV61" s="1459"/>
      <c r="QPW61" s="1459"/>
      <c r="QPX61" s="1460"/>
      <c r="QPY61" s="1461"/>
      <c r="QPZ61" s="1462"/>
      <c r="QQA61" s="1463"/>
      <c r="QQB61" s="1459"/>
      <c r="QQC61" s="1459"/>
      <c r="QQD61" s="1460"/>
      <c r="QQE61" s="1461"/>
      <c r="QQF61" s="1462"/>
      <c r="QQG61" s="1463"/>
      <c r="QQH61" s="1459"/>
      <c r="QQI61" s="1459"/>
      <c r="QQJ61" s="1460"/>
      <c r="QQK61" s="1461"/>
      <c r="QQL61" s="1462"/>
      <c r="QQM61" s="1463"/>
      <c r="QQN61" s="1459"/>
      <c r="QQO61" s="1459"/>
      <c r="QQP61" s="1460"/>
      <c r="QQQ61" s="1461"/>
      <c r="QQR61" s="1462"/>
      <c r="QQS61" s="1463"/>
      <c r="QQT61" s="1459"/>
      <c r="QQU61" s="1459"/>
      <c r="QQV61" s="1460"/>
      <c r="QQW61" s="1461"/>
      <c r="QQX61" s="1462"/>
      <c r="QQY61" s="1463"/>
      <c r="QQZ61" s="1459"/>
      <c r="QRA61" s="1459"/>
      <c r="QRB61" s="1460"/>
      <c r="QRC61" s="1461"/>
      <c r="QRD61" s="1462"/>
      <c r="QRE61" s="1463"/>
      <c r="QRF61" s="1459"/>
      <c r="QRG61" s="1459"/>
      <c r="QRH61" s="1460"/>
      <c r="QRI61" s="1461"/>
      <c r="QRJ61" s="1462"/>
      <c r="QRK61" s="1463"/>
      <c r="QRL61" s="1459"/>
      <c r="QRM61" s="1459"/>
      <c r="QRN61" s="1460"/>
      <c r="QRO61" s="1461"/>
      <c r="QRP61" s="1462"/>
      <c r="QRQ61" s="1463"/>
      <c r="QRR61" s="1459"/>
      <c r="QRS61" s="1459"/>
      <c r="QRT61" s="1460"/>
      <c r="QRU61" s="1461"/>
      <c r="QRV61" s="1462"/>
      <c r="QRW61" s="1463"/>
      <c r="QRX61" s="1459"/>
      <c r="QRY61" s="1459"/>
      <c r="QRZ61" s="1460"/>
      <c r="QSA61" s="1461"/>
      <c r="QSB61" s="1462"/>
      <c r="QSC61" s="1463"/>
      <c r="QSD61" s="1459"/>
      <c r="QSE61" s="1459"/>
      <c r="QSF61" s="1460"/>
      <c r="QSG61" s="1461"/>
      <c r="QSH61" s="1462"/>
      <c r="QSI61" s="1463"/>
      <c r="QSJ61" s="1459"/>
      <c r="QSK61" s="1459"/>
      <c r="QSL61" s="1460"/>
      <c r="QSM61" s="1461"/>
      <c r="QSN61" s="1462"/>
      <c r="QSO61" s="1463"/>
      <c r="QSP61" s="1459"/>
      <c r="QSQ61" s="1459"/>
      <c r="QSR61" s="1460"/>
      <c r="QSS61" s="1461"/>
      <c r="QST61" s="1462"/>
      <c r="QSU61" s="1463"/>
      <c r="QSV61" s="1459"/>
      <c r="QSW61" s="1459"/>
      <c r="QSX61" s="1460"/>
      <c r="QSY61" s="1461"/>
      <c r="QSZ61" s="1462"/>
      <c r="QTA61" s="1463"/>
      <c r="QTB61" s="1459"/>
      <c r="QTC61" s="1459"/>
      <c r="QTD61" s="1460"/>
      <c r="QTE61" s="1461"/>
      <c r="QTF61" s="1462"/>
      <c r="QTG61" s="1463"/>
      <c r="QTH61" s="1459"/>
      <c r="QTI61" s="1459"/>
      <c r="QTJ61" s="1460"/>
      <c r="QTK61" s="1461"/>
      <c r="QTL61" s="1462"/>
      <c r="QTM61" s="1463"/>
      <c r="QTN61" s="1459"/>
      <c r="QTO61" s="1459"/>
      <c r="QTP61" s="1460"/>
      <c r="QTQ61" s="1461"/>
      <c r="QTR61" s="1462"/>
      <c r="QTS61" s="1463"/>
      <c r="QTT61" s="1459"/>
      <c r="QTU61" s="1459"/>
      <c r="QTV61" s="1460"/>
      <c r="QTW61" s="1461"/>
      <c r="QTX61" s="1462"/>
      <c r="QTY61" s="1463"/>
      <c r="QTZ61" s="1459"/>
      <c r="QUA61" s="1459"/>
      <c r="QUB61" s="1460"/>
      <c r="QUC61" s="1461"/>
      <c r="QUD61" s="1462"/>
      <c r="QUE61" s="1463"/>
      <c r="QUF61" s="1459"/>
      <c r="QUG61" s="1459"/>
      <c r="QUH61" s="1460"/>
      <c r="QUI61" s="1461"/>
      <c r="QUJ61" s="1462"/>
      <c r="QUK61" s="1463"/>
      <c r="QUL61" s="1459"/>
      <c r="QUM61" s="1459"/>
      <c r="QUN61" s="1460"/>
      <c r="QUO61" s="1461"/>
      <c r="QUP61" s="1462"/>
      <c r="QUQ61" s="1463"/>
      <c r="QUR61" s="1459"/>
      <c r="QUS61" s="1459"/>
      <c r="QUT61" s="1460"/>
      <c r="QUU61" s="1461"/>
      <c r="QUV61" s="1462"/>
      <c r="QUW61" s="1463"/>
      <c r="QUX61" s="1459"/>
      <c r="QUY61" s="1459"/>
      <c r="QUZ61" s="1460"/>
      <c r="QVA61" s="1461"/>
      <c r="QVB61" s="1462"/>
      <c r="QVC61" s="1463"/>
      <c r="QVD61" s="1459"/>
      <c r="QVE61" s="1459"/>
      <c r="QVF61" s="1460"/>
      <c r="QVG61" s="1461"/>
      <c r="QVH61" s="1462"/>
      <c r="QVI61" s="1463"/>
      <c r="QVJ61" s="1459"/>
      <c r="QVK61" s="1459"/>
      <c r="QVL61" s="1460"/>
      <c r="QVM61" s="1461"/>
      <c r="QVN61" s="1462"/>
      <c r="QVO61" s="1463"/>
      <c r="QVP61" s="1459"/>
      <c r="QVQ61" s="1459"/>
      <c r="QVR61" s="1460"/>
      <c r="QVS61" s="1461"/>
      <c r="QVT61" s="1462"/>
      <c r="QVU61" s="1463"/>
      <c r="QVV61" s="1459"/>
      <c r="QVW61" s="1459"/>
      <c r="QVX61" s="1460"/>
      <c r="QVY61" s="1461"/>
      <c r="QVZ61" s="1462"/>
      <c r="QWA61" s="1463"/>
      <c r="QWB61" s="1459"/>
      <c r="QWC61" s="1459"/>
      <c r="QWD61" s="1460"/>
      <c r="QWE61" s="1461"/>
      <c r="QWF61" s="1462"/>
      <c r="QWG61" s="1463"/>
      <c r="QWH61" s="1459"/>
      <c r="QWI61" s="1459"/>
      <c r="QWJ61" s="1460"/>
      <c r="QWK61" s="1461"/>
      <c r="QWL61" s="1462"/>
      <c r="QWM61" s="1463"/>
      <c r="QWN61" s="1459"/>
      <c r="QWO61" s="1459"/>
      <c r="QWP61" s="1460"/>
      <c r="QWQ61" s="1461"/>
      <c r="QWR61" s="1462"/>
      <c r="QWS61" s="1463"/>
      <c r="QWT61" s="1459"/>
      <c r="QWU61" s="1459"/>
      <c r="QWV61" s="1460"/>
      <c r="QWW61" s="1461"/>
      <c r="QWX61" s="1462"/>
      <c r="QWY61" s="1463"/>
      <c r="QWZ61" s="1459"/>
      <c r="QXA61" s="1459"/>
      <c r="QXB61" s="1460"/>
      <c r="QXC61" s="1461"/>
      <c r="QXD61" s="1462"/>
      <c r="QXE61" s="1463"/>
      <c r="QXF61" s="1459"/>
      <c r="QXG61" s="1459"/>
      <c r="QXH61" s="1460"/>
      <c r="QXI61" s="1461"/>
      <c r="QXJ61" s="1462"/>
      <c r="QXK61" s="1463"/>
      <c r="QXL61" s="1459"/>
      <c r="QXM61" s="1459"/>
      <c r="QXN61" s="1460"/>
      <c r="QXO61" s="1461"/>
      <c r="QXP61" s="1462"/>
      <c r="QXQ61" s="1463"/>
      <c r="QXR61" s="1459"/>
      <c r="QXS61" s="1459"/>
      <c r="QXT61" s="1460"/>
      <c r="QXU61" s="1461"/>
      <c r="QXV61" s="1462"/>
      <c r="QXW61" s="1463"/>
      <c r="QXX61" s="1459"/>
      <c r="QXY61" s="1459"/>
      <c r="QXZ61" s="1460"/>
      <c r="QYA61" s="1461"/>
      <c r="QYB61" s="1462"/>
      <c r="QYC61" s="1463"/>
      <c r="QYD61" s="1459"/>
      <c r="QYE61" s="1459"/>
      <c r="QYF61" s="1460"/>
      <c r="QYG61" s="1461"/>
      <c r="QYH61" s="1462"/>
      <c r="QYI61" s="1463"/>
      <c r="QYJ61" s="1459"/>
      <c r="QYK61" s="1459"/>
      <c r="QYL61" s="1460"/>
      <c r="QYM61" s="1461"/>
      <c r="QYN61" s="1462"/>
      <c r="QYO61" s="1463"/>
      <c r="QYP61" s="1459"/>
      <c r="QYQ61" s="1459"/>
      <c r="QYR61" s="1460"/>
      <c r="QYS61" s="1461"/>
      <c r="QYT61" s="1462"/>
      <c r="QYU61" s="1463"/>
      <c r="QYV61" s="1459"/>
      <c r="QYW61" s="1459"/>
      <c r="QYX61" s="1460"/>
      <c r="QYY61" s="1461"/>
      <c r="QYZ61" s="1462"/>
      <c r="QZA61" s="1463"/>
      <c r="QZB61" s="1459"/>
      <c r="QZC61" s="1459"/>
      <c r="QZD61" s="1460"/>
      <c r="QZE61" s="1461"/>
      <c r="QZF61" s="1462"/>
      <c r="QZG61" s="1463"/>
      <c r="QZH61" s="1459"/>
      <c r="QZI61" s="1459"/>
      <c r="QZJ61" s="1460"/>
      <c r="QZK61" s="1461"/>
      <c r="QZL61" s="1462"/>
      <c r="QZM61" s="1463"/>
      <c r="QZN61" s="1459"/>
      <c r="QZO61" s="1459"/>
      <c r="QZP61" s="1460"/>
      <c r="QZQ61" s="1461"/>
      <c r="QZR61" s="1462"/>
      <c r="QZS61" s="1463"/>
      <c r="QZT61" s="1459"/>
      <c r="QZU61" s="1459"/>
      <c r="QZV61" s="1460"/>
      <c r="QZW61" s="1461"/>
      <c r="QZX61" s="1462"/>
      <c r="QZY61" s="1463"/>
      <c r="QZZ61" s="1459"/>
      <c r="RAA61" s="1459"/>
      <c r="RAB61" s="1460"/>
      <c r="RAC61" s="1461"/>
      <c r="RAD61" s="1462"/>
      <c r="RAE61" s="1463"/>
      <c r="RAF61" s="1459"/>
      <c r="RAG61" s="1459"/>
      <c r="RAH61" s="1460"/>
      <c r="RAI61" s="1461"/>
      <c r="RAJ61" s="1462"/>
      <c r="RAK61" s="1463"/>
      <c r="RAL61" s="1459"/>
      <c r="RAM61" s="1459"/>
      <c r="RAN61" s="1460"/>
      <c r="RAO61" s="1461"/>
      <c r="RAP61" s="1462"/>
      <c r="RAQ61" s="1463"/>
      <c r="RAR61" s="1459"/>
      <c r="RAS61" s="1459"/>
      <c r="RAT61" s="1460"/>
      <c r="RAU61" s="1461"/>
      <c r="RAV61" s="1462"/>
      <c r="RAW61" s="1463"/>
      <c r="RAX61" s="1459"/>
      <c r="RAY61" s="1459"/>
      <c r="RAZ61" s="1460"/>
      <c r="RBA61" s="1461"/>
      <c r="RBB61" s="1462"/>
      <c r="RBC61" s="1463"/>
      <c r="RBD61" s="1459"/>
      <c r="RBE61" s="1459"/>
      <c r="RBF61" s="1460"/>
      <c r="RBG61" s="1461"/>
      <c r="RBH61" s="1462"/>
      <c r="RBI61" s="1463"/>
      <c r="RBJ61" s="1459"/>
      <c r="RBK61" s="1459"/>
      <c r="RBL61" s="1460"/>
      <c r="RBM61" s="1461"/>
      <c r="RBN61" s="1462"/>
      <c r="RBO61" s="1463"/>
      <c r="RBP61" s="1459"/>
      <c r="RBQ61" s="1459"/>
      <c r="RBR61" s="1460"/>
      <c r="RBS61" s="1461"/>
      <c r="RBT61" s="1462"/>
      <c r="RBU61" s="1463"/>
      <c r="RBV61" s="1459"/>
      <c r="RBW61" s="1459"/>
      <c r="RBX61" s="1460"/>
      <c r="RBY61" s="1461"/>
      <c r="RBZ61" s="1462"/>
      <c r="RCA61" s="1463"/>
      <c r="RCB61" s="1459"/>
      <c r="RCC61" s="1459"/>
      <c r="RCD61" s="1460"/>
      <c r="RCE61" s="1461"/>
      <c r="RCF61" s="1462"/>
      <c r="RCG61" s="1463"/>
      <c r="RCH61" s="1459"/>
      <c r="RCI61" s="1459"/>
      <c r="RCJ61" s="1460"/>
      <c r="RCK61" s="1461"/>
      <c r="RCL61" s="1462"/>
      <c r="RCM61" s="1463"/>
      <c r="RCN61" s="1459"/>
      <c r="RCO61" s="1459"/>
      <c r="RCP61" s="1460"/>
      <c r="RCQ61" s="1461"/>
      <c r="RCR61" s="1462"/>
      <c r="RCS61" s="1463"/>
      <c r="RCT61" s="1459"/>
      <c r="RCU61" s="1459"/>
      <c r="RCV61" s="1460"/>
      <c r="RCW61" s="1461"/>
      <c r="RCX61" s="1462"/>
      <c r="RCY61" s="1463"/>
      <c r="RCZ61" s="1459"/>
      <c r="RDA61" s="1459"/>
      <c r="RDB61" s="1460"/>
      <c r="RDC61" s="1461"/>
      <c r="RDD61" s="1462"/>
      <c r="RDE61" s="1463"/>
      <c r="RDF61" s="1459"/>
      <c r="RDG61" s="1459"/>
      <c r="RDH61" s="1460"/>
      <c r="RDI61" s="1461"/>
      <c r="RDJ61" s="1462"/>
      <c r="RDK61" s="1463"/>
      <c r="RDL61" s="1459"/>
      <c r="RDM61" s="1459"/>
      <c r="RDN61" s="1460"/>
      <c r="RDO61" s="1461"/>
      <c r="RDP61" s="1462"/>
      <c r="RDQ61" s="1463"/>
      <c r="RDR61" s="1459"/>
      <c r="RDS61" s="1459"/>
      <c r="RDT61" s="1460"/>
      <c r="RDU61" s="1461"/>
      <c r="RDV61" s="1462"/>
      <c r="RDW61" s="1463"/>
      <c r="RDX61" s="1459"/>
      <c r="RDY61" s="1459"/>
      <c r="RDZ61" s="1460"/>
      <c r="REA61" s="1461"/>
      <c r="REB61" s="1462"/>
      <c r="REC61" s="1463"/>
      <c r="RED61" s="1459"/>
      <c r="REE61" s="1459"/>
      <c r="REF61" s="1460"/>
      <c r="REG61" s="1461"/>
      <c r="REH61" s="1462"/>
      <c r="REI61" s="1463"/>
      <c r="REJ61" s="1459"/>
      <c r="REK61" s="1459"/>
      <c r="REL61" s="1460"/>
      <c r="REM61" s="1461"/>
      <c r="REN61" s="1462"/>
      <c r="REO61" s="1463"/>
      <c r="REP61" s="1459"/>
      <c r="REQ61" s="1459"/>
      <c r="RER61" s="1460"/>
      <c r="RES61" s="1461"/>
      <c r="RET61" s="1462"/>
      <c r="REU61" s="1463"/>
      <c r="REV61" s="1459"/>
      <c r="REW61" s="1459"/>
      <c r="REX61" s="1460"/>
      <c r="REY61" s="1461"/>
      <c r="REZ61" s="1462"/>
      <c r="RFA61" s="1463"/>
      <c r="RFB61" s="1459"/>
      <c r="RFC61" s="1459"/>
      <c r="RFD61" s="1460"/>
      <c r="RFE61" s="1461"/>
      <c r="RFF61" s="1462"/>
      <c r="RFG61" s="1463"/>
      <c r="RFH61" s="1459"/>
      <c r="RFI61" s="1459"/>
      <c r="RFJ61" s="1460"/>
      <c r="RFK61" s="1461"/>
      <c r="RFL61" s="1462"/>
      <c r="RFM61" s="1463"/>
      <c r="RFN61" s="1459"/>
      <c r="RFO61" s="1459"/>
      <c r="RFP61" s="1460"/>
      <c r="RFQ61" s="1461"/>
      <c r="RFR61" s="1462"/>
      <c r="RFS61" s="1463"/>
      <c r="RFT61" s="1459"/>
      <c r="RFU61" s="1459"/>
      <c r="RFV61" s="1460"/>
      <c r="RFW61" s="1461"/>
      <c r="RFX61" s="1462"/>
      <c r="RFY61" s="1463"/>
      <c r="RFZ61" s="1459"/>
      <c r="RGA61" s="1459"/>
      <c r="RGB61" s="1460"/>
      <c r="RGC61" s="1461"/>
      <c r="RGD61" s="1462"/>
      <c r="RGE61" s="1463"/>
      <c r="RGF61" s="1459"/>
      <c r="RGG61" s="1459"/>
      <c r="RGH61" s="1460"/>
      <c r="RGI61" s="1461"/>
      <c r="RGJ61" s="1462"/>
      <c r="RGK61" s="1463"/>
      <c r="RGL61" s="1459"/>
      <c r="RGM61" s="1459"/>
      <c r="RGN61" s="1460"/>
      <c r="RGO61" s="1461"/>
      <c r="RGP61" s="1462"/>
      <c r="RGQ61" s="1463"/>
      <c r="RGR61" s="1459"/>
      <c r="RGS61" s="1459"/>
      <c r="RGT61" s="1460"/>
      <c r="RGU61" s="1461"/>
      <c r="RGV61" s="1462"/>
      <c r="RGW61" s="1463"/>
      <c r="RGX61" s="1459"/>
      <c r="RGY61" s="1459"/>
      <c r="RGZ61" s="1460"/>
      <c r="RHA61" s="1461"/>
      <c r="RHB61" s="1462"/>
      <c r="RHC61" s="1463"/>
      <c r="RHD61" s="1459"/>
      <c r="RHE61" s="1459"/>
      <c r="RHF61" s="1460"/>
      <c r="RHG61" s="1461"/>
      <c r="RHH61" s="1462"/>
      <c r="RHI61" s="1463"/>
      <c r="RHJ61" s="1459"/>
      <c r="RHK61" s="1459"/>
      <c r="RHL61" s="1460"/>
      <c r="RHM61" s="1461"/>
      <c r="RHN61" s="1462"/>
      <c r="RHO61" s="1463"/>
      <c r="RHP61" s="1459"/>
      <c r="RHQ61" s="1459"/>
      <c r="RHR61" s="1460"/>
      <c r="RHS61" s="1461"/>
      <c r="RHT61" s="1462"/>
      <c r="RHU61" s="1463"/>
      <c r="RHV61" s="1459"/>
      <c r="RHW61" s="1459"/>
      <c r="RHX61" s="1460"/>
      <c r="RHY61" s="1461"/>
      <c r="RHZ61" s="1462"/>
      <c r="RIA61" s="1463"/>
      <c r="RIB61" s="1459"/>
      <c r="RIC61" s="1459"/>
      <c r="RID61" s="1460"/>
      <c r="RIE61" s="1461"/>
      <c r="RIF61" s="1462"/>
      <c r="RIG61" s="1463"/>
      <c r="RIH61" s="1459"/>
      <c r="RII61" s="1459"/>
      <c r="RIJ61" s="1460"/>
      <c r="RIK61" s="1461"/>
      <c r="RIL61" s="1462"/>
      <c r="RIM61" s="1463"/>
      <c r="RIN61" s="1459"/>
      <c r="RIO61" s="1459"/>
      <c r="RIP61" s="1460"/>
      <c r="RIQ61" s="1461"/>
      <c r="RIR61" s="1462"/>
      <c r="RIS61" s="1463"/>
      <c r="RIT61" s="1459"/>
      <c r="RIU61" s="1459"/>
      <c r="RIV61" s="1460"/>
      <c r="RIW61" s="1461"/>
      <c r="RIX61" s="1462"/>
      <c r="RIY61" s="1463"/>
      <c r="RIZ61" s="1459"/>
      <c r="RJA61" s="1459"/>
      <c r="RJB61" s="1460"/>
      <c r="RJC61" s="1461"/>
      <c r="RJD61" s="1462"/>
      <c r="RJE61" s="1463"/>
      <c r="RJF61" s="1459"/>
      <c r="RJG61" s="1459"/>
      <c r="RJH61" s="1460"/>
      <c r="RJI61" s="1461"/>
      <c r="RJJ61" s="1462"/>
      <c r="RJK61" s="1463"/>
      <c r="RJL61" s="1459"/>
      <c r="RJM61" s="1459"/>
      <c r="RJN61" s="1460"/>
      <c r="RJO61" s="1461"/>
      <c r="RJP61" s="1462"/>
      <c r="RJQ61" s="1463"/>
      <c r="RJR61" s="1459"/>
      <c r="RJS61" s="1459"/>
      <c r="RJT61" s="1460"/>
      <c r="RJU61" s="1461"/>
      <c r="RJV61" s="1462"/>
      <c r="RJW61" s="1463"/>
      <c r="RJX61" s="1459"/>
      <c r="RJY61" s="1459"/>
      <c r="RJZ61" s="1460"/>
      <c r="RKA61" s="1461"/>
      <c r="RKB61" s="1462"/>
      <c r="RKC61" s="1463"/>
      <c r="RKD61" s="1459"/>
      <c r="RKE61" s="1459"/>
      <c r="RKF61" s="1460"/>
      <c r="RKG61" s="1461"/>
      <c r="RKH61" s="1462"/>
      <c r="RKI61" s="1463"/>
      <c r="RKJ61" s="1459"/>
      <c r="RKK61" s="1459"/>
      <c r="RKL61" s="1460"/>
      <c r="RKM61" s="1461"/>
      <c r="RKN61" s="1462"/>
      <c r="RKO61" s="1463"/>
      <c r="RKP61" s="1459"/>
      <c r="RKQ61" s="1459"/>
      <c r="RKR61" s="1460"/>
      <c r="RKS61" s="1461"/>
      <c r="RKT61" s="1462"/>
      <c r="RKU61" s="1463"/>
      <c r="RKV61" s="1459"/>
      <c r="RKW61" s="1459"/>
      <c r="RKX61" s="1460"/>
      <c r="RKY61" s="1461"/>
      <c r="RKZ61" s="1462"/>
      <c r="RLA61" s="1463"/>
      <c r="RLB61" s="1459"/>
      <c r="RLC61" s="1459"/>
      <c r="RLD61" s="1460"/>
      <c r="RLE61" s="1461"/>
      <c r="RLF61" s="1462"/>
      <c r="RLG61" s="1463"/>
      <c r="RLH61" s="1459"/>
      <c r="RLI61" s="1459"/>
      <c r="RLJ61" s="1460"/>
      <c r="RLK61" s="1461"/>
      <c r="RLL61" s="1462"/>
      <c r="RLM61" s="1463"/>
      <c r="RLN61" s="1459"/>
      <c r="RLO61" s="1459"/>
      <c r="RLP61" s="1460"/>
      <c r="RLQ61" s="1461"/>
      <c r="RLR61" s="1462"/>
      <c r="RLS61" s="1463"/>
      <c r="RLT61" s="1459"/>
      <c r="RLU61" s="1459"/>
      <c r="RLV61" s="1460"/>
      <c r="RLW61" s="1461"/>
      <c r="RLX61" s="1462"/>
      <c r="RLY61" s="1463"/>
      <c r="RLZ61" s="1459"/>
      <c r="RMA61" s="1459"/>
      <c r="RMB61" s="1460"/>
      <c r="RMC61" s="1461"/>
      <c r="RMD61" s="1462"/>
      <c r="RME61" s="1463"/>
      <c r="RMF61" s="1459"/>
      <c r="RMG61" s="1459"/>
      <c r="RMH61" s="1460"/>
      <c r="RMI61" s="1461"/>
      <c r="RMJ61" s="1462"/>
      <c r="RMK61" s="1463"/>
      <c r="RML61" s="1459"/>
      <c r="RMM61" s="1459"/>
      <c r="RMN61" s="1460"/>
      <c r="RMO61" s="1461"/>
      <c r="RMP61" s="1462"/>
      <c r="RMQ61" s="1463"/>
      <c r="RMR61" s="1459"/>
      <c r="RMS61" s="1459"/>
      <c r="RMT61" s="1460"/>
      <c r="RMU61" s="1461"/>
      <c r="RMV61" s="1462"/>
      <c r="RMW61" s="1463"/>
      <c r="RMX61" s="1459"/>
      <c r="RMY61" s="1459"/>
      <c r="RMZ61" s="1460"/>
      <c r="RNA61" s="1461"/>
      <c r="RNB61" s="1462"/>
      <c r="RNC61" s="1463"/>
      <c r="RND61" s="1459"/>
      <c r="RNE61" s="1459"/>
      <c r="RNF61" s="1460"/>
      <c r="RNG61" s="1461"/>
      <c r="RNH61" s="1462"/>
      <c r="RNI61" s="1463"/>
      <c r="RNJ61" s="1459"/>
      <c r="RNK61" s="1459"/>
      <c r="RNL61" s="1460"/>
      <c r="RNM61" s="1461"/>
      <c r="RNN61" s="1462"/>
      <c r="RNO61" s="1463"/>
      <c r="RNP61" s="1459"/>
      <c r="RNQ61" s="1459"/>
      <c r="RNR61" s="1460"/>
      <c r="RNS61" s="1461"/>
      <c r="RNT61" s="1462"/>
      <c r="RNU61" s="1463"/>
      <c r="RNV61" s="1459"/>
      <c r="RNW61" s="1459"/>
      <c r="RNX61" s="1460"/>
      <c r="RNY61" s="1461"/>
      <c r="RNZ61" s="1462"/>
      <c r="ROA61" s="1463"/>
      <c r="ROB61" s="1459"/>
      <c r="ROC61" s="1459"/>
      <c r="ROD61" s="1460"/>
      <c r="ROE61" s="1461"/>
      <c r="ROF61" s="1462"/>
      <c r="ROG61" s="1463"/>
      <c r="ROH61" s="1459"/>
      <c r="ROI61" s="1459"/>
      <c r="ROJ61" s="1460"/>
      <c r="ROK61" s="1461"/>
      <c r="ROL61" s="1462"/>
      <c r="ROM61" s="1463"/>
      <c r="RON61" s="1459"/>
      <c r="ROO61" s="1459"/>
      <c r="ROP61" s="1460"/>
      <c r="ROQ61" s="1461"/>
      <c r="ROR61" s="1462"/>
      <c r="ROS61" s="1463"/>
      <c r="ROT61" s="1459"/>
      <c r="ROU61" s="1459"/>
      <c r="ROV61" s="1460"/>
      <c r="ROW61" s="1461"/>
      <c r="ROX61" s="1462"/>
      <c r="ROY61" s="1463"/>
      <c r="ROZ61" s="1459"/>
      <c r="RPA61" s="1459"/>
      <c r="RPB61" s="1460"/>
      <c r="RPC61" s="1461"/>
      <c r="RPD61" s="1462"/>
      <c r="RPE61" s="1463"/>
      <c r="RPF61" s="1459"/>
      <c r="RPG61" s="1459"/>
      <c r="RPH61" s="1460"/>
      <c r="RPI61" s="1461"/>
      <c r="RPJ61" s="1462"/>
      <c r="RPK61" s="1463"/>
      <c r="RPL61" s="1459"/>
      <c r="RPM61" s="1459"/>
      <c r="RPN61" s="1460"/>
      <c r="RPO61" s="1461"/>
      <c r="RPP61" s="1462"/>
      <c r="RPQ61" s="1463"/>
      <c r="RPR61" s="1459"/>
      <c r="RPS61" s="1459"/>
      <c r="RPT61" s="1460"/>
      <c r="RPU61" s="1461"/>
      <c r="RPV61" s="1462"/>
      <c r="RPW61" s="1463"/>
      <c r="RPX61" s="1459"/>
      <c r="RPY61" s="1459"/>
      <c r="RPZ61" s="1460"/>
      <c r="RQA61" s="1461"/>
      <c r="RQB61" s="1462"/>
      <c r="RQC61" s="1463"/>
      <c r="RQD61" s="1459"/>
      <c r="RQE61" s="1459"/>
      <c r="RQF61" s="1460"/>
      <c r="RQG61" s="1461"/>
      <c r="RQH61" s="1462"/>
      <c r="RQI61" s="1463"/>
      <c r="RQJ61" s="1459"/>
      <c r="RQK61" s="1459"/>
      <c r="RQL61" s="1460"/>
      <c r="RQM61" s="1461"/>
      <c r="RQN61" s="1462"/>
      <c r="RQO61" s="1463"/>
      <c r="RQP61" s="1459"/>
      <c r="RQQ61" s="1459"/>
      <c r="RQR61" s="1460"/>
      <c r="RQS61" s="1461"/>
      <c r="RQT61" s="1462"/>
      <c r="RQU61" s="1463"/>
      <c r="RQV61" s="1459"/>
      <c r="RQW61" s="1459"/>
      <c r="RQX61" s="1460"/>
      <c r="RQY61" s="1461"/>
      <c r="RQZ61" s="1462"/>
      <c r="RRA61" s="1463"/>
      <c r="RRB61" s="1459"/>
      <c r="RRC61" s="1459"/>
      <c r="RRD61" s="1460"/>
      <c r="RRE61" s="1461"/>
      <c r="RRF61" s="1462"/>
      <c r="RRG61" s="1463"/>
      <c r="RRH61" s="1459"/>
      <c r="RRI61" s="1459"/>
      <c r="RRJ61" s="1460"/>
      <c r="RRK61" s="1461"/>
      <c r="RRL61" s="1462"/>
      <c r="RRM61" s="1463"/>
      <c r="RRN61" s="1459"/>
      <c r="RRO61" s="1459"/>
      <c r="RRP61" s="1460"/>
      <c r="RRQ61" s="1461"/>
      <c r="RRR61" s="1462"/>
      <c r="RRS61" s="1463"/>
      <c r="RRT61" s="1459"/>
      <c r="RRU61" s="1459"/>
      <c r="RRV61" s="1460"/>
      <c r="RRW61" s="1461"/>
      <c r="RRX61" s="1462"/>
      <c r="RRY61" s="1463"/>
      <c r="RRZ61" s="1459"/>
      <c r="RSA61" s="1459"/>
      <c r="RSB61" s="1460"/>
      <c r="RSC61" s="1461"/>
      <c r="RSD61" s="1462"/>
      <c r="RSE61" s="1463"/>
      <c r="RSF61" s="1459"/>
      <c r="RSG61" s="1459"/>
      <c r="RSH61" s="1460"/>
      <c r="RSI61" s="1461"/>
      <c r="RSJ61" s="1462"/>
      <c r="RSK61" s="1463"/>
      <c r="RSL61" s="1459"/>
      <c r="RSM61" s="1459"/>
      <c r="RSN61" s="1460"/>
      <c r="RSO61" s="1461"/>
      <c r="RSP61" s="1462"/>
      <c r="RSQ61" s="1463"/>
      <c r="RSR61" s="1459"/>
      <c r="RSS61" s="1459"/>
      <c r="RST61" s="1460"/>
      <c r="RSU61" s="1461"/>
      <c r="RSV61" s="1462"/>
      <c r="RSW61" s="1463"/>
      <c r="RSX61" s="1459"/>
      <c r="RSY61" s="1459"/>
      <c r="RSZ61" s="1460"/>
      <c r="RTA61" s="1461"/>
      <c r="RTB61" s="1462"/>
      <c r="RTC61" s="1463"/>
      <c r="RTD61" s="1459"/>
      <c r="RTE61" s="1459"/>
      <c r="RTF61" s="1460"/>
      <c r="RTG61" s="1461"/>
      <c r="RTH61" s="1462"/>
      <c r="RTI61" s="1463"/>
      <c r="RTJ61" s="1459"/>
      <c r="RTK61" s="1459"/>
      <c r="RTL61" s="1460"/>
      <c r="RTM61" s="1461"/>
      <c r="RTN61" s="1462"/>
      <c r="RTO61" s="1463"/>
      <c r="RTP61" s="1459"/>
      <c r="RTQ61" s="1459"/>
      <c r="RTR61" s="1460"/>
      <c r="RTS61" s="1461"/>
      <c r="RTT61" s="1462"/>
      <c r="RTU61" s="1463"/>
      <c r="RTV61" s="1459"/>
      <c r="RTW61" s="1459"/>
      <c r="RTX61" s="1460"/>
      <c r="RTY61" s="1461"/>
      <c r="RTZ61" s="1462"/>
      <c r="RUA61" s="1463"/>
      <c r="RUB61" s="1459"/>
      <c r="RUC61" s="1459"/>
      <c r="RUD61" s="1460"/>
      <c r="RUE61" s="1461"/>
      <c r="RUF61" s="1462"/>
      <c r="RUG61" s="1463"/>
      <c r="RUH61" s="1459"/>
      <c r="RUI61" s="1459"/>
      <c r="RUJ61" s="1460"/>
      <c r="RUK61" s="1461"/>
      <c r="RUL61" s="1462"/>
      <c r="RUM61" s="1463"/>
      <c r="RUN61" s="1459"/>
      <c r="RUO61" s="1459"/>
      <c r="RUP61" s="1460"/>
      <c r="RUQ61" s="1461"/>
      <c r="RUR61" s="1462"/>
      <c r="RUS61" s="1463"/>
      <c r="RUT61" s="1459"/>
      <c r="RUU61" s="1459"/>
      <c r="RUV61" s="1460"/>
      <c r="RUW61" s="1461"/>
      <c r="RUX61" s="1462"/>
      <c r="RUY61" s="1463"/>
      <c r="RUZ61" s="1459"/>
      <c r="RVA61" s="1459"/>
      <c r="RVB61" s="1460"/>
      <c r="RVC61" s="1461"/>
      <c r="RVD61" s="1462"/>
      <c r="RVE61" s="1463"/>
      <c r="RVF61" s="1459"/>
      <c r="RVG61" s="1459"/>
      <c r="RVH61" s="1460"/>
      <c r="RVI61" s="1461"/>
      <c r="RVJ61" s="1462"/>
      <c r="RVK61" s="1463"/>
      <c r="RVL61" s="1459"/>
      <c r="RVM61" s="1459"/>
      <c r="RVN61" s="1460"/>
      <c r="RVO61" s="1461"/>
      <c r="RVP61" s="1462"/>
      <c r="RVQ61" s="1463"/>
      <c r="RVR61" s="1459"/>
      <c r="RVS61" s="1459"/>
      <c r="RVT61" s="1460"/>
      <c r="RVU61" s="1461"/>
      <c r="RVV61" s="1462"/>
      <c r="RVW61" s="1463"/>
      <c r="RVX61" s="1459"/>
      <c r="RVY61" s="1459"/>
      <c r="RVZ61" s="1460"/>
      <c r="RWA61" s="1461"/>
      <c r="RWB61" s="1462"/>
      <c r="RWC61" s="1463"/>
      <c r="RWD61" s="1459"/>
      <c r="RWE61" s="1459"/>
      <c r="RWF61" s="1460"/>
      <c r="RWG61" s="1461"/>
      <c r="RWH61" s="1462"/>
      <c r="RWI61" s="1463"/>
      <c r="RWJ61" s="1459"/>
      <c r="RWK61" s="1459"/>
      <c r="RWL61" s="1460"/>
      <c r="RWM61" s="1461"/>
      <c r="RWN61" s="1462"/>
      <c r="RWO61" s="1463"/>
      <c r="RWP61" s="1459"/>
      <c r="RWQ61" s="1459"/>
      <c r="RWR61" s="1460"/>
      <c r="RWS61" s="1461"/>
      <c r="RWT61" s="1462"/>
      <c r="RWU61" s="1463"/>
      <c r="RWV61" s="1459"/>
      <c r="RWW61" s="1459"/>
      <c r="RWX61" s="1460"/>
      <c r="RWY61" s="1461"/>
      <c r="RWZ61" s="1462"/>
      <c r="RXA61" s="1463"/>
      <c r="RXB61" s="1459"/>
      <c r="RXC61" s="1459"/>
      <c r="RXD61" s="1460"/>
      <c r="RXE61" s="1461"/>
      <c r="RXF61" s="1462"/>
      <c r="RXG61" s="1463"/>
      <c r="RXH61" s="1459"/>
      <c r="RXI61" s="1459"/>
      <c r="RXJ61" s="1460"/>
      <c r="RXK61" s="1461"/>
      <c r="RXL61" s="1462"/>
      <c r="RXM61" s="1463"/>
      <c r="RXN61" s="1459"/>
      <c r="RXO61" s="1459"/>
      <c r="RXP61" s="1460"/>
      <c r="RXQ61" s="1461"/>
      <c r="RXR61" s="1462"/>
      <c r="RXS61" s="1463"/>
      <c r="RXT61" s="1459"/>
      <c r="RXU61" s="1459"/>
      <c r="RXV61" s="1460"/>
      <c r="RXW61" s="1461"/>
      <c r="RXX61" s="1462"/>
      <c r="RXY61" s="1463"/>
      <c r="RXZ61" s="1459"/>
      <c r="RYA61" s="1459"/>
      <c r="RYB61" s="1460"/>
      <c r="RYC61" s="1461"/>
      <c r="RYD61" s="1462"/>
      <c r="RYE61" s="1463"/>
      <c r="RYF61" s="1459"/>
      <c r="RYG61" s="1459"/>
      <c r="RYH61" s="1460"/>
      <c r="RYI61" s="1461"/>
      <c r="RYJ61" s="1462"/>
      <c r="RYK61" s="1463"/>
      <c r="RYL61" s="1459"/>
      <c r="RYM61" s="1459"/>
      <c r="RYN61" s="1460"/>
      <c r="RYO61" s="1461"/>
      <c r="RYP61" s="1462"/>
      <c r="RYQ61" s="1463"/>
      <c r="RYR61" s="1459"/>
      <c r="RYS61" s="1459"/>
      <c r="RYT61" s="1460"/>
      <c r="RYU61" s="1461"/>
      <c r="RYV61" s="1462"/>
      <c r="RYW61" s="1463"/>
      <c r="RYX61" s="1459"/>
      <c r="RYY61" s="1459"/>
      <c r="RYZ61" s="1460"/>
      <c r="RZA61" s="1461"/>
      <c r="RZB61" s="1462"/>
      <c r="RZC61" s="1463"/>
      <c r="RZD61" s="1459"/>
      <c r="RZE61" s="1459"/>
      <c r="RZF61" s="1460"/>
      <c r="RZG61" s="1461"/>
      <c r="RZH61" s="1462"/>
      <c r="RZI61" s="1463"/>
      <c r="RZJ61" s="1459"/>
      <c r="RZK61" s="1459"/>
      <c r="RZL61" s="1460"/>
      <c r="RZM61" s="1461"/>
      <c r="RZN61" s="1462"/>
      <c r="RZO61" s="1463"/>
      <c r="RZP61" s="1459"/>
      <c r="RZQ61" s="1459"/>
      <c r="RZR61" s="1460"/>
      <c r="RZS61" s="1461"/>
      <c r="RZT61" s="1462"/>
      <c r="RZU61" s="1463"/>
      <c r="RZV61" s="1459"/>
      <c r="RZW61" s="1459"/>
      <c r="RZX61" s="1460"/>
      <c r="RZY61" s="1461"/>
      <c r="RZZ61" s="1462"/>
      <c r="SAA61" s="1463"/>
      <c r="SAB61" s="1459"/>
      <c r="SAC61" s="1459"/>
      <c r="SAD61" s="1460"/>
      <c r="SAE61" s="1461"/>
      <c r="SAF61" s="1462"/>
      <c r="SAG61" s="1463"/>
      <c r="SAH61" s="1459"/>
      <c r="SAI61" s="1459"/>
      <c r="SAJ61" s="1460"/>
      <c r="SAK61" s="1461"/>
      <c r="SAL61" s="1462"/>
      <c r="SAM61" s="1463"/>
      <c r="SAN61" s="1459"/>
      <c r="SAO61" s="1459"/>
      <c r="SAP61" s="1460"/>
      <c r="SAQ61" s="1461"/>
      <c r="SAR61" s="1462"/>
      <c r="SAS61" s="1463"/>
      <c r="SAT61" s="1459"/>
      <c r="SAU61" s="1459"/>
      <c r="SAV61" s="1460"/>
      <c r="SAW61" s="1461"/>
      <c r="SAX61" s="1462"/>
      <c r="SAY61" s="1463"/>
      <c r="SAZ61" s="1459"/>
      <c r="SBA61" s="1459"/>
      <c r="SBB61" s="1460"/>
      <c r="SBC61" s="1461"/>
      <c r="SBD61" s="1462"/>
      <c r="SBE61" s="1463"/>
      <c r="SBF61" s="1459"/>
      <c r="SBG61" s="1459"/>
      <c r="SBH61" s="1460"/>
      <c r="SBI61" s="1461"/>
      <c r="SBJ61" s="1462"/>
      <c r="SBK61" s="1463"/>
      <c r="SBL61" s="1459"/>
      <c r="SBM61" s="1459"/>
      <c r="SBN61" s="1460"/>
      <c r="SBO61" s="1461"/>
      <c r="SBP61" s="1462"/>
      <c r="SBQ61" s="1463"/>
      <c r="SBR61" s="1459"/>
      <c r="SBS61" s="1459"/>
      <c r="SBT61" s="1460"/>
      <c r="SBU61" s="1461"/>
      <c r="SBV61" s="1462"/>
      <c r="SBW61" s="1463"/>
      <c r="SBX61" s="1459"/>
      <c r="SBY61" s="1459"/>
      <c r="SBZ61" s="1460"/>
      <c r="SCA61" s="1461"/>
      <c r="SCB61" s="1462"/>
      <c r="SCC61" s="1463"/>
      <c r="SCD61" s="1459"/>
      <c r="SCE61" s="1459"/>
      <c r="SCF61" s="1460"/>
      <c r="SCG61" s="1461"/>
      <c r="SCH61" s="1462"/>
      <c r="SCI61" s="1463"/>
      <c r="SCJ61" s="1459"/>
      <c r="SCK61" s="1459"/>
      <c r="SCL61" s="1460"/>
      <c r="SCM61" s="1461"/>
      <c r="SCN61" s="1462"/>
      <c r="SCO61" s="1463"/>
      <c r="SCP61" s="1459"/>
      <c r="SCQ61" s="1459"/>
      <c r="SCR61" s="1460"/>
      <c r="SCS61" s="1461"/>
      <c r="SCT61" s="1462"/>
      <c r="SCU61" s="1463"/>
      <c r="SCV61" s="1459"/>
      <c r="SCW61" s="1459"/>
      <c r="SCX61" s="1460"/>
      <c r="SCY61" s="1461"/>
      <c r="SCZ61" s="1462"/>
      <c r="SDA61" s="1463"/>
      <c r="SDB61" s="1459"/>
      <c r="SDC61" s="1459"/>
      <c r="SDD61" s="1460"/>
      <c r="SDE61" s="1461"/>
      <c r="SDF61" s="1462"/>
      <c r="SDG61" s="1463"/>
      <c r="SDH61" s="1459"/>
      <c r="SDI61" s="1459"/>
      <c r="SDJ61" s="1460"/>
      <c r="SDK61" s="1461"/>
      <c r="SDL61" s="1462"/>
      <c r="SDM61" s="1463"/>
      <c r="SDN61" s="1459"/>
      <c r="SDO61" s="1459"/>
      <c r="SDP61" s="1460"/>
      <c r="SDQ61" s="1461"/>
      <c r="SDR61" s="1462"/>
      <c r="SDS61" s="1463"/>
      <c r="SDT61" s="1459"/>
      <c r="SDU61" s="1459"/>
      <c r="SDV61" s="1460"/>
      <c r="SDW61" s="1461"/>
      <c r="SDX61" s="1462"/>
      <c r="SDY61" s="1463"/>
      <c r="SDZ61" s="1459"/>
      <c r="SEA61" s="1459"/>
      <c r="SEB61" s="1460"/>
      <c r="SEC61" s="1461"/>
      <c r="SED61" s="1462"/>
      <c r="SEE61" s="1463"/>
      <c r="SEF61" s="1459"/>
      <c r="SEG61" s="1459"/>
      <c r="SEH61" s="1460"/>
      <c r="SEI61" s="1461"/>
      <c r="SEJ61" s="1462"/>
      <c r="SEK61" s="1463"/>
      <c r="SEL61" s="1459"/>
      <c r="SEM61" s="1459"/>
      <c r="SEN61" s="1460"/>
      <c r="SEO61" s="1461"/>
      <c r="SEP61" s="1462"/>
      <c r="SEQ61" s="1463"/>
      <c r="SER61" s="1459"/>
      <c r="SES61" s="1459"/>
      <c r="SET61" s="1460"/>
      <c r="SEU61" s="1461"/>
      <c r="SEV61" s="1462"/>
      <c r="SEW61" s="1463"/>
      <c r="SEX61" s="1459"/>
      <c r="SEY61" s="1459"/>
      <c r="SEZ61" s="1460"/>
      <c r="SFA61" s="1461"/>
      <c r="SFB61" s="1462"/>
      <c r="SFC61" s="1463"/>
      <c r="SFD61" s="1459"/>
      <c r="SFE61" s="1459"/>
      <c r="SFF61" s="1460"/>
      <c r="SFG61" s="1461"/>
      <c r="SFH61" s="1462"/>
      <c r="SFI61" s="1463"/>
      <c r="SFJ61" s="1459"/>
      <c r="SFK61" s="1459"/>
      <c r="SFL61" s="1460"/>
      <c r="SFM61" s="1461"/>
      <c r="SFN61" s="1462"/>
      <c r="SFO61" s="1463"/>
      <c r="SFP61" s="1459"/>
      <c r="SFQ61" s="1459"/>
      <c r="SFR61" s="1460"/>
      <c r="SFS61" s="1461"/>
      <c r="SFT61" s="1462"/>
      <c r="SFU61" s="1463"/>
      <c r="SFV61" s="1459"/>
      <c r="SFW61" s="1459"/>
      <c r="SFX61" s="1460"/>
      <c r="SFY61" s="1461"/>
      <c r="SFZ61" s="1462"/>
      <c r="SGA61" s="1463"/>
      <c r="SGB61" s="1459"/>
      <c r="SGC61" s="1459"/>
      <c r="SGD61" s="1460"/>
      <c r="SGE61" s="1461"/>
      <c r="SGF61" s="1462"/>
      <c r="SGG61" s="1463"/>
      <c r="SGH61" s="1459"/>
      <c r="SGI61" s="1459"/>
      <c r="SGJ61" s="1460"/>
      <c r="SGK61" s="1461"/>
      <c r="SGL61" s="1462"/>
      <c r="SGM61" s="1463"/>
      <c r="SGN61" s="1459"/>
      <c r="SGO61" s="1459"/>
      <c r="SGP61" s="1460"/>
      <c r="SGQ61" s="1461"/>
      <c r="SGR61" s="1462"/>
      <c r="SGS61" s="1463"/>
      <c r="SGT61" s="1459"/>
      <c r="SGU61" s="1459"/>
      <c r="SGV61" s="1460"/>
      <c r="SGW61" s="1461"/>
      <c r="SGX61" s="1462"/>
      <c r="SGY61" s="1463"/>
      <c r="SGZ61" s="1459"/>
      <c r="SHA61" s="1459"/>
      <c r="SHB61" s="1460"/>
      <c r="SHC61" s="1461"/>
      <c r="SHD61" s="1462"/>
      <c r="SHE61" s="1463"/>
      <c r="SHF61" s="1459"/>
      <c r="SHG61" s="1459"/>
      <c r="SHH61" s="1460"/>
      <c r="SHI61" s="1461"/>
      <c r="SHJ61" s="1462"/>
      <c r="SHK61" s="1463"/>
      <c r="SHL61" s="1459"/>
      <c r="SHM61" s="1459"/>
      <c r="SHN61" s="1460"/>
      <c r="SHO61" s="1461"/>
      <c r="SHP61" s="1462"/>
      <c r="SHQ61" s="1463"/>
      <c r="SHR61" s="1459"/>
      <c r="SHS61" s="1459"/>
      <c r="SHT61" s="1460"/>
      <c r="SHU61" s="1461"/>
      <c r="SHV61" s="1462"/>
      <c r="SHW61" s="1463"/>
      <c r="SHX61" s="1459"/>
      <c r="SHY61" s="1459"/>
      <c r="SHZ61" s="1460"/>
      <c r="SIA61" s="1461"/>
      <c r="SIB61" s="1462"/>
      <c r="SIC61" s="1463"/>
      <c r="SID61" s="1459"/>
      <c r="SIE61" s="1459"/>
      <c r="SIF61" s="1460"/>
      <c r="SIG61" s="1461"/>
      <c r="SIH61" s="1462"/>
      <c r="SII61" s="1463"/>
      <c r="SIJ61" s="1459"/>
      <c r="SIK61" s="1459"/>
      <c r="SIL61" s="1460"/>
      <c r="SIM61" s="1461"/>
      <c r="SIN61" s="1462"/>
      <c r="SIO61" s="1463"/>
      <c r="SIP61" s="1459"/>
      <c r="SIQ61" s="1459"/>
      <c r="SIR61" s="1460"/>
      <c r="SIS61" s="1461"/>
      <c r="SIT61" s="1462"/>
      <c r="SIU61" s="1463"/>
      <c r="SIV61" s="1459"/>
      <c r="SIW61" s="1459"/>
      <c r="SIX61" s="1460"/>
      <c r="SIY61" s="1461"/>
      <c r="SIZ61" s="1462"/>
      <c r="SJA61" s="1463"/>
      <c r="SJB61" s="1459"/>
      <c r="SJC61" s="1459"/>
      <c r="SJD61" s="1460"/>
      <c r="SJE61" s="1461"/>
      <c r="SJF61" s="1462"/>
      <c r="SJG61" s="1463"/>
      <c r="SJH61" s="1459"/>
      <c r="SJI61" s="1459"/>
      <c r="SJJ61" s="1460"/>
      <c r="SJK61" s="1461"/>
      <c r="SJL61" s="1462"/>
      <c r="SJM61" s="1463"/>
      <c r="SJN61" s="1459"/>
      <c r="SJO61" s="1459"/>
      <c r="SJP61" s="1460"/>
      <c r="SJQ61" s="1461"/>
      <c r="SJR61" s="1462"/>
      <c r="SJS61" s="1463"/>
      <c r="SJT61" s="1459"/>
      <c r="SJU61" s="1459"/>
      <c r="SJV61" s="1460"/>
      <c r="SJW61" s="1461"/>
      <c r="SJX61" s="1462"/>
      <c r="SJY61" s="1463"/>
      <c r="SJZ61" s="1459"/>
      <c r="SKA61" s="1459"/>
      <c r="SKB61" s="1460"/>
      <c r="SKC61" s="1461"/>
      <c r="SKD61" s="1462"/>
      <c r="SKE61" s="1463"/>
      <c r="SKF61" s="1459"/>
      <c r="SKG61" s="1459"/>
      <c r="SKH61" s="1460"/>
      <c r="SKI61" s="1461"/>
      <c r="SKJ61" s="1462"/>
      <c r="SKK61" s="1463"/>
      <c r="SKL61" s="1459"/>
      <c r="SKM61" s="1459"/>
      <c r="SKN61" s="1460"/>
      <c r="SKO61" s="1461"/>
      <c r="SKP61" s="1462"/>
      <c r="SKQ61" s="1463"/>
      <c r="SKR61" s="1459"/>
      <c r="SKS61" s="1459"/>
      <c r="SKT61" s="1460"/>
      <c r="SKU61" s="1461"/>
      <c r="SKV61" s="1462"/>
      <c r="SKW61" s="1463"/>
      <c r="SKX61" s="1459"/>
      <c r="SKY61" s="1459"/>
      <c r="SKZ61" s="1460"/>
      <c r="SLA61" s="1461"/>
      <c r="SLB61" s="1462"/>
      <c r="SLC61" s="1463"/>
      <c r="SLD61" s="1459"/>
      <c r="SLE61" s="1459"/>
      <c r="SLF61" s="1460"/>
      <c r="SLG61" s="1461"/>
      <c r="SLH61" s="1462"/>
      <c r="SLI61" s="1463"/>
      <c r="SLJ61" s="1459"/>
      <c r="SLK61" s="1459"/>
      <c r="SLL61" s="1460"/>
      <c r="SLM61" s="1461"/>
      <c r="SLN61" s="1462"/>
      <c r="SLO61" s="1463"/>
      <c r="SLP61" s="1459"/>
      <c r="SLQ61" s="1459"/>
      <c r="SLR61" s="1460"/>
      <c r="SLS61" s="1461"/>
      <c r="SLT61" s="1462"/>
      <c r="SLU61" s="1463"/>
      <c r="SLV61" s="1459"/>
      <c r="SLW61" s="1459"/>
      <c r="SLX61" s="1460"/>
      <c r="SLY61" s="1461"/>
      <c r="SLZ61" s="1462"/>
      <c r="SMA61" s="1463"/>
      <c r="SMB61" s="1459"/>
      <c r="SMC61" s="1459"/>
      <c r="SMD61" s="1460"/>
      <c r="SME61" s="1461"/>
      <c r="SMF61" s="1462"/>
      <c r="SMG61" s="1463"/>
      <c r="SMH61" s="1459"/>
      <c r="SMI61" s="1459"/>
      <c r="SMJ61" s="1460"/>
      <c r="SMK61" s="1461"/>
      <c r="SML61" s="1462"/>
      <c r="SMM61" s="1463"/>
      <c r="SMN61" s="1459"/>
      <c r="SMO61" s="1459"/>
      <c r="SMP61" s="1460"/>
      <c r="SMQ61" s="1461"/>
      <c r="SMR61" s="1462"/>
      <c r="SMS61" s="1463"/>
      <c r="SMT61" s="1459"/>
      <c r="SMU61" s="1459"/>
      <c r="SMV61" s="1460"/>
      <c r="SMW61" s="1461"/>
      <c r="SMX61" s="1462"/>
      <c r="SMY61" s="1463"/>
      <c r="SMZ61" s="1459"/>
      <c r="SNA61" s="1459"/>
      <c r="SNB61" s="1460"/>
      <c r="SNC61" s="1461"/>
      <c r="SND61" s="1462"/>
      <c r="SNE61" s="1463"/>
      <c r="SNF61" s="1459"/>
      <c r="SNG61" s="1459"/>
      <c r="SNH61" s="1460"/>
      <c r="SNI61" s="1461"/>
      <c r="SNJ61" s="1462"/>
      <c r="SNK61" s="1463"/>
      <c r="SNL61" s="1459"/>
      <c r="SNM61" s="1459"/>
      <c r="SNN61" s="1460"/>
      <c r="SNO61" s="1461"/>
      <c r="SNP61" s="1462"/>
      <c r="SNQ61" s="1463"/>
      <c r="SNR61" s="1459"/>
      <c r="SNS61" s="1459"/>
      <c r="SNT61" s="1460"/>
      <c r="SNU61" s="1461"/>
      <c r="SNV61" s="1462"/>
      <c r="SNW61" s="1463"/>
      <c r="SNX61" s="1459"/>
      <c r="SNY61" s="1459"/>
      <c r="SNZ61" s="1460"/>
      <c r="SOA61" s="1461"/>
      <c r="SOB61" s="1462"/>
      <c r="SOC61" s="1463"/>
      <c r="SOD61" s="1459"/>
      <c r="SOE61" s="1459"/>
      <c r="SOF61" s="1460"/>
      <c r="SOG61" s="1461"/>
      <c r="SOH61" s="1462"/>
      <c r="SOI61" s="1463"/>
      <c r="SOJ61" s="1459"/>
      <c r="SOK61" s="1459"/>
      <c r="SOL61" s="1460"/>
      <c r="SOM61" s="1461"/>
      <c r="SON61" s="1462"/>
      <c r="SOO61" s="1463"/>
      <c r="SOP61" s="1459"/>
      <c r="SOQ61" s="1459"/>
      <c r="SOR61" s="1460"/>
      <c r="SOS61" s="1461"/>
      <c r="SOT61" s="1462"/>
      <c r="SOU61" s="1463"/>
      <c r="SOV61" s="1459"/>
      <c r="SOW61" s="1459"/>
      <c r="SOX61" s="1460"/>
      <c r="SOY61" s="1461"/>
      <c r="SOZ61" s="1462"/>
      <c r="SPA61" s="1463"/>
      <c r="SPB61" s="1459"/>
      <c r="SPC61" s="1459"/>
      <c r="SPD61" s="1460"/>
      <c r="SPE61" s="1461"/>
      <c r="SPF61" s="1462"/>
      <c r="SPG61" s="1463"/>
      <c r="SPH61" s="1459"/>
      <c r="SPI61" s="1459"/>
      <c r="SPJ61" s="1460"/>
      <c r="SPK61" s="1461"/>
      <c r="SPL61" s="1462"/>
      <c r="SPM61" s="1463"/>
      <c r="SPN61" s="1459"/>
      <c r="SPO61" s="1459"/>
      <c r="SPP61" s="1460"/>
      <c r="SPQ61" s="1461"/>
      <c r="SPR61" s="1462"/>
      <c r="SPS61" s="1463"/>
      <c r="SPT61" s="1459"/>
      <c r="SPU61" s="1459"/>
      <c r="SPV61" s="1460"/>
      <c r="SPW61" s="1461"/>
      <c r="SPX61" s="1462"/>
      <c r="SPY61" s="1463"/>
      <c r="SPZ61" s="1459"/>
      <c r="SQA61" s="1459"/>
      <c r="SQB61" s="1460"/>
      <c r="SQC61" s="1461"/>
      <c r="SQD61" s="1462"/>
      <c r="SQE61" s="1463"/>
      <c r="SQF61" s="1459"/>
      <c r="SQG61" s="1459"/>
      <c r="SQH61" s="1460"/>
      <c r="SQI61" s="1461"/>
      <c r="SQJ61" s="1462"/>
      <c r="SQK61" s="1463"/>
      <c r="SQL61" s="1459"/>
      <c r="SQM61" s="1459"/>
      <c r="SQN61" s="1460"/>
      <c r="SQO61" s="1461"/>
      <c r="SQP61" s="1462"/>
      <c r="SQQ61" s="1463"/>
      <c r="SQR61" s="1459"/>
      <c r="SQS61" s="1459"/>
      <c r="SQT61" s="1460"/>
      <c r="SQU61" s="1461"/>
      <c r="SQV61" s="1462"/>
      <c r="SQW61" s="1463"/>
      <c r="SQX61" s="1459"/>
      <c r="SQY61" s="1459"/>
      <c r="SQZ61" s="1460"/>
      <c r="SRA61" s="1461"/>
      <c r="SRB61" s="1462"/>
      <c r="SRC61" s="1463"/>
      <c r="SRD61" s="1459"/>
      <c r="SRE61" s="1459"/>
      <c r="SRF61" s="1460"/>
      <c r="SRG61" s="1461"/>
      <c r="SRH61" s="1462"/>
      <c r="SRI61" s="1463"/>
      <c r="SRJ61" s="1459"/>
      <c r="SRK61" s="1459"/>
      <c r="SRL61" s="1460"/>
      <c r="SRM61" s="1461"/>
      <c r="SRN61" s="1462"/>
      <c r="SRO61" s="1463"/>
      <c r="SRP61" s="1459"/>
      <c r="SRQ61" s="1459"/>
      <c r="SRR61" s="1460"/>
      <c r="SRS61" s="1461"/>
      <c r="SRT61" s="1462"/>
      <c r="SRU61" s="1463"/>
      <c r="SRV61" s="1459"/>
      <c r="SRW61" s="1459"/>
      <c r="SRX61" s="1460"/>
      <c r="SRY61" s="1461"/>
      <c r="SRZ61" s="1462"/>
      <c r="SSA61" s="1463"/>
      <c r="SSB61" s="1459"/>
      <c r="SSC61" s="1459"/>
      <c r="SSD61" s="1460"/>
      <c r="SSE61" s="1461"/>
      <c r="SSF61" s="1462"/>
      <c r="SSG61" s="1463"/>
      <c r="SSH61" s="1459"/>
      <c r="SSI61" s="1459"/>
      <c r="SSJ61" s="1460"/>
      <c r="SSK61" s="1461"/>
      <c r="SSL61" s="1462"/>
      <c r="SSM61" s="1463"/>
      <c r="SSN61" s="1459"/>
      <c r="SSO61" s="1459"/>
      <c r="SSP61" s="1460"/>
      <c r="SSQ61" s="1461"/>
      <c r="SSR61" s="1462"/>
      <c r="SSS61" s="1463"/>
      <c r="SST61" s="1459"/>
      <c r="SSU61" s="1459"/>
      <c r="SSV61" s="1460"/>
      <c r="SSW61" s="1461"/>
      <c r="SSX61" s="1462"/>
      <c r="SSY61" s="1463"/>
      <c r="SSZ61" s="1459"/>
      <c r="STA61" s="1459"/>
      <c r="STB61" s="1460"/>
      <c r="STC61" s="1461"/>
      <c r="STD61" s="1462"/>
      <c r="STE61" s="1463"/>
      <c r="STF61" s="1459"/>
      <c r="STG61" s="1459"/>
      <c r="STH61" s="1460"/>
      <c r="STI61" s="1461"/>
      <c r="STJ61" s="1462"/>
      <c r="STK61" s="1463"/>
      <c r="STL61" s="1459"/>
      <c r="STM61" s="1459"/>
      <c r="STN61" s="1460"/>
      <c r="STO61" s="1461"/>
      <c r="STP61" s="1462"/>
      <c r="STQ61" s="1463"/>
      <c r="STR61" s="1459"/>
      <c r="STS61" s="1459"/>
      <c r="STT61" s="1460"/>
      <c r="STU61" s="1461"/>
      <c r="STV61" s="1462"/>
      <c r="STW61" s="1463"/>
      <c r="STX61" s="1459"/>
      <c r="STY61" s="1459"/>
      <c r="STZ61" s="1460"/>
      <c r="SUA61" s="1461"/>
      <c r="SUB61" s="1462"/>
      <c r="SUC61" s="1463"/>
      <c r="SUD61" s="1459"/>
      <c r="SUE61" s="1459"/>
      <c r="SUF61" s="1460"/>
      <c r="SUG61" s="1461"/>
      <c r="SUH61" s="1462"/>
      <c r="SUI61" s="1463"/>
      <c r="SUJ61" s="1459"/>
      <c r="SUK61" s="1459"/>
      <c r="SUL61" s="1460"/>
      <c r="SUM61" s="1461"/>
      <c r="SUN61" s="1462"/>
      <c r="SUO61" s="1463"/>
      <c r="SUP61" s="1459"/>
      <c r="SUQ61" s="1459"/>
      <c r="SUR61" s="1460"/>
      <c r="SUS61" s="1461"/>
      <c r="SUT61" s="1462"/>
      <c r="SUU61" s="1463"/>
      <c r="SUV61" s="1459"/>
      <c r="SUW61" s="1459"/>
      <c r="SUX61" s="1460"/>
      <c r="SUY61" s="1461"/>
      <c r="SUZ61" s="1462"/>
      <c r="SVA61" s="1463"/>
      <c r="SVB61" s="1459"/>
      <c r="SVC61" s="1459"/>
      <c r="SVD61" s="1460"/>
      <c r="SVE61" s="1461"/>
      <c r="SVF61" s="1462"/>
      <c r="SVG61" s="1463"/>
      <c r="SVH61" s="1459"/>
      <c r="SVI61" s="1459"/>
      <c r="SVJ61" s="1460"/>
      <c r="SVK61" s="1461"/>
      <c r="SVL61" s="1462"/>
      <c r="SVM61" s="1463"/>
      <c r="SVN61" s="1459"/>
      <c r="SVO61" s="1459"/>
      <c r="SVP61" s="1460"/>
      <c r="SVQ61" s="1461"/>
      <c r="SVR61" s="1462"/>
      <c r="SVS61" s="1463"/>
      <c r="SVT61" s="1459"/>
      <c r="SVU61" s="1459"/>
      <c r="SVV61" s="1460"/>
      <c r="SVW61" s="1461"/>
      <c r="SVX61" s="1462"/>
      <c r="SVY61" s="1463"/>
      <c r="SVZ61" s="1459"/>
      <c r="SWA61" s="1459"/>
      <c r="SWB61" s="1460"/>
      <c r="SWC61" s="1461"/>
      <c r="SWD61" s="1462"/>
      <c r="SWE61" s="1463"/>
      <c r="SWF61" s="1459"/>
      <c r="SWG61" s="1459"/>
      <c r="SWH61" s="1460"/>
      <c r="SWI61" s="1461"/>
      <c r="SWJ61" s="1462"/>
      <c r="SWK61" s="1463"/>
      <c r="SWL61" s="1459"/>
      <c r="SWM61" s="1459"/>
      <c r="SWN61" s="1460"/>
      <c r="SWO61" s="1461"/>
      <c r="SWP61" s="1462"/>
      <c r="SWQ61" s="1463"/>
      <c r="SWR61" s="1459"/>
      <c r="SWS61" s="1459"/>
      <c r="SWT61" s="1460"/>
      <c r="SWU61" s="1461"/>
      <c r="SWV61" s="1462"/>
      <c r="SWW61" s="1463"/>
      <c r="SWX61" s="1459"/>
      <c r="SWY61" s="1459"/>
      <c r="SWZ61" s="1460"/>
      <c r="SXA61" s="1461"/>
      <c r="SXB61" s="1462"/>
      <c r="SXC61" s="1463"/>
      <c r="SXD61" s="1459"/>
      <c r="SXE61" s="1459"/>
      <c r="SXF61" s="1460"/>
      <c r="SXG61" s="1461"/>
      <c r="SXH61" s="1462"/>
      <c r="SXI61" s="1463"/>
      <c r="SXJ61" s="1459"/>
      <c r="SXK61" s="1459"/>
      <c r="SXL61" s="1460"/>
      <c r="SXM61" s="1461"/>
      <c r="SXN61" s="1462"/>
      <c r="SXO61" s="1463"/>
      <c r="SXP61" s="1459"/>
      <c r="SXQ61" s="1459"/>
      <c r="SXR61" s="1460"/>
      <c r="SXS61" s="1461"/>
      <c r="SXT61" s="1462"/>
      <c r="SXU61" s="1463"/>
      <c r="SXV61" s="1459"/>
      <c r="SXW61" s="1459"/>
      <c r="SXX61" s="1460"/>
      <c r="SXY61" s="1461"/>
      <c r="SXZ61" s="1462"/>
      <c r="SYA61" s="1463"/>
      <c r="SYB61" s="1459"/>
      <c r="SYC61" s="1459"/>
      <c r="SYD61" s="1460"/>
      <c r="SYE61" s="1461"/>
      <c r="SYF61" s="1462"/>
      <c r="SYG61" s="1463"/>
      <c r="SYH61" s="1459"/>
      <c r="SYI61" s="1459"/>
      <c r="SYJ61" s="1460"/>
      <c r="SYK61" s="1461"/>
      <c r="SYL61" s="1462"/>
      <c r="SYM61" s="1463"/>
      <c r="SYN61" s="1459"/>
      <c r="SYO61" s="1459"/>
      <c r="SYP61" s="1460"/>
      <c r="SYQ61" s="1461"/>
      <c r="SYR61" s="1462"/>
      <c r="SYS61" s="1463"/>
      <c r="SYT61" s="1459"/>
      <c r="SYU61" s="1459"/>
      <c r="SYV61" s="1460"/>
      <c r="SYW61" s="1461"/>
      <c r="SYX61" s="1462"/>
      <c r="SYY61" s="1463"/>
      <c r="SYZ61" s="1459"/>
      <c r="SZA61" s="1459"/>
      <c r="SZB61" s="1460"/>
      <c r="SZC61" s="1461"/>
      <c r="SZD61" s="1462"/>
      <c r="SZE61" s="1463"/>
      <c r="SZF61" s="1459"/>
      <c r="SZG61" s="1459"/>
      <c r="SZH61" s="1460"/>
      <c r="SZI61" s="1461"/>
      <c r="SZJ61" s="1462"/>
      <c r="SZK61" s="1463"/>
      <c r="SZL61" s="1459"/>
      <c r="SZM61" s="1459"/>
      <c r="SZN61" s="1460"/>
      <c r="SZO61" s="1461"/>
      <c r="SZP61" s="1462"/>
      <c r="SZQ61" s="1463"/>
      <c r="SZR61" s="1459"/>
      <c r="SZS61" s="1459"/>
      <c r="SZT61" s="1460"/>
      <c r="SZU61" s="1461"/>
      <c r="SZV61" s="1462"/>
      <c r="SZW61" s="1463"/>
      <c r="SZX61" s="1459"/>
      <c r="SZY61" s="1459"/>
      <c r="SZZ61" s="1460"/>
      <c r="TAA61" s="1461"/>
      <c r="TAB61" s="1462"/>
      <c r="TAC61" s="1463"/>
      <c r="TAD61" s="1459"/>
      <c r="TAE61" s="1459"/>
      <c r="TAF61" s="1460"/>
      <c r="TAG61" s="1461"/>
      <c r="TAH61" s="1462"/>
      <c r="TAI61" s="1463"/>
      <c r="TAJ61" s="1459"/>
      <c r="TAK61" s="1459"/>
      <c r="TAL61" s="1460"/>
      <c r="TAM61" s="1461"/>
      <c r="TAN61" s="1462"/>
      <c r="TAO61" s="1463"/>
      <c r="TAP61" s="1459"/>
      <c r="TAQ61" s="1459"/>
      <c r="TAR61" s="1460"/>
      <c r="TAS61" s="1461"/>
      <c r="TAT61" s="1462"/>
      <c r="TAU61" s="1463"/>
      <c r="TAV61" s="1459"/>
      <c r="TAW61" s="1459"/>
      <c r="TAX61" s="1460"/>
      <c r="TAY61" s="1461"/>
      <c r="TAZ61" s="1462"/>
      <c r="TBA61" s="1463"/>
      <c r="TBB61" s="1459"/>
      <c r="TBC61" s="1459"/>
      <c r="TBD61" s="1460"/>
      <c r="TBE61" s="1461"/>
      <c r="TBF61" s="1462"/>
      <c r="TBG61" s="1463"/>
      <c r="TBH61" s="1459"/>
      <c r="TBI61" s="1459"/>
      <c r="TBJ61" s="1460"/>
      <c r="TBK61" s="1461"/>
      <c r="TBL61" s="1462"/>
      <c r="TBM61" s="1463"/>
      <c r="TBN61" s="1459"/>
      <c r="TBO61" s="1459"/>
      <c r="TBP61" s="1460"/>
      <c r="TBQ61" s="1461"/>
      <c r="TBR61" s="1462"/>
      <c r="TBS61" s="1463"/>
      <c r="TBT61" s="1459"/>
      <c r="TBU61" s="1459"/>
      <c r="TBV61" s="1460"/>
      <c r="TBW61" s="1461"/>
      <c r="TBX61" s="1462"/>
      <c r="TBY61" s="1463"/>
      <c r="TBZ61" s="1459"/>
      <c r="TCA61" s="1459"/>
      <c r="TCB61" s="1460"/>
      <c r="TCC61" s="1461"/>
      <c r="TCD61" s="1462"/>
      <c r="TCE61" s="1463"/>
      <c r="TCF61" s="1459"/>
      <c r="TCG61" s="1459"/>
      <c r="TCH61" s="1460"/>
      <c r="TCI61" s="1461"/>
      <c r="TCJ61" s="1462"/>
      <c r="TCK61" s="1463"/>
      <c r="TCL61" s="1459"/>
      <c r="TCM61" s="1459"/>
      <c r="TCN61" s="1460"/>
      <c r="TCO61" s="1461"/>
      <c r="TCP61" s="1462"/>
      <c r="TCQ61" s="1463"/>
      <c r="TCR61" s="1459"/>
      <c r="TCS61" s="1459"/>
      <c r="TCT61" s="1460"/>
      <c r="TCU61" s="1461"/>
      <c r="TCV61" s="1462"/>
      <c r="TCW61" s="1463"/>
      <c r="TCX61" s="1459"/>
      <c r="TCY61" s="1459"/>
      <c r="TCZ61" s="1460"/>
      <c r="TDA61" s="1461"/>
      <c r="TDB61" s="1462"/>
      <c r="TDC61" s="1463"/>
      <c r="TDD61" s="1459"/>
      <c r="TDE61" s="1459"/>
      <c r="TDF61" s="1460"/>
      <c r="TDG61" s="1461"/>
      <c r="TDH61" s="1462"/>
      <c r="TDI61" s="1463"/>
      <c r="TDJ61" s="1459"/>
      <c r="TDK61" s="1459"/>
      <c r="TDL61" s="1460"/>
      <c r="TDM61" s="1461"/>
      <c r="TDN61" s="1462"/>
      <c r="TDO61" s="1463"/>
      <c r="TDP61" s="1459"/>
      <c r="TDQ61" s="1459"/>
      <c r="TDR61" s="1460"/>
      <c r="TDS61" s="1461"/>
      <c r="TDT61" s="1462"/>
      <c r="TDU61" s="1463"/>
      <c r="TDV61" s="1459"/>
      <c r="TDW61" s="1459"/>
      <c r="TDX61" s="1460"/>
      <c r="TDY61" s="1461"/>
      <c r="TDZ61" s="1462"/>
      <c r="TEA61" s="1463"/>
      <c r="TEB61" s="1459"/>
      <c r="TEC61" s="1459"/>
      <c r="TED61" s="1460"/>
      <c r="TEE61" s="1461"/>
      <c r="TEF61" s="1462"/>
      <c r="TEG61" s="1463"/>
      <c r="TEH61" s="1459"/>
      <c r="TEI61" s="1459"/>
      <c r="TEJ61" s="1460"/>
      <c r="TEK61" s="1461"/>
      <c r="TEL61" s="1462"/>
      <c r="TEM61" s="1463"/>
      <c r="TEN61" s="1459"/>
      <c r="TEO61" s="1459"/>
      <c r="TEP61" s="1460"/>
      <c r="TEQ61" s="1461"/>
      <c r="TER61" s="1462"/>
      <c r="TES61" s="1463"/>
      <c r="TET61" s="1459"/>
      <c r="TEU61" s="1459"/>
      <c r="TEV61" s="1460"/>
      <c r="TEW61" s="1461"/>
      <c r="TEX61" s="1462"/>
      <c r="TEY61" s="1463"/>
      <c r="TEZ61" s="1459"/>
      <c r="TFA61" s="1459"/>
      <c r="TFB61" s="1460"/>
      <c r="TFC61" s="1461"/>
      <c r="TFD61" s="1462"/>
      <c r="TFE61" s="1463"/>
      <c r="TFF61" s="1459"/>
      <c r="TFG61" s="1459"/>
      <c r="TFH61" s="1460"/>
      <c r="TFI61" s="1461"/>
      <c r="TFJ61" s="1462"/>
      <c r="TFK61" s="1463"/>
      <c r="TFL61" s="1459"/>
      <c r="TFM61" s="1459"/>
      <c r="TFN61" s="1460"/>
      <c r="TFO61" s="1461"/>
      <c r="TFP61" s="1462"/>
      <c r="TFQ61" s="1463"/>
      <c r="TFR61" s="1459"/>
      <c r="TFS61" s="1459"/>
      <c r="TFT61" s="1460"/>
      <c r="TFU61" s="1461"/>
      <c r="TFV61" s="1462"/>
      <c r="TFW61" s="1463"/>
      <c r="TFX61" s="1459"/>
      <c r="TFY61" s="1459"/>
      <c r="TFZ61" s="1460"/>
      <c r="TGA61" s="1461"/>
      <c r="TGB61" s="1462"/>
      <c r="TGC61" s="1463"/>
      <c r="TGD61" s="1459"/>
      <c r="TGE61" s="1459"/>
      <c r="TGF61" s="1460"/>
      <c r="TGG61" s="1461"/>
      <c r="TGH61" s="1462"/>
      <c r="TGI61" s="1463"/>
      <c r="TGJ61" s="1459"/>
      <c r="TGK61" s="1459"/>
      <c r="TGL61" s="1460"/>
      <c r="TGM61" s="1461"/>
      <c r="TGN61" s="1462"/>
      <c r="TGO61" s="1463"/>
      <c r="TGP61" s="1459"/>
      <c r="TGQ61" s="1459"/>
      <c r="TGR61" s="1460"/>
      <c r="TGS61" s="1461"/>
      <c r="TGT61" s="1462"/>
      <c r="TGU61" s="1463"/>
      <c r="TGV61" s="1459"/>
      <c r="TGW61" s="1459"/>
      <c r="TGX61" s="1460"/>
      <c r="TGY61" s="1461"/>
      <c r="TGZ61" s="1462"/>
      <c r="THA61" s="1463"/>
      <c r="THB61" s="1459"/>
      <c r="THC61" s="1459"/>
      <c r="THD61" s="1460"/>
      <c r="THE61" s="1461"/>
      <c r="THF61" s="1462"/>
      <c r="THG61" s="1463"/>
      <c r="THH61" s="1459"/>
      <c r="THI61" s="1459"/>
      <c r="THJ61" s="1460"/>
      <c r="THK61" s="1461"/>
      <c r="THL61" s="1462"/>
      <c r="THM61" s="1463"/>
      <c r="THN61" s="1459"/>
      <c r="THO61" s="1459"/>
      <c r="THP61" s="1460"/>
      <c r="THQ61" s="1461"/>
      <c r="THR61" s="1462"/>
      <c r="THS61" s="1463"/>
      <c r="THT61" s="1459"/>
      <c r="THU61" s="1459"/>
      <c r="THV61" s="1460"/>
      <c r="THW61" s="1461"/>
      <c r="THX61" s="1462"/>
      <c r="THY61" s="1463"/>
      <c r="THZ61" s="1459"/>
      <c r="TIA61" s="1459"/>
      <c r="TIB61" s="1460"/>
      <c r="TIC61" s="1461"/>
      <c r="TID61" s="1462"/>
      <c r="TIE61" s="1463"/>
      <c r="TIF61" s="1459"/>
      <c r="TIG61" s="1459"/>
      <c r="TIH61" s="1460"/>
      <c r="TII61" s="1461"/>
      <c r="TIJ61" s="1462"/>
      <c r="TIK61" s="1463"/>
      <c r="TIL61" s="1459"/>
      <c r="TIM61" s="1459"/>
      <c r="TIN61" s="1460"/>
      <c r="TIO61" s="1461"/>
      <c r="TIP61" s="1462"/>
      <c r="TIQ61" s="1463"/>
      <c r="TIR61" s="1459"/>
      <c r="TIS61" s="1459"/>
      <c r="TIT61" s="1460"/>
      <c r="TIU61" s="1461"/>
      <c r="TIV61" s="1462"/>
      <c r="TIW61" s="1463"/>
      <c r="TIX61" s="1459"/>
      <c r="TIY61" s="1459"/>
      <c r="TIZ61" s="1460"/>
      <c r="TJA61" s="1461"/>
      <c r="TJB61" s="1462"/>
      <c r="TJC61" s="1463"/>
      <c r="TJD61" s="1459"/>
      <c r="TJE61" s="1459"/>
      <c r="TJF61" s="1460"/>
      <c r="TJG61" s="1461"/>
      <c r="TJH61" s="1462"/>
      <c r="TJI61" s="1463"/>
      <c r="TJJ61" s="1459"/>
      <c r="TJK61" s="1459"/>
      <c r="TJL61" s="1460"/>
      <c r="TJM61" s="1461"/>
      <c r="TJN61" s="1462"/>
      <c r="TJO61" s="1463"/>
      <c r="TJP61" s="1459"/>
      <c r="TJQ61" s="1459"/>
      <c r="TJR61" s="1460"/>
      <c r="TJS61" s="1461"/>
      <c r="TJT61" s="1462"/>
      <c r="TJU61" s="1463"/>
      <c r="TJV61" s="1459"/>
      <c r="TJW61" s="1459"/>
      <c r="TJX61" s="1460"/>
      <c r="TJY61" s="1461"/>
      <c r="TJZ61" s="1462"/>
      <c r="TKA61" s="1463"/>
      <c r="TKB61" s="1459"/>
      <c r="TKC61" s="1459"/>
      <c r="TKD61" s="1460"/>
      <c r="TKE61" s="1461"/>
      <c r="TKF61" s="1462"/>
      <c r="TKG61" s="1463"/>
      <c r="TKH61" s="1459"/>
      <c r="TKI61" s="1459"/>
      <c r="TKJ61" s="1460"/>
      <c r="TKK61" s="1461"/>
      <c r="TKL61" s="1462"/>
      <c r="TKM61" s="1463"/>
      <c r="TKN61" s="1459"/>
      <c r="TKO61" s="1459"/>
      <c r="TKP61" s="1460"/>
      <c r="TKQ61" s="1461"/>
      <c r="TKR61" s="1462"/>
      <c r="TKS61" s="1463"/>
      <c r="TKT61" s="1459"/>
      <c r="TKU61" s="1459"/>
      <c r="TKV61" s="1460"/>
      <c r="TKW61" s="1461"/>
      <c r="TKX61" s="1462"/>
      <c r="TKY61" s="1463"/>
      <c r="TKZ61" s="1459"/>
      <c r="TLA61" s="1459"/>
      <c r="TLB61" s="1460"/>
      <c r="TLC61" s="1461"/>
      <c r="TLD61" s="1462"/>
      <c r="TLE61" s="1463"/>
      <c r="TLF61" s="1459"/>
      <c r="TLG61" s="1459"/>
      <c r="TLH61" s="1460"/>
      <c r="TLI61" s="1461"/>
      <c r="TLJ61" s="1462"/>
      <c r="TLK61" s="1463"/>
      <c r="TLL61" s="1459"/>
      <c r="TLM61" s="1459"/>
      <c r="TLN61" s="1460"/>
      <c r="TLO61" s="1461"/>
      <c r="TLP61" s="1462"/>
      <c r="TLQ61" s="1463"/>
      <c r="TLR61" s="1459"/>
      <c r="TLS61" s="1459"/>
      <c r="TLT61" s="1460"/>
      <c r="TLU61" s="1461"/>
      <c r="TLV61" s="1462"/>
      <c r="TLW61" s="1463"/>
      <c r="TLX61" s="1459"/>
      <c r="TLY61" s="1459"/>
      <c r="TLZ61" s="1460"/>
      <c r="TMA61" s="1461"/>
      <c r="TMB61" s="1462"/>
      <c r="TMC61" s="1463"/>
      <c r="TMD61" s="1459"/>
      <c r="TME61" s="1459"/>
      <c r="TMF61" s="1460"/>
      <c r="TMG61" s="1461"/>
      <c r="TMH61" s="1462"/>
      <c r="TMI61" s="1463"/>
      <c r="TMJ61" s="1459"/>
      <c r="TMK61" s="1459"/>
      <c r="TML61" s="1460"/>
      <c r="TMM61" s="1461"/>
      <c r="TMN61" s="1462"/>
      <c r="TMO61" s="1463"/>
      <c r="TMP61" s="1459"/>
      <c r="TMQ61" s="1459"/>
      <c r="TMR61" s="1460"/>
      <c r="TMS61" s="1461"/>
      <c r="TMT61" s="1462"/>
      <c r="TMU61" s="1463"/>
      <c r="TMV61" s="1459"/>
      <c r="TMW61" s="1459"/>
      <c r="TMX61" s="1460"/>
      <c r="TMY61" s="1461"/>
      <c r="TMZ61" s="1462"/>
      <c r="TNA61" s="1463"/>
      <c r="TNB61" s="1459"/>
      <c r="TNC61" s="1459"/>
      <c r="TND61" s="1460"/>
      <c r="TNE61" s="1461"/>
      <c r="TNF61" s="1462"/>
      <c r="TNG61" s="1463"/>
      <c r="TNH61" s="1459"/>
      <c r="TNI61" s="1459"/>
      <c r="TNJ61" s="1460"/>
      <c r="TNK61" s="1461"/>
      <c r="TNL61" s="1462"/>
      <c r="TNM61" s="1463"/>
      <c r="TNN61" s="1459"/>
      <c r="TNO61" s="1459"/>
      <c r="TNP61" s="1460"/>
      <c r="TNQ61" s="1461"/>
      <c r="TNR61" s="1462"/>
      <c r="TNS61" s="1463"/>
      <c r="TNT61" s="1459"/>
      <c r="TNU61" s="1459"/>
      <c r="TNV61" s="1460"/>
      <c r="TNW61" s="1461"/>
      <c r="TNX61" s="1462"/>
      <c r="TNY61" s="1463"/>
      <c r="TNZ61" s="1459"/>
      <c r="TOA61" s="1459"/>
      <c r="TOB61" s="1460"/>
      <c r="TOC61" s="1461"/>
      <c r="TOD61" s="1462"/>
      <c r="TOE61" s="1463"/>
      <c r="TOF61" s="1459"/>
      <c r="TOG61" s="1459"/>
      <c r="TOH61" s="1460"/>
      <c r="TOI61" s="1461"/>
      <c r="TOJ61" s="1462"/>
      <c r="TOK61" s="1463"/>
      <c r="TOL61" s="1459"/>
      <c r="TOM61" s="1459"/>
      <c r="TON61" s="1460"/>
      <c r="TOO61" s="1461"/>
      <c r="TOP61" s="1462"/>
      <c r="TOQ61" s="1463"/>
      <c r="TOR61" s="1459"/>
      <c r="TOS61" s="1459"/>
      <c r="TOT61" s="1460"/>
      <c r="TOU61" s="1461"/>
      <c r="TOV61" s="1462"/>
      <c r="TOW61" s="1463"/>
      <c r="TOX61" s="1459"/>
      <c r="TOY61" s="1459"/>
      <c r="TOZ61" s="1460"/>
      <c r="TPA61" s="1461"/>
      <c r="TPB61" s="1462"/>
      <c r="TPC61" s="1463"/>
      <c r="TPD61" s="1459"/>
      <c r="TPE61" s="1459"/>
      <c r="TPF61" s="1460"/>
      <c r="TPG61" s="1461"/>
      <c r="TPH61" s="1462"/>
      <c r="TPI61" s="1463"/>
      <c r="TPJ61" s="1459"/>
      <c r="TPK61" s="1459"/>
      <c r="TPL61" s="1460"/>
      <c r="TPM61" s="1461"/>
      <c r="TPN61" s="1462"/>
      <c r="TPO61" s="1463"/>
      <c r="TPP61" s="1459"/>
      <c r="TPQ61" s="1459"/>
      <c r="TPR61" s="1460"/>
      <c r="TPS61" s="1461"/>
      <c r="TPT61" s="1462"/>
      <c r="TPU61" s="1463"/>
      <c r="TPV61" s="1459"/>
      <c r="TPW61" s="1459"/>
      <c r="TPX61" s="1460"/>
      <c r="TPY61" s="1461"/>
      <c r="TPZ61" s="1462"/>
      <c r="TQA61" s="1463"/>
      <c r="TQB61" s="1459"/>
      <c r="TQC61" s="1459"/>
      <c r="TQD61" s="1460"/>
      <c r="TQE61" s="1461"/>
      <c r="TQF61" s="1462"/>
      <c r="TQG61" s="1463"/>
      <c r="TQH61" s="1459"/>
      <c r="TQI61" s="1459"/>
      <c r="TQJ61" s="1460"/>
      <c r="TQK61" s="1461"/>
      <c r="TQL61" s="1462"/>
      <c r="TQM61" s="1463"/>
      <c r="TQN61" s="1459"/>
      <c r="TQO61" s="1459"/>
      <c r="TQP61" s="1460"/>
      <c r="TQQ61" s="1461"/>
      <c r="TQR61" s="1462"/>
      <c r="TQS61" s="1463"/>
      <c r="TQT61" s="1459"/>
      <c r="TQU61" s="1459"/>
      <c r="TQV61" s="1460"/>
      <c r="TQW61" s="1461"/>
      <c r="TQX61" s="1462"/>
      <c r="TQY61" s="1463"/>
      <c r="TQZ61" s="1459"/>
      <c r="TRA61" s="1459"/>
      <c r="TRB61" s="1460"/>
      <c r="TRC61" s="1461"/>
      <c r="TRD61" s="1462"/>
      <c r="TRE61" s="1463"/>
      <c r="TRF61" s="1459"/>
      <c r="TRG61" s="1459"/>
      <c r="TRH61" s="1460"/>
      <c r="TRI61" s="1461"/>
      <c r="TRJ61" s="1462"/>
      <c r="TRK61" s="1463"/>
      <c r="TRL61" s="1459"/>
      <c r="TRM61" s="1459"/>
      <c r="TRN61" s="1460"/>
      <c r="TRO61" s="1461"/>
      <c r="TRP61" s="1462"/>
      <c r="TRQ61" s="1463"/>
      <c r="TRR61" s="1459"/>
      <c r="TRS61" s="1459"/>
      <c r="TRT61" s="1460"/>
      <c r="TRU61" s="1461"/>
      <c r="TRV61" s="1462"/>
      <c r="TRW61" s="1463"/>
      <c r="TRX61" s="1459"/>
      <c r="TRY61" s="1459"/>
      <c r="TRZ61" s="1460"/>
      <c r="TSA61" s="1461"/>
      <c r="TSB61" s="1462"/>
      <c r="TSC61" s="1463"/>
      <c r="TSD61" s="1459"/>
      <c r="TSE61" s="1459"/>
      <c r="TSF61" s="1460"/>
      <c r="TSG61" s="1461"/>
      <c r="TSH61" s="1462"/>
      <c r="TSI61" s="1463"/>
      <c r="TSJ61" s="1459"/>
      <c r="TSK61" s="1459"/>
      <c r="TSL61" s="1460"/>
      <c r="TSM61" s="1461"/>
      <c r="TSN61" s="1462"/>
      <c r="TSO61" s="1463"/>
      <c r="TSP61" s="1459"/>
      <c r="TSQ61" s="1459"/>
      <c r="TSR61" s="1460"/>
      <c r="TSS61" s="1461"/>
      <c r="TST61" s="1462"/>
      <c r="TSU61" s="1463"/>
      <c r="TSV61" s="1459"/>
      <c r="TSW61" s="1459"/>
      <c r="TSX61" s="1460"/>
      <c r="TSY61" s="1461"/>
      <c r="TSZ61" s="1462"/>
      <c r="TTA61" s="1463"/>
      <c r="TTB61" s="1459"/>
      <c r="TTC61" s="1459"/>
      <c r="TTD61" s="1460"/>
      <c r="TTE61" s="1461"/>
      <c r="TTF61" s="1462"/>
      <c r="TTG61" s="1463"/>
      <c r="TTH61" s="1459"/>
      <c r="TTI61" s="1459"/>
      <c r="TTJ61" s="1460"/>
      <c r="TTK61" s="1461"/>
      <c r="TTL61" s="1462"/>
      <c r="TTM61" s="1463"/>
      <c r="TTN61" s="1459"/>
      <c r="TTO61" s="1459"/>
      <c r="TTP61" s="1460"/>
      <c r="TTQ61" s="1461"/>
      <c r="TTR61" s="1462"/>
      <c r="TTS61" s="1463"/>
      <c r="TTT61" s="1459"/>
      <c r="TTU61" s="1459"/>
      <c r="TTV61" s="1460"/>
      <c r="TTW61" s="1461"/>
      <c r="TTX61" s="1462"/>
      <c r="TTY61" s="1463"/>
      <c r="TTZ61" s="1459"/>
      <c r="TUA61" s="1459"/>
      <c r="TUB61" s="1460"/>
      <c r="TUC61" s="1461"/>
      <c r="TUD61" s="1462"/>
      <c r="TUE61" s="1463"/>
      <c r="TUF61" s="1459"/>
      <c r="TUG61" s="1459"/>
      <c r="TUH61" s="1460"/>
      <c r="TUI61" s="1461"/>
      <c r="TUJ61" s="1462"/>
      <c r="TUK61" s="1463"/>
      <c r="TUL61" s="1459"/>
      <c r="TUM61" s="1459"/>
      <c r="TUN61" s="1460"/>
      <c r="TUO61" s="1461"/>
      <c r="TUP61" s="1462"/>
      <c r="TUQ61" s="1463"/>
      <c r="TUR61" s="1459"/>
      <c r="TUS61" s="1459"/>
      <c r="TUT61" s="1460"/>
      <c r="TUU61" s="1461"/>
      <c r="TUV61" s="1462"/>
      <c r="TUW61" s="1463"/>
      <c r="TUX61" s="1459"/>
      <c r="TUY61" s="1459"/>
      <c r="TUZ61" s="1460"/>
      <c r="TVA61" s="1461"/>
      <c r="TVB61" s="1462"/>
      <c r="TVC61" s="1463"/>
      <c r="TVD61" s="1459"/>
      <c r="TVE61" s="1459"/>
      <c r="TVF61" s="1460"/>
      <c r="TVG61" s="1461"/>
      <c r="TVH61" s="1462"/>
      <c r="TVI61" s="1463"/>
      <c r="TVJ61" s="1459"/>
      <c r="TVK61" s="1459"/>
      <c r="TVL61" s="1460"/>
      <c r="TVM61" s="1461"/>
      <c r="TVN61" s="1462"/>
      <c r="TVO61" s="1463"/>
      <c r="TVP61" s="1459"/>
      <c r="TVQ61" s="1459"/>
      <c r="TVR61" s="1460"/>
      <c r="TVS61" s="1461"/>
      <c r="TVT61" s="1462"/>
      <c r="TVU61" s="1463"/>
      <c r="TVV61" s="1459"/>
      <c r="TVW61" s="1459"/>
      <c r="TVX61" s="1460"/>
      <c r="TVY61" s="1461"/>
      <c r="TVZ61" s="1462"/>
      <c r="TWA61" s="1463"/>
      <c r="TWB61" s="1459"/>
      <c r="TWC61" s="1459"/>
      <c r="TWD61" s="1460"/>
      <c r="TWE61" s="1461"/>
      <c r="TWF61" s="1462"/>
      <c r="TWG61" s="1463"/>
      <c r="TWH61" s="1459"/>
      <c r="TWI61" s="1459"/>
      <c r="TWJ61" s="1460"/>
      <c r="TWK61" s="1461"/>
      <c r="TWL61" s="1462"/>
      <c r="TWM61" s="1463"/>
      <c r="TWN61" s="1459"/>
      <c r="TWO61" s="1459"/>
      <c r="TWP61" s="1460"/>
      <c r="TWQ61" s="1461"/>
      <c r="TWR61" s="1462"/>
      <c r="TWS61" s="1463"/>
      <c r="TWT61" s="1459"/>
      <c r="TWU61" s="1459"/>
      <c r="TWV61" s="1460"/>
      <c r="TWW61" s="1461"/>
      <c r="TWX61" s="1462"/>
      <c r="TWY61" s="1463"/>
      <c r="TWZ61" s="1459"/>
      <c r="TXA61" s="1459"/>
      <c r="TXB61" s="1460"/>
      <c r="TXC61" s="1461"/>
      <c r="TXD61" s="1462"/>
      <c r="TXE61" s="1463"/>
      <c r="TXF61" s="1459"/>
      <c r="TXG61" s="1459"/>
      <c r="TXH61" s="1460"/>
      <c r="TXI61" s="1461"/>
      <c r="TXJ61" s="1462"/>
      <c r="TXK61" s="1463"/>
      <c r="TXL61" s="1459"/>
      <c r="TXM61" s="1459"/>
      <c r="TXN61" s="1460"/>
      <c r="TXO61" s="1461"/>
      <c r="TXP61" s="1462"/>
      <c r="TXQ61" s="1463"/>
      <c r="TXR61" s="1459"/>
      <c r="TXS61" s="1459"/>
      <c r="TXT61" s="1460"/>
      <c r="TXU61" s="1461"/>
      <c r="TXV61" s="1462"/>
      <c r="TXW61" s="1463"/>
      <c r="TXX61" s="1459"/>
      <c r="TXY61" s="1459"/>
      <c r="TXZ61" s="1460"/>
      <c r="TYA61" s="1461"/>
      <c r="TYB61" s="1462"/>
      <c r="TYC61" s="1463"/>
      <c r="TYD61" s="1459"/>
      <c r="TYE61" s="1459"/>
      <c r="TYF61" s="1460"/>
      <c r="TYG61" s="1461"/>
      <c r="TYH61" s="1462"/>
      <c r="TYI61" s="1463"/>
      <c r="TYJ61" s="1459"/>
      <c r="TYK61" s="1459"/>
      <c r="TYL61" s="1460"/>
      <c r="TYM61" s="1461"/>
      <c r="TYN61" s="1462"/>
      <c r="TYO61" s="1463"/>
      <c r="TYP61" s="1459"/>
      <c r="TYQ61" s="1459"/>
      <c r="TYR61" s="1460"/>
      <c r="TYS61" s="1461"/>
      <c r="TYT61" s="1462"/>
      <c r="TYU61" s="1463"/>
      <c r="TYV61" s="1459"/>
      <c r="TYW61" s="1459"/>
      <c r="TYX61" s="1460"/>
      <c r="TYY61" s="1461"/>
      <c r="TYZ61" s="1462"/>
      <c r="TZA61" s="1463"/>
      <c r="TZB61" s="1459"/>
      <c r="TZC61" s="1459"/>
      <c r="TZD61" s="1460"/>
      <c r="TZE61" s="1461"/>
      <c r="TZF61" s="1462"/>
      <c r="TZG61" s="1463"/>
      <c r="TZH61" s="1459"/>
      <c r="TZI61" s="1459"/>
      <c r="TZJ61" s="1460"/>
      <c r="TZK61" s="1461"/>
      <c r="TZL61" s="1462"/>
      <c r="TZM61" s="1463"/>
      <c r="TZN61" s="1459"/>
      <c r="TZO61" s="1459"/>
      <c r="TZP61" s="1460"/>
      <c r="TZQ61" s="1461"/>
      <c r="TZR61" s="1462"/>
      <c r="TZS61" s="1463"/>
      <c r="TZT61" s="1459"/>
      <c r="TZU61" s="1459"/>
      <c r="TZV61" s="1460"/>
      <c r="TZW61" s="1461"/>
      <c r="TZX61" s="1462"/>
      <c r="TZY61" s="1463"/>
      <c r="TZZ61" s="1459"/>
      <c r="UAA61" s="1459"/>
      <c r="UAB61" s="1460"/>
      <c r="UAC61" s="1461"/>
      <c r="UAD61" s="1462"/>
      <c r="UAE61" s="1463"/>
      <c r="UAF61" s="1459"/>
      <c r="UAG61" s="1459"/>
      <c r="UAH61" s="1460"/>
      <c r="UAI61" s="1461"/>
      <c r="UAJ61" s="1462"/>
      <c r="UAK61" s="1463"/>
      <c r="UAL61" s="1459"/>
      <c r="UAM61" s="1459"/>
      <c r="UAN61" s="1460"/>
      <c r="UAO61" s="1461"/>
      <c r="UAP61" s="1462"/>
      <c r="UAQ61" s="1463"/>
      <c r="UAR61" s="1459"/>
      <c r="UAS61" s="1459"/>
      <c r="UAT61" s="1460"/>
      <c r="UAU61" s="1461"/>
      <c r="UAV61" s="1462"/>
      <c r="UAW61" s="1463"/>
      <c r="UAX61" s="1459"/>
      <c r="UAY61" s="1459"/>
      <c r="UAZ61" s="1460"/>
      <c r="UBA61" s="1461"/>
      <c r="UBB61" s="1462"/>
      <c r="UBC61" s="1463"/>
      <c r="UBD61" s="1459"/>
      <c r="UBE61" s="1459"/>
      <c r="UBF61" s="1460"/>
      <c r="UBG61" s="1461"/>
      <c r="UBH61" s="1462"/>
      <c r="UBI61" s="1463"/>
      <c r="UBJ61" s="1459"/>
      <c r="UBK61" s="1459"/>
      <c r="UBL61" s="1460"/>
      <c r="UBM61" s="1461"/>
      <c r="UBN61" s="1462"/>
      <c r="UBO61" s="1463"/>
      <c r="UBP61" s="1459"/>
      <c r="UBQ61" s="1459"/>
      <c r="UBR61" s="1460"/>
      <c r="UBS61" s="1461"/>
      <c r="UBT61" s="1462"/>
      <c r="UBU61" s="1463"/>
      <c r="UBV61" s="1459"/>
      <c r="UBW61" s="1459"/>
      <c r="UBX61" s="1460"/>
      <c r="UBY61" s="1461"/>
      <c r="UBZ61" s="1462"/>
      <c r="UCA61" s="1463"/>
      <c r="UCB61" s="1459"/>
      <c r="UCC61" s="1459"/>
      <c r="UCD61" s="1460"/>
      <c r="UCE61" s="1461"/>
      <c r="UCF61" s="1462"/>
      <c r="UCG61" s="1463"/>
      <c r="UCH61" s="1459"/>
      <c r="UCI61" s="1459"/>
      <c r="UCJ61" s="1460"/>
      <c r="UCK61" s="1461"/>
      <c r="UCL61" s="1462"/>
      <c r="UCM61" s="1463"/>
      <c r="UCN61" s="1459"/>
      <c r="UCO61" s="1459"/>
      <c r="UCP61" s="1460"/>
      <c r="UCQ61" s="1461"/>
      <c r="UCR61" s="1462"/>
      <c r="UCS61" s="1463"/>
      <c r="UCT61" s="1459"/>
      <c r="UCU61" s="1459"/>
      <c r="UCV61" s="1460"/>
      <c r="UCW61" s="1461"/>
      <c r="UCX61" s="1462"/>
      <c r="UCY61" s="1463"/>
      <c r="UCZ61" s="1459"/>
      <c r="UDA61" s="1459"/>
      <c r="UDB61" s="1460"/>
      <c r="UDC61" s="1461"/>
      <c r="UDD61" s="1462"/>
      <c r="UDE61" s="1463"/>
      <c r="UDF61" s="1459"/>
      <c r="UDG61" s="1459"/>
      <c r="UDH61" s="1460"/>
      <c r="UDI61" s="1461"/>
      <c r="UDJ61" s="1462"/>
      <c r="UDK61" s="1463"/>
      <c r="UDL61" s="1459"/>
      <c r="UDM61" s="1459"/>
      <c r="UDN61" s="1460"/>
      <c r="UDO61" s="1461"/>
      <c r="UDP61" s="1462"/>
      <c r="UDQ61" s="1463"/>
      <c r="UDR61" s="1459"/>
      <c r="UDS61" s="1459"/>
      <c r="UDT61" s="1460"/>
      <c r="UDU61" s="1461"/>
      <c r="UDV61" s="1462"/>
      <c r="UDW61" s="1463"/>
      <c r="UDX61" s="1459"/>
      <c r="UDY61" s="1459"/>
      <c r="UDZ61" s="1460"/>
      <c r="UEA61" s="1461"/>
      <c r="UEB61" s="1462"/>
      <c r="UEC61" s="1463"/>
      <c r="UED61" s="1459"/>
      <c r="UEE61" s="1459"/>
      <c r="UEF61" s="1460"/>
      <c r="UEG61" s="1461"/>
      <c r="UEH61" s="1462"/>
      <c r="UEI61" s="1463"/>
      <c r="UEJ61" s="1459"/>
      <c r="UEK61" s="1459"/>
      <c r="UEL61" s="1460"/>
      <c r="UEM61" s="1461"/>
      <c r="UEN61" s="1462"/>
      <c r="UEO61" s="1463"/>
      <c r="UEP61" s="1459"/>
      <c r="UEQ61" s="1459"/>
      <c r="UER61" s="1460"/>
      <c r="UES61" s="1461"/>
      <c r="UET61" s="1462"/>
      <c r="UEU61" s="1463"/>
      <c r="UEV61" s="1459"/>
      <c r="UEW61" s="1459"/>
      <c r="UEX61" s="1460"/>
      <c r="UEY61" s="1461"/>
      <c r="UEZ61" s="1462"/>
      <c r="UFA61" s="1463"/>
      <c r="UFB61" s="1459"/>
      <c r="UFC61" s="1459"/>
      <c r="UFD61" s="1460"/>
      <c r="UFE61" s="1461"/>
      <c r="UFF61" s="1462"/>
      <c r="UFG61" s="1463"/>
      <c r="UFH61" s="1459"/>
      <c r="UFI61" s="1459"/>
      <c r="UFJ61" s="1460"/>
      <c r="UFK61" s="1461"/>
      <c r="UFL61" s="1462"/>
      <c r="UFM61" s="1463"/>
      <c r="UFN61" s="1459"/>
      <c r="UFO61" s="1459"/>
      <c r="UFP61" s="1460"/>
      <c r="UFQ61" s="1461"/>
      <c r="UFR61" s="1462"/>
      <c r="UFS61" s="1463"/>
      <c r="UFT61" s="1459"/>
      <c r="UFU61" s="1459"/>
      <c r="UFV61" s="1460"/>
      <c r="UFW61" s="1461"/>
      <c r="UFX61" s="1462"/>
      <c r="UFY61" s="1463"/>
      <c r="UFZ61" s="1459"/>
      <c r="UGA61" s="1459"/>
      <c r="UGB61" s="1460"/>
      <c r="UGC61" s="1461"/>
      <c r="UGD61" s="1462"/>
      <c r="UGE61" s="1463"/>
      <c r="UGF61" s="1459"/>
      <c r="UGG61" s="1459"/>
      <c r="UGH61" s="1460"/>
      <c r="UGI61" s="1461"/>
      <c r="UGJ61" s="1462"/>
      <c r="UGK61" s="1463"/>
      <c r="UGL61" s="1459"/>
      <c r="UGM61" s="1459"/>
      <c r="UGN61" s="1460"/>
      <c r="UGO61" s="1461"/>
      <c r="UGP61" s="1462"/>
      <c r="UGQ61" s="1463"/>
      <c r="UGR61" s="1459"/>
      <c r="UGS61" s="1459"/>
      <c r="UGT61" s="1460"/>
      <c r="UGU61" s="1461"/>
      <c r="UGV61" s="1462"/>
      <c r="UGW61" s="1463"/>
      <c r="UGX61" s="1459"/>
      <c r="UGY61" s="1459"/>
      <c r="UGZ61" s="1460"/>
      <c r="UHA61" s="1461"/>
      <c r="UHB61" s="1462"/>
      <c r="UHC61" s="1463"/>
      <c r="UHD61" s="1459"/>
      <c r="UHE61" s="1459"/>
      <c r="UHF61" s="1460"/>
      <c r="UHG61" s="1461"/>
      <c r="UHH61" s="1462"/>
      <c r="UHI61" s="1463"/>
      <c r="UHJ61" s="1459"/>
      <c r="UHK61" s="1459"/>
      <c r="UHL61" s="1460"/>
      <c r="UHM61" s="1461"/>
      <c r="UHN61" s="1462"/>
      <c r="UHO61" s="1463"/>
      <c r="UHP61" s="1459"/>
      <c r="UHQ61" s="1459"/>
      <c r="UHR61" s="1460"/>
      <c r="UHS61" s="1461"/>
      <c r="UHT61" s="1462"/>
      <c r="UHU61" s="1463"/>
      <c r="UHV61" s="1459"/>
      <c r="UHW61" s="1459"/>
      <c r="UHX61" s="1460"/>
      <c r="UHY61" s="1461"/>
      <c r="UHZ61" s="1462"/>
      <c r="UIA61" s="1463"/>
      <c r="UIB61" s="1459"/>
      <c r="UIC61" s="1459"/>
      <c r="UID61" s="1460"/>
      <c r="UIE61" s="1461"/>
      <c r="UIF61" s="1462"/>
      <c r="UIG61" s="1463"/>
      <c r="UIH61" s="1459"/>
      <c r="UII61" s="1459"/>
      <c r="UIJ61" s="1460"/>
      <c r="UIK61" s="1461"/>
      <c r="UIL61" s="1462"/>
      <c r="UIM61" s="1463"/>
      <c r="UIN61" s="1459"/>
      <c r="UIO61" s="1459"/>
      <c r="UIP61" s="1460"/>
      <c r="UIQ61" s="1461"/>
      <c r="UIR61" s="1462"/>
      <c r="UIS61" s="1463"/>
      <c r="UIT61" s="1459"/>
      <c r="UIU61" s="1459"/>
      <c r="UIV61" s="1460"/>
      <c r="UIW61" s="1461"/>
      <c r="UIX61" s="1462"/>
      <c r="UIY61" s="1463"/>
      <c r="UIZ61" s="1459"/>
      <c r="UJA61" s="1459"/>
      <c r="UJB61" s="1460"/>
      <c r="UJC61" s="1461"/>
      <c r="UJD61" s="1462"/>
      <c r="UJE61" s="1463"/>
      <c r="UJF61" s="1459"/>
      <c r="UJG61" s="1459"/>
      <c r="UJH61" s="1460"/>
      <c r="UJI61" s="1461"/>
      <c r="UJJ61" s="1462"/>
      <c r="UJK61" s="1463"/>
      <c r="UJL61" s="1459"/>
      <c r="UJM61" s="1459"/>
      <c r="UJN61" s="1460"/>
      <c r="UJO61" s="1461"/>
      <c r="UJP61" s="1462"/>
      <c r="UJQ61" s="1463"/>
      <c r="UJR61" s="1459"/>
      <c r="UJS61" s="1459"/>
      <c r="UJT61" s="1460"/>
      <c r="UJU61" s="1461"/>
      <c r="UJV61" s="1462"/>
      <c r="UJW61" s="1463"/>
      <c r="UJX61" s="1459"/>
      <c r="UJY61" s="1459"/>
      <c r="UJZ61" s="1460"/>
      <c r="UKA61" s="1461"/>
      <c r="UKB61" s="1462"/>
      <c r="UKC61" s="1463"/>
      <c r="UKD61" s="1459"/>
      <c r="UKE61" s="1459"/>
      <c r="UKF61" s="1460"/>
      <c r="UKG61" s="1461"/>
      <c r="UKH61" s="1462"/>
      <c r="UKI61" s="1463"/>
      <c r="UKJ61" s="1459"/>
      <c r="UKK61" s="1459"/>
      <c r="UKL61" s="1460"/>
      <c r="UKM61" s="1461"/>
      <c r="UKN61" s="1462"/>
      <c r="UKO61" s="1463"/>
      <c r="UKP61" s="1459"/>
      <c r="UKQ61" s="1459"/>
      <c r="UKR61" s="1460"/>
      <c r="UKS61" s="1461"/>
      <c r="UKT61" s="1462"/>
      <c r="UKU61" s="1463"/>
      <c r="UKV61" s="1459"/>
      <c r="UKW61" s="1459"/>
      <c r="UKX61" s="1460"/>
      <c r="UKY61" s="1461"/>
      <c r="UKZ61" s="1462"/>
      <c r="ULA61" s="1463"/>
      <c r="ULB61" s="1459"/>
      <c r="ULC61" s="1459"/>
      <c r="ULD61" s="1460"/>
      <c r="ULE61" s="1461"/>
      <c r="ULF61" s="1462"/>
      <c r="ULG61" s="1463"/>
      <c r="ULH61" s="1459"/>
      <c r="ULI61" s="1459"/>
      <c r="ULJ61" s="1460"/>
      <c r="ULK61" s="1461"/>
      <c r="ULL61" s="1462"/>
      <c r="ULM61" s="1463"/>
      <c r="ULN61" s="1459"/>
      <c r="ULO61" s="1459"/>
      <c r="ULP61" s="1460"/>
      <c r="ULQ61" s="1461"/>
      <c r="ULR61" s="1462"/>
      <c r="ULS61" s="1463"/>
      <c r="ULT61" s="1459"/>
      <c r="ULU61" s="1459"/>
      <c r="ULV61" s="1460"/>
      <c r="ULW61" s="1461"/>
      <c r="ULX61" s="1462"/>
      <c r="ULY61" s="1463"/>
      <c r="ULZ61" s="1459"/>
      <c r="UMA61" s="1459"/>
      <c r="UMB61" s="1460"/>
      <c r="UMC61" s="1461"/>
      <c r="UMD61" s="1462"/>
      <c r="UME61" s="1463"/>
      <c r="UMF61" s="1459"/>
      <c r="UMG61" s="1459"/>
      <c r="UMH61" s="1460"/>
      <c r="UMI61" s="1461"/>
      <c r="UMJ61" s="1462"/>
      <c r="UMK61" s="1463"/>
      <c r="UML61" s="1459"/>
      <c r="UMM61" s="1459"/>
      <c r="UMN61" s="1460"/>
      <c r="UMO61" s="1461"/>
      <c r="UMP61" s="1462"/>
      <c r="UMQ61" s="1463"/>
      <c r="UMR61" s="1459"/>
      <c r="UMS61" s="1459"/>
      <c r="UMT61" s="1460"/>
      <c r="UMU61" s="1461"/>
      <c r="UMV61" s="1462"/>
      <c r="UMW61" s="1463"/>
      <c r="UMX61" s="1459"/>
      <c r="UMY61" s="1459"/>
      <c r="UMZ61" s="1460"/>
      <c r="UNA61" s="1461"/>
      <c r="UNB61" s="1462"/>
      <c r="UNC61" s="1463"/>
      <c r="UND61" s="1459"/>
      <c r="UNE61" s="1459"/>
      <c r="UNF61" s="1460"/>
      <c r="UNG61" s="1461"/>
      <c r="UNH61" s="1462"/>
      <c r="UNI61" s="1463"/>
      <c r="UNJ61" s="1459"/>
      <c r="UNK61" s="1459"/>
      <c r="UNL61" s="1460"/>
      <c r="UNM61" s="1461"/>
      <c r="UNN61" s="1462"/>
      <c r="UNO61" s="1463"/>
      <c r="UNP61" s="1459"/>
      <c r="UNQ61" s="1459"/>
      <c r="UNR61" s="1460"/>
      <c r="UNS61" s="1461"/>
      <c r="UNT61" s="1462"/>
      <c r="UNU61" s="1463"/>
      <c r="UNV61" s="1459"/>
      <c r="UNW61" s="1459"/>
      <c r="UNX61" s="1460"/>
      <c r="UNY61" s="1461"/>
      <c r="UNZ61" s="1462"/>
      <c r="UOA61" s="1463"/>
      <c r="UOB61" s="1459"/>
      <c r="UOC61" s="1459"/>
      <c r="UOD61" s="1460"/>
      <c r="UOE61" s="1461"/>
      <c r="UOF61" s="1462"/>
      <c r="UOG61" s="1463"/>
      <c r="UOH61" s="1459"/>
      <c r="UOI61" s="1459"/>
      <c r="UOJ61" s="1460"/>
      <c r="UOK61" s="1461"/>
      <c r="UOL61" s="1462"/>
      <c r="UOM61" s="1463"/>
      <c r="UON61" s="1459"/>
      <c r="UOO61" s="1459"/>
      <c r="UOP61" s="1460"/>
      <c r="UOQ61" s="1461"/>
      <c r="UOR61" s="1462"/>
      <c r="UOS61" s="1463"/>
      <c r="UOT61" s="1459"/>
      <c r="UOU61" s="1459"/>
      <c r="UOV61" s="1460"/>
      <c r="UOW61" s="1461"/>
      <c r="UOX61" s="1462"/>
      <c r="UOY61" s="1463"/>
      <c r="UOZ61" s="1459"/>
      <c r="UPA61" s="1459"/>
      <c r="UPB61" s="1460"/>
      <c r="UPC61" s="1461"/>
      <c r="UPD61" s="1462"/>
      <c r="UPE61" s="1463"/>
      <c r="UPF61" s="1459"/>
      <c r="UPG61" s="1459"/>
      <c r="UPH61" s="1460"/>
      <c r="UPI61" s="1461"/>
      <c r="UPJ61" s="1462"/>
      <c r="UPK61" s="1463"/>
      <c r="UPL61" s="1459"/>
      <c r="UPM61" s="1459"/>
      <c r="UPN61" s="1460"/>
      <c r="UPO61" s="1461"/>
      <c r="UPP61" s="1462"/>
      <c r="UPQ61" s="1463"/>
      <c r="UPR61" s="1459"/>
      <c r="UPS61" s="1459"/>
      <c r="UPT61" s="1460"/>
      <c r="UPU61" s="1461"/>
      <c r="UPV61" s="1462"/>
      <c r="UPW61" s="1463"/>
      <c r="UPX61" s="1459"/>
      <c r="UPY61" s="1459"/>
      <c r="UPZ61" s="1460"/>
      <c r="UQA61" s="1461"/>
      <c r="UQB61" s="1462"/>
      <c r="UQC61" s="1463"/>
      <c r="UQD61" s="1459"/>
      <c r="UQE61" s="1459"/>
      <c r="UQF61" s="1460"/>
      <c r="UQG61" s="1461"/>
      <c r="UQH61" s="1462"/>
      <c r="UQI61" s="1463"/>
      <c r="UQJ61" s="1459"/>
      <c r="UQK61" s="1459"/>
      <c r="UQL61" s="1460"/>
      <c r="UQM61" s="1461"/>
      <c r="UQN61" s="1462"/>
      <c r="UQO61" s="1463"/>
      <c r="UQP61" s="1459"/>
      <c r="UQQ61" s="1459"/>
      <c r="UQR61" s="1460"/>
      <c r="UQS61" s="1461"/>
      <c r="UQT61" s="1462"/>
      <c r="UQU61" s="1463"/>
      <c r="UQV61" s="1459"/>
      <c r="UQW61" s="1459"/>
      <c r="UQX61" s="1460"/>
      <c r="UQY61" s="1461"/>
      <c r="UQZ61" s="1462"/>
      <c r="URA61" s="1463"/>
      <c r="URB61" s="1459"/>
      <c r="URC61" s="1459"/>
      <c r="URD61" s="1460"/>
      <c r="URE61" s="1461"/>
      <c r="URF61" s="1462"/>
      <c r="URG61" s="1463"/>
      <c r="URH61" s="1459"/>
      <c r="URI61" s="1459"/>
      <c r="URJ61" s="1460"/>
      <c r="URK61" s="1461"/>
      <c r="URL61" s="1462"/>
      <c r="URM61" s="1463"/>
      <c r="URN61" s="1459"/>
      <c r="URO61" s="1459"/>
      <c r="URP61" s="1460"/>
      <c r="URQ61" s="1461"/>
      <c r="URR61" s="1462"/>
      <c r="URS61" s="1463"/>
      <c r="URT61" s="1459"/>
      <c r="URU61" s="1459"/>
      <c r="URV61" s="1460"/>
      <c r="URW61" s="1461"/>
      <c r="URX61" s="1462"/>
      <c r="URY61" s="1463"/>
      <c r="URZ61" s="1459"/>
      <c r="USA61" s="1459"/>
      <c r="USB61" s="1460"/>
      <c r="USC61" s="1461"/>
      <c r="USD61" s="1462"/>
      <c r="USE61" s="1463"/>
      <c r="USF61" s="1459"/>
      <c r="USG61" s="1459"/>
      <c r="USH61" s="1460"/>
      <c r="USI61" s="1461"/>
      <c r="USJ61" s="1462"/>
      <c r="USK61" s="1463"/>
      <c r="USL61" s="1459"/>
      <c r="USM61" s="1459"/>
      <c r="USN61" s="1460"/>
      <c r="USO61" s="1461"/>
      <c r="USP61" s="1462"/>
      <c r="USQ61" s="1463"/>
      <c r="USR61" s="1459"/>
      <c r="USS61" s="1459"/>
      <c r="UST61" s="1460"/>
      <c r="USU61" s="1461"/>
      <c r="USV61" s="1462"/>
      <c r="USW61" s="1463"/>
      <c r="USX61" s="1459"/>
      <c r="USY61" s="1459"/>
      <c r="USZ61" s="1460"/>
      <c r="UTA61" s="1461"/>
      <c r="UTB61" s="1462"/>
      <c r="UTC61" s="1463"/>
      <c r="UTD61" s="1459"/>
      <c r="UTE61" s="1459"/>
      <c r="UTF61" s="1460"/>
      <c r="UTG61" s="1461"/>
      <c r="UTH61" s="1462"/>
      <c r="UTI61" s="1463"/>
      <c r="UTJ61" s="1459"/>
      <c r="UTK61" s="1459"/>
      <c r="UTL61" s="1460"/>
      <c r="UTM61" s="1461"/>
      <c r="UTN61" s="1462"/>
      <c r="UTO61" s="1463"/>
      <c r="UTP61" s="1459"/>
      <c r="UTQ61" s="1459"/>
      <c r="UTR61" s="1460"/>
      <c r="UTS61" s="1461"/>
      <c r="UTT61" s="1462"/>
      <c r="UTU61" s="1463"/>
      <c r="UTV61" s="1459"/>
      <c r="UTW61" s="1459"/>
      <c r="UTX61" s="1460"/>
      <c r="UTY61" s="1461"/>
      <c r="UTZ61" s="1462"/>
      <c r="UUA61" s="1463"/>
      <c r="UUB61" s="1459"/>
      <c r="UUC61" s="1459"/>
      <c r="UUD61" s="1460"/>
      <c r="UUE61" s="1461"/>
      <c r="UUF61" s="1462"/>
      <c r="UUG61" s="1463"/>
      <c r="UUH61" s="1459"/>
      <c r="UUI61" s="1459"/>
      <c r="UUJ61" s="1460"/>
      <c r="UUK61" s="1461"/>
      <c r="UUL61" s="1462"/>
      <c r="UUM61" s="1463"/>
      <c r="UUN61" s="1459"/>
      <c r="UUO61" s="1459"/>
      <c r="UUP61" s="1460"/>
      <c r="UUQ61" s="1461"/>
      <c r="UUR61" s="1462"/>
      <c r="UUS61" s="1463"/>
      <c r="UUT61" s="1459"/>
      <c r="UUU61" s="1459"/>
      <c r="UUV61" s="1460"/>
      <c r="UUW61" s="1461"/>
      <c r="UUX61" s="1462"/>
      <c r="UUY61" s="1463"/>
      <c r="UUZ61" s="1459"/>
      <c r="UVA61" s="1459"/>
      <c r="UVB61" s="1460"/>
      <c r="UVC61" s="1461"/>
      <c r="UVD61" s="1462"/>
      <c r="UVE61" s="1463"/>
      <c r="UVF61" s="1459"/>
      <c r="UVG61" s="1459"/>
      <c r="UVH61" s="1460"/>
      <c r="UVI61" s="1461"/>
      <c r="UVJ61" s="1462"/>
      <c r="UVK61" s="1463"/>
      <c r="UVL61" s="1459"/>
      <c r="UVM61" s="1459"/>
      <c r="UVN61" s="1460"/>
      <c r="UVO61" s="1461"/>
      <c r="UVP61" s="1462"/>
      <c r="UVQ61" s="1463"/>
      <c r="UVR61" s="1459"/>
      <c r="UVS61" s="1459"/>
      <c r="UVT61" s="1460"/>
      <c r="UVU61" s="1461"/>
      <c r="UVV61" s="1462"/>
      <c r="UVW61" s="1463"/>
      <c r="UVX61" s="1459"/>
      <c r="UVY61" s="1459"/>
      <c r="UVZ61" s="1460"/>
      <c r="UWA61" s="1461"/>
      <c r="UWB61" s="1462"/>
      <c r="UWC61" s="1463"/>
      <c r="UWD61" s="1459"/>
      <c r="UWE61" s="1459"/>
      <c r="UWF61" s="1460"/>
      <c r="UWG61" s="1461"/>
      <c r="UWH61" s="1462"/>
      <c r="UWI61" s="1463"/>
      <c r="UWJ61" s="1459"/>
      <c r="UWK61" s="1459"/>
      <c r="UWL61" s="1460"/>
      <c r="UWM61" s="1461"/>
      <c r="UWN61" s="1462"/>
      <c r="UWO61" s="1463"/>
      <c r="UWP61" s="1459"/>
      <c r="UWQ61" s="1459"/>
      <c r="UWR61" s="1460"/>
      <c r="UWS61" s="1461"/>
      <c r="UWT61" s="1462"/>
      <c r="UWU61" s="1463"/>
      <c r="UWV61" s="1459"/>
      <c r="UWW61" s="1459"/>
      <c r="UWX61" s="1460"/>
      <c r="UWY61" s="1461"/>
      <c r="UWZ61" s="1462"/>
      <c r="UXA61" s="1463"/>
      <c r="UXB61" s="1459"/>
      <c r="UXC61" s="1459"/>
      <c r="UXD61" s="1460"/>
      <c r="UXE61" s="1461"/>
      <c r="UXF61" s="1462"/>
      <c r="UXG61" s="1463"/>
      <c r="UXH61" s="1459"/>
      <c r="UXI61" s="1459"/>
      <c r="UXJ61" s="1460"/>
      <c r="UXK61" s="1461"/>
      <c r="UXL61" s="1462"/>
      <c r="UXM61" s="1463"/>
      <c r="UXN61" s="1459"/>
      <c r="UXO61" s="1459"/>
      <c r="UXP61" s="1460"/>
      <c r="UXQ61" s="1461"/>
      <c r="UXR61" s="1462"/>
      <c r="UXS61" s="1463"/>
      <c r="UXT61" s="1459"/>
      <c r="UXU61" s="1459"/>
      <c r="UXV61" s="1460"/>
      <c r="UXW61" s="1461"/>
      <c r="UXX61" s="1462"/>
      <c r="UXY61" s="1463"/>
      <c r="UXZ61" s="1459"/>
      <c r="UYA61" s="1459"/>
      <c r="UYB61" s="1460"/>
      <c r="UYC61" s="1461"/>
      <c r="UYD61" s="1462"/>
      <c r="UYE61" s="1463"/>
      <c r="UYF61" s="1459"/>
      <c r="UYG61" s="1459"/>
      <c r="UYH61" s="1460"/>
      <c r="UYI61" s="1461"/>
      <c r="UYJ61" s="1462"/>
      <c r="UYK61" s="1463"/>
      <c r="UYL61" s="1459"/>
      <c r="UYM61" s="1459"/>
      <c r="UYN61" s="1460"/>
      <c r="UYO61" s="1461"/>
      <c r="UYP61" s="1462"/>
      <c r="UYQ61" s="1463"/>
      <c r="UYR61" s="1459"/>
      <c r="UYS61" s="1459"/>
      <c r="UYT61" s="1460"/>
      <c r="UYU61" s="1461"/>
      <c r="UYV61" s="1462"/>
      <c r="UYW61" s="1463"/>
      <c r="UYX61" s="1459"/>
      <c r="UYY61" s="1459"/>
      <c r="UYZ61" s="1460"/>
      <c r="UZA61" s="1461"/>
      <c r="UZB61" s="1462"/>
      <c r="UZC61" s="1463"/>
      <c r="UZD61" s="1459"/>
      <c r="UZE61" s="1459"/>
      <c r="UZF61" s="1460"/>
      <c r="UZG61" s="1461"/>
      <c r="UZH61" s="1462"/>
      <c r="UZI61" s="1463"/>
      <c r="UZJ61" s="1459"/>
      <c r="UZK61" s="1459"/>
      <c r="UZL61" s="1460"/>
      <c r="UZM61" s="1461"/>
      <c r="UZN61" s="1462"/>
      <c r="UZO61" s="1463"/>
      <c r="UZP61" s="1459"/>
      <c r="UZQ61" s="1459"/>
      <c r="UZR61" s="1460"/>
      <c r="UZS61" s="1461"/>
      <c r="UZT61" s="1462"/>
      <c r="UZU61" s="1463"/>
      <c r="UZV61" s="1459"/>
      <c r="UZW61" s="1459"/>
      <c r="UZX61" s="1460"/>
      <c r="UZY61" s="1461"/>
      <c r="UZZ61" s="1462"/>
      <c r="VAA61" s="1463"/>
      <c r="VAB61" s="1459"/>
      <c r="VAC61" s="1459"/>
      <c r="VAD61" s="1460"/>
      <c r="VAE61" s="1461"/>
      <c r="VAF61" s="1462"/>
      <c r="VAG61" s="1463"/>
      <c r="VAH61" s="1459"/>
      <c r="VAI61" s="1459"/>
      <c r="VAJ61" s="1460"/>
      <c r="VAK61" s="1461"/>
      <c r="VAL61" s="1462"/>
      <c r="VAM61" s="1463"/>
      <c r="VAN61" s="1459"/>
      <c r="VAO61" s="1459"/>
      <c r="VAP61" s="1460"/>
      <c r="VAQ61" s="1461"/>
      <c r="VAR61" s="1462"/>
      <c r="VAS61" s="1463"/>
      <c r="VAT61" s="1459"/>
      <c r="VAU61" s="1459"/>
      <c r="VAV61" s="1460"/>
      <c r="VAW61" s="1461"/>
      <c r="VAX61" s="1462"/>
      <c r="VAY61" s="1463"/>
      <c r="VAZ61" s="1459"/>
      <c r="VBA61" s="1459"/>
      <c r="VBB61" s="1460"/>
      <c r="VBC61" s="1461"/>
      <c r="VBD61" s="1462"/>
      <c r="VBE61" s="1463"/>
      <c r="VBF61" s="1459"/>
      <c r="VBG61" s="1459"/>
      <c r="VBH61" s="1460"/>
      <c r="VBI61" s="1461"/>
      <c r="VBJ61" s="1462"/>
      <c r="VBK61" s="1463"/>
      <c r="VBL61" s="1459"/>
      <c r="VBM61" s="1459"/>
      <c r="VBN61" s="1460"/>
      <c r="VBO61" s="1461"/>
      <c r="VBP61" s="1462"/>
      <c r="VBQ61" s="1463"/>
      <c r="VBR61" s="1459"/>
      <c r="VBS61" s="1459"/>
      <c r="VBT61" s="1460"/>
      <c r="VBU61" s="1461"/>
      <c r="VBV61" s="1462"/>
      <c r="VBW61" s="1463"/>
      <c r="VBX61" s="1459"/>
      <c r="VBY61" s="1459"/>
      <c r="VBZ61" s="1460"/>
      <c r="VCA61" s="1461"/>
      <c r="VCB61" s="1462"/>
      <c r="VCC61" s="1463"/>
      <c r="VCD61" s="1459"/>
      <c r="VCE61" s="1459"/>
      <c r="VCF61" s="1460"/>
      <c r="VCG61" s="1461"/>
      <c r="VCH61" s="1462"/>
      <c r="VCI61" s="1463"/>
      <c r="VCJ61" s="1459"/>
      <c r="VCK61" s="1459"/>
      <c r="VCL61" s="1460"/>
      <c r="VCM61" s="1461"/>
      <c r="VCN61" s="1462"/>
      <c r="VCO61" s="1463"/>
      <c r="VCP61" s="1459"/>
      <c r="VCQ61" s="1459"/>
      <c r="VCR61" s="1460"/>
      <c r="VCS61" s="1461"/>
      <c r="VCT61" s="1462"/>
      <c r="VCU61" s="1463"/>
      <c r="VCV61" s="1459"/>
      <c r="VCW61" s="1459"/>
      <c r="VCX61" s="1460"/>
      <c r="VCY61" s="1461"/>
      <c r="VCZ61" s="1462"/>
      <c r="VDA61" s="1463"/>
      <c r="VDB61" s="1459"/>
      <c r="VDC61" s="1459"/>
      <c r="VDD61" s="1460"/>
      <c r="VDE61" s="1461"/>
      <c r="VDF61" s="1462"/>
      <c r="VDG61" s="1463"/>
      <c r="VDH61" s="1459"/>
      <c r="VDI61" s="1459"/>
      <c r="VDJ61" s="1460"/>
      <c r="VDK61" s="1461"/>
      <c r="VDL61" s="1462"/>
      <c r="VDM61" s="1463"/>
      <c r="VDN61" s="1459"/>
      <c r="VDO61" s="1459"/>
      <c r="VDP61" s="1460"/>
      <c r="VDQ61" s="1461"/>
      <c r="VDR61" s="1462"/>
      <c r="VDS61" s="1463"/>
      <c r="VDT61" s="1459"/>
      <c r="VDU61" s="1459"/>
      <c r="VDV61" s="1460"/>
      <c r="VDW61" s="1461"/>
      <c r="VDX61" s="1462"/>
      <c r="VDY61" s="1463"/>
      <c r="VDZ61" s="1459"/>
      <c r="VEA61" s="1459"/>
      <c r="VEB61" s="1460"/>
      <c r="VEC61" s="1461"/>
      <c r="VED61" s="1462"/>
      <c r="VEE61" s="1463"/>
      <c r="VEF61" s="1459"/>
      <c r="VEG61" s="1459"/>
      <c r="VEH61" s="1460"/>
      <c r="VEI61" s="1461"/>
      <c r="VEJ61" s="1462"/>
      <c r="VEK61" s="1463"/>
      <c r="VEL61" s="1459"/>
      <c r="VEM61" s="1459"/>
      <c r="VEN61" s="1460"/>
      <c r="VEO61" s="1461"/>
      <c r="VEP61" s="1462"/>
      <c r="VEQ61" s="1463"/>
      <c r="VER61" s="1459"/>
      <c r="VES61" s="1459"/>
      <c r="VET61" s="1460"/>
      <c r="VEU61" s="1461"/>
      <c r="VEV61" s="1462"/>
      <c r="VEW61" s="1463"/>
      <c r="VEX61" s="1459"/>
      <c r="VEY61" s="1459"/>
      <c r="VEZ61" s="1460"/>
      <c r="VFA61" s="1461"/>
      <c r="VFB61" s="1462"/>
      <c r="VFC61" s="1463"/>
      <c r="VFD61" s="1459"/>
      <c r="VFE61" s="1459"/>
      <c r="VFF61" s="1460"/>
      <c r="VFG61" s="1461"/>
      <c r="VFH61" s="1462"/>
      <c r="VFI61" s="1463"/>
      <c r="VFJ61" s="1459"/>
      <c r="VFK61" s="1459"/>
      <c r="VFL61" s="1460"/>
      <c r="VFM61" s="1461"/>
      <c r="VFN61" s="1462"/>
      <c r="VFO61" s="1463"/>
      <c r="VFP61" s="1459"/>
      <c r="VFQ61" s="1459"/>
      <c r="VFR61" s="1460"/>
      <c r="VFS61" s="1461"/>
      <c r="VFT61" s="1462"/>
      <c r="VFU61" s="1463"/>
      <c r="VFV61" s="1459"/>
      <c r="VFW61" s="1459"/>
      <c r="VFX61" s="1460"/>
      <c r="VFY61" s="1461"/>
      <c r="VFZ61" s="1462"/>
      <c r="VGA61" s="1463"/>
      <c r="VGB61" s="1459"/>
      <c r="VGC61" s="1459"/>
      <c r="VGD61" s="1460"/>
      <c r="VGE61" s="1461"/>
      <c r="VGF61" s="1462"/>
      <c r="VGG61" s="1463"/>
      <c r="VGH61" s="1459"/>
      <c r="VGI61" s="1459"/>
      <c r="VGJ61" s="1460"/>
      <c r="VGK61" s="1461"/>
      <c r="VGL61" s="1462"/>
      <c r="VGM61" s="1463"/>
      <c r="VGN61" s="1459"/>
      <c r="VGO61" s="1459"/>
      <c r="VGP61" s="1460"/>
      <c r="VGQ61" s="1461"/>
      <c r="VGR61" s="1462"/>
      <c r="VGS61" s="1463"/>
      <c r="VGT61" s="1459"/>
      <c r="VGU61" s="1459"/>
      <c r="VGV61" s="1460"/>
      <c r="VGW61" s="1461"/>
      <c r="VGX61" s="1462"/>
      <c r="VGY61" s="1463"/>
      <c r="VGZ61" s="1459"/>
      <c r="VHA61" s="1459"/>
      <c r="VHB61" s="1460"/>
      <c r="VHC61" s="1461"/>
      <c r="VHD61" s="1462"/>
      <c r="VHE61" s="1463"/>
      <c r="VHF61" s="1459"/>
      <c r="VHG61" s="1459"/>
      <c r="VHH61" s="1460"/>
      <c r="VHI61" s="1461"/>
      <c r="VHJ61" s="1462"/>
      <c r="VHK61" s="1463"/>
      <c r="VHL61" s="1459"/>
      <c r="VHM61" s="1459"/>
      <c r="VHN61" s="1460"/>
      <c r="VHO61" s="1461"/>
      <c r="VHP61" s="1462"/>
      <c r="VHQ61" s="1463"/>
      <c r="VHR61" s="1459"/>
      <c r="VHS61" s="1459"/>
      <c r="VHT61" s="1460"/>
      <c r="VHU61" s="1461"/>
      <c r="VHV61" s="1462"/>
      <c r="VHW61" s="1463"/>
      <c r="VHX61" s="1459"/>
      <c r="VHY61" s="1459"/>
      <c r="VHZ61" s="1460"/>
      <c r="VIA61" s="1461"/>
      <c r="VIB61" s="1462"/>
      <c r="VIC61" s="1463"/>
      <c r="VID61" s="1459"/>
      <c r="VIE61" s="1459"/>
      <c r="VIF61" s="1460"/>
      <c r="VIG61" s="1461"/>
      <c r="VIH61" s="1462"/>
      <c r="VII61" s="1463"/>
      <c r="VIJ61" s="1459"/>
      <c r="VIK61" s="1459"/>
      <c r="VIL61" s="1460"/>
      <c r="VIM61" s="1461"/>
      <c r="VIN61" s="1462"/>
      <c r="VIO61" s="1463"/>
      <c r="VIP61" s="1459"/>
      <c r="VIQ61" s="1459"/>
      <c r="VIR61" s="1460"/>
      <c r="VIS61" s="1461"/>
      <c r="VIT61" s="1462"/>
      <c r="VIU61" s="1463"/>
      <c r="VIV61" s="1459"/>
      <c r="VIW61" s="1459"/>
      <c r="VIX61" s="1460"/>
      <c r="VIY61" s="1461"/>
      <c r="VIZ61" s="1462"/>
      <c r="VJA61" s="1463"/>
      <c r="VJB61" s="1459"/>
      <c r="VJC61" s="1459"/>
      <c r="VJD61" s="1460"/>
      <c r="VJE61" s="1461"/>
      <c r="VJF61" s="1462"/>
      <c r="VJG61" s="1463"/>
      <c r="VJH61" s="1459"/>
      <c r="VJI61" s="1459"/>
      <c r="VJJ61" s="1460"/>
      <c r="VJK61" s="1461"/>
      <c r="VJL61" s="1462"/>
      <c r="VJM61" s="1463"/>
      <c r="VJN61" s="1459"/>
      <c r="VJO61" s="1459"/>
      <c r="VJP61" s="1460"/>
      <c r="VJQ61" s="1461"/>
      <c r="VJR61" s="1462"/>
      <c r="VJS61" s="1463"/>
      <c r="VJT61" s="1459"/>
      <c r="VJU61" s="1459"/>
      <c r="VJV61" s="1460"/>
      <c r="VJW61" s="1461"/>
      <c r="VJX61" s="1462"/>
      <c r="VJY61" s="1463"/>
      <c r="VJZ61" s="1459"/>
      <c r="VKA61" s="1459"/>
      <c r="VKB61" s="1460"/>
      <c r="VKC61" s="1461"/>
      <c r="VKD61" s="1462"/>
      <c r="VKE61" s="1463"/>
      <c r="VKF61" s="1459"/>
      <c r="VKG61" s="1459"/>
      <c r="VKH61" s="1460"/>
      <c r="VKI61" s="1461"/>
      <c r="VKJ61" s="1462"/>
      <c r="VKK61" s="1463"/>
      <c r="VKL61" s="1459"/>
      <c r="VKM61" s="1459"/>
      <c r="VKN61" s="1460"/>
      <c r="VKO61" s="1461"/>
      <c r="VKP61" s="1462"/>
      <c r="VKQ61" s="1463"/>
      <c r="VKR61" s="1459"/>
      <c r="VKS61" s="1459"/>
      <c r="VKT61" s="1460"/>
      <c r="VKU61" s="1461"/>
      <c r="VKV61" s="1462"/>
      <c r="VKW61" s="1463"/>
      <c r="VKX61" s="1459"/>
      <c r="VKY61" s="1459"/>
      <c r="VKZ61" s="1460"/>
      <c r="VLA61" s="1461"/>
      <c r="VLB61" s="1462"/>
      <c r="VLC61" s="1463"/>
      <c r="VLD61" s="1459"/>
      <c r="VLE61" s="1459"/>
      <c r="VLF61" s="1460"/>
      <c r="VLG61" s="1461"/>
      <c r="VLH61" s="1462"/>
      <c r="VLI61" s="1463"/>
      <c r="VLJ61" s="1459"/>
      <c r="VLK61" s="1459"/>
      <c r="VLL61" s="1460"/>
      <c r="VLM61" s="1461"/>
      <c r="VLN61" s="1462"/>
      <c r="VLO61" s="1463"/>
      <c r="VLP61" s="1459"/>
      <c r="VLQ61" s="1459"/>
      <c r="VLR61" s="1460"/>
      <c r="VLS61" s="1461"/>
      <c r="VLT61" s="1462"/>
      <c r="VLU61" s="1463"/>
      <c r="VLV61" s="1459"/>
      <c r="VLW61" s="1459"/>
      <c r="VLX61" s="1460"/>
      <c r="VLY61" s="1461"/>
      <c r="VLZ61" s="1462"/>
      <c r="VMA61" s="1463"/>
      <c r="VMB61" s="1459"/>
      <c r="VMC61" s="1459"/>
      <c r="VMD61" s="1460"/>
      <c r="VME61" s="1461"/>
      <c r="VMF61" s="1462"/>
      <c r="VMG61" s="1463"/>
      <c r="VMH61" s="1459"/>
      <c r="VMI61" s="1459"/>
      <c r="VMJ61" s="1460"/>
      <c r="VMK61" s="1461"/>
      <c r="VML61" s="1462"/>
      <c r="VMM61" s="1463"/>
      <c r="VMN61" s="1459"/>
      <c r="VMO61" s="1459"/>
      <c r="VMP61" s="1460"/>
      <c r="VMQ61" s="1461"/>
      <c r="VMR61" s="1462"/>
      <c r="VMS61" s="1463"/>
      <c r="VMT61" s="1459"/>
      <c r="VMU61" s="1459"/>
      <c r="VMV61" s="1460"/>
      <c r="VMW61" s="1461"/>
      <c r="VMX61" s="1462"/>
      <c r="VMY61" s="1463"/>
      <c r="VMZ61" s="1459"/>
      <c r="VNA61" s="1459"/>
      <c r="VNB61" s="1460"/>
      <c r="VNC61" s="1461"/>
      <c r="VND61" s="1462"/>
      <c r="VNE61" s="1463"/>
      <c r="VNF61" s="1459"/>
      <c r="VNG61" s="1459"/>
      <c r="VNH61" s="1460"/>
      <c r="VNI61" s="1461"/>
      <c r="VNJ61" s="1462"/>
      <c r="VNK61" s="1463"/>
      <c r="VNL61" s="1459"/>
      <c r="VNM61" s="1459"/>
      <c r="VNN61" s="1460"/>
      <c r="VNO61" s="1461"/>
      <c r="VNP61" s="1462"/>
      <c r="VNQ61" s="1463"/>
      <c r="VNR61" s="1459"/>
      <c r="VNS61" s="1459"/>
      <c r="VNT61" s="1460"/>
      <c r="VNU61" s="1461"/>
      <c r="VNV61" s="1462"/>
      <c r="VNW61" s="1463"/>
      <c r="VNX61" s="1459"/>
      <c r="VNY61" s="1459"/>
      <c r="VNZ61" s="1460"/>
      <c r="VOA61" s="1461"/>
      <c r="VOB61" s="1462"/>
      <c r="VOC61" s="1463"/>
      <c r="VOD61" s="1459"/>
      <c r="VOE61" s="1459"/>
      <c r="VOF61" s="1460"/>
      <c r="VOG61" s="1461"/>
      <c r="VOH61" s="1462"/>
      <c r="VOI61" s="1463"/>
      <c r="VOJ61" s="1459"/>
      <c r="VOK61" s="1459"/>
      <c r="VOL61" s="1460"/>
      <c r="VOM61" s="1461"/>
      <c r="VON61" s="1462"/>
      <c r="VOO61" s="1463"/>
      <c r="VOP61" s="1459"/>
      <c r="VOQ61" s="1459"/>
      <c r="VOR61" s="1460"/>
      <c r="VOS61" s="1461"/>
      <c r="VOT61" s="1462"/>
      <c r="VOU61" s="1463"/>
      <c r="VOV61" s="1459"/>
      <c r="VOW61" s="1459"/>
      <c r="VOX61" s="1460"/>
      <c r="VOY61" s="1461"/>
      <c r="VOZ61" s="1462"/>
      <c r="VPA61" s="1463"/>
      <c r="VPB61" s="1459"/>
      <c r="VPC61" s="1459"/>
      <c r="VPD61" s="1460"/>
      <c r="VPE61" s="1461"/>
      <c r="VPF61" s="1462"/>
      <c r="VPG61" s="1463"/>
      <c r="VPH61" s="1459"/>
      <c r="VPI61" s="1459"/>
      <c r="VPJ61" s="1460"/>
      <c r="VPK61" s="1461"/>
      <c r="VPL61" s="1462"/>
      <c r="VPM61" s="1463"/>
      <c r="VPN61" s="1459"/>
      <c r="VPO61" s="1459"/>
      <c r="VPP61" s="1460"/>
      <c r="VPQ61" s="1461"/>
      <c r="VPR61" s="1462"/>
      <c r="VPS61" s="1463"/>
      <c r="VPT61" s="1459"/>
      <c r="VPU61" s="1459"/>
      <c r="VPV61" s="1460"/>
      <c r="VPW61" s="1461"/>
      <c r="VPX61" s="1462"/>
      <c r="VPY61" s="1463"/>
      <c r="VPZ61" s="1459"/>
      <c r="VQA61" s="1459"/>
      <c r="VQB61" s="1460"/>
      <c r="VQC61" s="1461"/>
      <c r="VQD61" s="1462"/>
      <c r="VQE61" s="1463"/>
      <c r="VQF61" s="1459"/>
      <c r="VQG61" s="1459"/>
      <c r="VQH61" s="1460"/>
      <c r="VQI61" s="1461"/>
      <c r="VQJ61" s="1462"/>
      <c r="VQK61" s="1463"/>
      <c r="VQL61" s="1459"/>
      <c r="VQM61" s="1459"/>
      <c r="VQN61" s="1460"/>
      <c r="VQO61" s="1461"/>
      <c r="VQP61" s="1462"/>
      <c r="VQQ61" s="1463"/>
      <c r="VQR61" s="1459"/>
      <c r="VQS61" s="1459"/>
      <c r="VQT61" s="1460"/>
      <c r="VQU61" s="1461"/>
      <c r="VQV61" s="1462"/>
      <c r="VQW61" s="1463"/>
      <c r="VQX61" s="1459"/>
      <c r="VQY61" s="1459"/>
      <c r="VQZ61" s="1460"/>
      <c r="VRA61" s="1461"/>
      <c r="VRB61" s="1462"/>
      <c r="VRC61" s="1463"/>
      <c r="VRD61" s="1459"/>
      <c r="VRE61" s="1459"/>
      <c r="VRF61" s="1460"/>
      <c r="VRG61" s="1461"/>
      <c r="VRH61" s="1462"/>
      <c r="VRI61" s="1463"/>
      <c r="VRJ61" s="1459"/>
      <c r="VRK61" s="1459"/>
      <c r="VRL61" s="1460"/>
      <c r="VRM61" s="1461"/>
      <c r="VRN61" s="1462"/>
      <c r="VRO61" s="1463"/>
      <c r="VRP61" s="1459"/>
      <c r="VRQ61" s="1459"/>
      <c r="VRR61" s="1460"/>
      <c r="VRS61" s="1461"/>
      <c r="VRT61" s="1462"/>
      <c r="VRU61" s="1463"/>
      <c r="VRV61" s="1459"/>
      <c r="VRW61" s="1459"/>
      <c r="VRX61" s="1460"/>
      <c r="VRY61" s="1461"/>
      <c r="VRZ61" s="1462"/>
      <c r="VSA61" s="1463"/>
      <c r="VSB61" s="1459"/>
      <c r="VSC61" s="1459"/>
      <c r="VSD61" s="1460"/>
      <c r="VSE61" s="1461"/>
      <c r="VSF61" s="1462"/>
      <c r="VSG61" s="1463"/>
      <c r="VSH61" s="1459"/>
      <c r="VSI61" s="1459"/>
      <c r="VSJ61" s="1460"/>
      <c r="VSK61" s="1461"/>
      <c r="VSL61" s="1462"/>
      <c r="VSM61" s="1463"/>
      <c r="VSN61" s="1459"/>
      <c r="VSO61" s="1459"/>
      <c r="VSP61" s="1460"/>
      <c r="VSQ61" s="1461"/>
      <c r="VSR61" s="1462"/>
      <c r="VSS61" s="1463"/>
      <c r="VST61" s="1459"/>
      <c r="VSU61" s="1459"/>
      <c r="VSV61" s="1460"/>
      <c r="VSW61" s="1461"/>
      <c r="VSX61" s="1462"/>
      <c r="VSY61" s="1463"/>
      <c r="VSZ61" s="1459"/>
      <c r="VTA61" s="1459"/>
      <c r="VTB61" s="1460"/>
      <c r="VTC61" s="1461"/>
      <c r="VTD61" s="1462"/>
      <c r="VTE61" s="1463"/>
      <c r="VTF61" s="1459"/>
      <c r="VTG61" s="1459"/>
      <c r="VTH61" s="1460"/>
      <c r="VTI61" s="1461"/>
      <c r="VTJ61" s="1462"/>
      <c r="VTK61" s="1463"/>
      <c r="VTL61" s="1459"/>
      <c r="VTM61" s="1459"/>
      <c r="VTN61" s="1460"/>
      <c r="VTO61" s="1461"/>
      <c r="VTP61" s="1462"/>
      <c r="VTQ61" s="1463"/>
      <c r="VTR61" s="1459"/>
      <c r="VTS61" s="1459"/>
      <c r="VTT61" s="1460"/>
      <c r="VTU61" s="1461"/>
      <c r="VTV61" s="1462"/>
      <c r="VTW61" s="1463"/>
      <c r="VTX61" s="1459"/>
      <c r="VTY61" s="1459"/>
      <c r="VTZ61" s="1460"/>
      <c r="VUA61" s="1461"/>
      <c r="VUB61" s="1462"/>
      <c r="VUC61" s="1463"/>
      <c r="VUD61" s="1459"/>
      <c r="VUE61" s="1459"/>
      <c r="VUF61" s="1460"/>
      <c r="VUG61" s="1461"/>
      <c r="VUH61" s="1462"/>
      <c r="VUI61" s="1463"/>
      <c r="VUJ61" s="1459"/>
      <c r="VUK61" s="1459"/>
      <c r="VUL61" s="1460"/>
      <c r="VUM61" s="1461"/>
      <c r="VUN61" s="1462"/>
      <c r="VUO61" s="1463"/>
      <c r="VUP61" s="1459"/>
      <c r="VUQ61" s="1459"/>
      <c r="VUR61" s="1460"/>
      <c r="VUS61" s="1461"/>
      <c r="VUT61" s="1462"/>
      <c r="VUU61" s="1463"/>
      <c r="VUV61" s="1459"/>
      <c r="VUW61" s="1459"/>
      <c r="VUX61" s="1460"/>
      <c r="VUY61" s="1461"/>
      <c r="VUZ61" s="1462"/>
      <c r="VVA61" s="1463"/>
      <c r="VVB61" s="1459"/>
      <c r="VVC61" s="1459"/>
      <c r="VVD61" s="1460"/>
      <c r="VVE61" s="1461"/>
      <c r="VVF61" s="1462"/>
      <c r="VVG61" s="1463"/>
      <c r="VVH61" s="1459"/>
      <c r="VVI61" s="1459"/>
      <c r="VVJ61" s="1460"/>
      <c r="VVK61" s="1461"/>
      <c r="VVL61" s="1462"/>
      <c r="VVM61" s="1463"/>
      <c r="VVN61" s="1459"/>
      <c r="VVO61" s="1459"/>
      <c r="VVP61" s="1460"/>
      <c r="VVQ61" s="1461"/>
      <c r="VVR61" s="1462"/>
      <c r="VVS61" s="1463"/>
      <c r="VVT61" s="1459"/>
      <c r="VVU61" s="1459"/>
      <c r="VVV61" s="1460"/>
      <c r="VVW61" s="1461"/>
      <c r="VVX61" s="1462"/>
      <c r="VVY61" s="1463"/>
      <c r="VVZ61" s="1459"/>
      <c r="VWA61" s="1459"/>
      <c r="VWB61" s="1460"/>
      <c r="VWC61" s="1461"/>
      <c r="VWD61" s="1462"/>
      <c r="VWE61" s="1463"/>
      <c r="VWF61" s="1459"/>
      <c r="VWG61" s="1459"/>
      <c r="VWH61" s="1460"/>
      <c r="VWI61" s="1461"/>
      <c r="VWJ61" s="1462"/>
      <c r="VWK61" s="1463"/>
      <c r="VWL61" s="1459"/>
      <c r="VWM61" s="1459"/>
      <c r="VWN61" s="1460"/>
      <c r="VWO61" s="1461"/>
      <c r="VWP61" s="1462"/>
      <c r="VWQ61" s="1463"/>
      <c r="VWR61" s="1459"/>
      <c r="VWS61" s="1459"/>
      <c r="VWT61" s="1460"/>
      <c r="VWU61" s="1461"/>
      <c r="VWV61" s="1462"/>
      <c r="VWW61" s="1463"/>
      <c r="VWX61" s="1459"/>
      <c r="VWY61" s="1459"/>
      <c r="VWZ61" s="1460"/>
      <c r="VXA61" s="1461"/>
      <c r="VXB61" s="1462"/>
      <c r="VXC61" s="1463"/>
      <c r="VXD61" s="1459"/>
      <c r="VXE61" s="1459"/>
      <c r="VXF61" s="1460"/>
      <c r="VXG61" s="1461"/>
      <c r="VXH61" s="1462"/>
      <c r="VXI61" s="1463"/>
      <c r="VXJ61" s="1459"/>
      <c r="VXK61" s="1459"/>
      <c r="VXL61" s="1460"/>
      <c r="VXM61" s="1461"/>
      <c r="VXN61" s="1462"/>
      <c r="VXO61" s="1463"/>
      <c r="VXP61" s="1459"/>
      <c r="VXQ61" s="1459"/>
      <c r="VXR61" s="1460"/>
      <c r="VXS61" s="1461"/>
      <c r="VXT61" s="1462"/>
      <c r="VXU61" s="1463"/>
      <c r="VXV61" s="1459"/>
      <c r="VXW61" s="1459"/>
      <c r="VXX61" s="1460"/>
      <c r="VXY61" s="1461"/>
      <c r="VXZ61" s="1462"/>
      <c r="VYA61" s="1463"/>
      <c r="VYB61" s="1459"/>
      <c r="VYC61" s="1459"/>
      <c r="VYD61" s="1460"/>
      <c r="VYE61" s="1461"/>
      <c r="VYF61" s="1462"/>
      <c r="VYG61" s="1463"/>
      <c r="VYH61" s="1459"/>
      <c r="VYI61" s="1459"/>
      <c r="VYJ61" s="1460"/>
      <c r="VYK61" s="1461"/>
      <c r="VYL61" s="1462"/>
      <c r="VYM61" s="1463"/>
      <c r="VYN61" s="1459"/>
      <c r="VYO61" s="1459"/>
      <c r="VYP61" s="1460"/>
      <c r="VYQ61" s="1461"/>
      <c r="VYR61" s="1462"/>
      <c r="VYS61" s="1463"/>
      <c r="VYT61" s="1459"/>
      <c r="VYU61" s="1459"/>
      <c r="VYV61" s="1460"/>
      <c r="VYW61" s="1461"/>
      <c r="VYX61" s="1462"/>
      <c r="VYY61" s="1463"/>
      <c r="VYZ61" s="1459"/>
      <c r="VZA61" s="1459"/>
      <c r="VZB61" s="1460"/>
      <c r="VZC61" s="1461"/>
      <c r="VZD61" s="1462"/>
      <c r="VZE61" s="1463"/>
      <c r="VZF61" s="1459"/>
      <c r="VZG61" s="1459"/>
      <c r="VZH61" s="1460"/>
      <c r="VZI61" s="1461"/>
      <c r="VZJ61" s="1462"/>
      <c r="VZK61" s="1463"/>
      <c r="VZL61" s="1459"/>
      <c r="VZM61" s="1459"/>
      <c r="VZN61" s="1460"/>
      <c r="VZO61" s="1461"/>
      <c r="VZP61" s="1462"/>
      <c r="VZQ61" s="1463"/>
      <c r="VZR61" s="1459"/>
      <c r="VZS61" s="1459"/>
      <c r="VZT61" s="1460"/>
      <c r="VZU61" s="1461"/>
      <c r="VZV61" s="1462"/>
      <c r="VZW61" s="1463"/>
      <c r="VZX61" s="1459"/>
      <c r="VZY61" s="1459"/>
      <c r="VZZ61" s="1460"/>
      <c r="WAA61" s="1461"/>
      <c r="WAB61" s="1462"/>
      <c r="WAC61" s="1463"/>
      <c r="WAD61" s="1459"/>
      <c r="WAE61" s="1459"/>
      <c r="WAF61" s="1460"/>
      <c r="WAG61" s="1461"/>
      <c r="WAH61" s="1462"/>
      <c r="WAI61" s="1463"/>
      <c r="WAJ61" s="1459"/>
      <c r="WAK61" s="1459"/>
      <c r="WAL61" s="1460"/>
      <c r="WAM61" s="1461"/>
      <c r="WAN61" s="1462"/>
      <c r="WAO61" s="1463"/>
      <c r="WAP61" s="1459"/>
      <c r="WAQ61" s="1459"/>
      <c r="WAR61" s="1460"/>
      <c r="WAS61" s="1461"/>
      <c r="WAT61" s="1462"/>
      <c r="WAU61" s="1463"/>
      <c r="WAV61" s="1459"/>
      <c r="WAW61" s="1459"/>
      <c r="WAX61" s="1460"/>
      <c r="WAY61" s="1461"/>
      <c r="WAZ61" s="1462"/>
      <c r="WBA61" s="1463"/>
      <c r="WBB61" s="1459"/>
      <c r="WBC61" s="1459"/>
      <c r="WBD61" s="1460"/>
      <c r="WBE61" s="1461"/>
      <c r="WBF61" s="1462"/>
      <c r="WBG61" s="1463"/>
      <c r="WBH61" s="1459"/>
      <c r="WBI61" s="1459"/>
      <c r="WBJ61" s="1460"/>
      <c r="WBK61" s="1461"/>
      <c r="WBL61" s="1462"/>
      <c r="WBM61" s="1463"/>
      <c r="WBN61" s="1459"/>
      <c r="WBO61" s="1459"/>
      <c r="WBP61" s="1460"/>
      <c r="WBQ61" s="1461"/>
      <c r="WBR61" s="1462"/>
      <c r="WBS61" s="1463"/>
      <c r="WBT61" s="1459"/>
      <c r="WBU61" s="1459"/>
      <c r="WBV61" s="1460"/>
      <c r="WBW61" s="1461"/>
      <c r="WBX61" s="1462"/>
      <c r="WBY61" s="1463"/>
      <c r="WBZ61" s="1459"/>
      <c r="WCA61" s="1459"/>
      <c r="WCB61" s="1460"/>
      <c r="WCC61" s="1461"/>
      <c r="WCD61" s="1462"/>
      <c r="WCE61" s="1463"/>
      <c r="WCF61" s="1459"/>
      <c r="WCG61" s="1459"/>
      <c r="WCH61" s="1460"/>
      <c r="WCI61" s="1461"/>
      <c r="WCJ61" s="1462"/>
      <c r="WCK61" s="1463"/>
      <c r="WCL61" s="1459"/>
      <c r="WCM61" s="1459"/>
      <c r="WCN61" s="1460"/>
      <c r="WCO61" s="1461"/>
      <c r="WCP61" s="1462"/>
      <c r="WCQ61" s="1463"/>
      <c r="WCR61" s="1459"/>
      <c r="WCS61" s="1459"/>
      <c r="WCT61" s="1460"/>
      <c r="WCU61" s="1461"/>
      <c r="WCV61" s="1462"/>
      <c r="WCW61" s="1463"/>
      <c r="WCX61" s="1459"/>
      <c r="WCY61" s="1459"/>
      <c r="WCZ61" s="1460"/>
      <c r="WDA61" s="1461"/>
      <c r="WDB61" s="1462"/>
      <c r="WDC61" s="1463"/>
      <c r="WDD61" s="1459"/>
      <c r="WDE61" s="1459"/>
      <c r="WDF61" s="1460"/>
      <c r="WDG61" s="1461"/>
      <c r="WDH61" s="1462"/>
      <c r="WDI61" s="1463"/>
      <c r="WDJ61" s="1459"/>
      <c r="WDK61" s="1459"/>
      <c r="WDL61" s="1460"/>
      <c r="WDM61" s="1461"/>
      <c r="WDN61" s="1462"/>
      <c r="WDO61" s="1463"/>
      <c r="WDP61" s="1459"/>
      <c r="WDQ61" s="1459"/>
      <c r="WDR61" s="1460"/>
      <c r="WDS61" s="1461"/>
      <c r="WDT61" s="1462"/>
      <c r="WDU61" s="1463"/>
      <c r="WDV61" s="1459"/>
      <c r="WDW61" s="1459"/>
      <c r="WDX61" s="1460"/>
      <c r="WDY61" s="1461"/>
      <c r="WDZ61" s="1462"/>
      <c r="WEA61" s="1463"/>
      <c r="WEB61" s="1459"/>
      <c r="WEC61" s="1459"/>
      <c r="WED61" s="1460"/>
      <c r="WEE61" s="1461"/>
      <c r="WEF61" s="1462"/>
      <c r="WEG61" s="1463"/>
      <c r="WEH61" s="1459"/>
      <c r="WEI61" s="1459"/>
      <c r="WEJ61" s="1460"/>
      <c r="WEK61" s="1461"/>
      <c r="WEL61" s="1462"/>
      <c r="WEM61" s="1463"/>
      <c r="WEN61" s="1459"/>
      <c r="WEO61" s="1459"/>
      <c r="WEP61" s="1460"/>
      <c r="WEQ61" s="1461"/>
      <c r="WER61" s="1462"/>
      <c r="WES61" s="1463"/>
      <c r="WET61" s="1459"/>
      <c r="WEU61" s="1459"/>
      <c r="WEV61" s="1460"/>
      <c r="WEW61" s="1461"/>
      <c r="WEX61" s="1462"/>
      <c r="WEY61" s="1463"/>
      <c r="WEZ61" s="1459"/>
      <c r="WFA61" s="1459"/>
      <c r="WFB61" s="1460"/>
      <c r="WFC61" s="1461"/>
      <c r="WFD61" s="1462"/>
      <c r="WFE61" s="1463"/>
      <c r="WFF61" s="1459"/>
      <c r="WFG61" s="1459"/>
      <c r="WFH61" s="1460"/>
      <c r="WFI61" s="1461"/>
      <c r="WFJ61" s="1462"/>
      <c r="WFK61" s="1463"/>
      <c r="WFL61" s="1459"/>
      <c r="WFM61" s="1459"/>
      <c r="WFN61" s="1460"/>
      <c r="WFO61" s="1461"/>
      <c r="WFP61" s="1462"/>
      <c r="WFQ61" s="1463"/>
      <c r="WFR61" s="1459"/>
      <c r="WFS61" s="1459"/>
      <c r="WFT61" s="1460"/>
      <c r="WFU61" s="1461"/>
      <c r="WFV61" s="1462"/>
      <c r="WFW61" s="1463"/>
      <c r="WFX61" s="1459"/>
      <c r="WFY61" s="1459"/>
      <c r="WFZ61" s="1460"/>
      <c r="WGA61" s="1461"/>
      <c r="WGB61" s="1462"/>
      <c r="WGC61" s="1463"/>
      <c r="WGD61" s="1459"/>
      <c r="WGE61" s="1459"/>
      <c r="WGF61" s="1460"/>
      <c r="WGG61" s="1461"/>
      <c r="WGH61" s="1462"/>
      <c r="WGI61" s="1463"/>
      <c r="WGJ61" s="1459"/>
      <c r="WGK61" s="1459"/>
      <c r="WGL61" s="1460"/>
      <c r="WGM61" s="1461"/>
      <c r="WGN61" s="1462"/>
      <c r="WGO61" s="1463"/>
      <c r="WGP61" s="1459"/>
      <c r="WGQ61" s="1459"/>
      <c r="WGR61" s="1460"/>
      <c r="WGS61" s="1461"/>
      <c r="WGT61" s="1462"/>
      <c r="WGU61" s="1463"/>
      <c r="WGV61" s="1459"/>
      <c r="WGW61" s="1459"/>
      <c r="WGX61" s="1460"/>
      <c r="WGY61" s="1461"/>
      <c r="WGZ61" s="1462"/>
      <c r="WHA61" s="1463"/>
      <c r="WHB61" s="1459"/>
      <c r="WHC61" s="1459"/>
      <c r="WHD61" s="1460"/>
      <c r="WHE61" s="1461"/>
      <c r="WHF61" s="1462"/>
      <c r="WHG61" s="1463"/>
      <c r="WHH61" s="1459"/>
      <c r="WHI61" s="1459"/>
      <c r="WHJ61" s="1460"/>
      <c r="WHK61" s="1461"/>
      <c r="WHL61" s="1462"/>
      <c r="WHM61" s="1463"/>
      <c r="WHN61" s="1459"/>
      <c r="WHO61" s="1459"/>
      <c r="WHP61" s="1460"/>
      <c r="WHQ61" s="1461"/>
      <c r="WHR61" s="1462"/>
      <c r="WHS61" s="1463"/>
      <c r="WHT61" s="1459"/>
      <c r="WHU61" s="1459"/>
      <c r="WHV61" s="1460"/>
      <c r="WHW61" s="1461"/>
      <c r="WHX61" s="1462"/>
      <c r="WHY61" s="1463"/>
      <c r="WHZ61" s="1459"/>
      <c r="WIA61" s="1459"/>
      <c r="WIB61" s="1460"/>
      <c r="WIC61" s="1461"/>
      <c r="WID61" s="1462"/>
      <c r="WIE61" s="1463"/>
      <c r="WIF61" s="1459"/>
      <c r="WIG61" s="1459"/>
      <c r="WIH61" s="1460"/>
      <c r="WII61" s="1461"/>
      <c r="WIJ61" s="1462"/>
      <c r="WIK61" s="1463"/>
      <c r="WIL61" s="1459"/>
      <c r="WIM61" s="1459"/>
      <c r="WIN61" s="1460"/>
      <c r="WIO61" s="1461"/>
      <c r="WIP61" s="1462"/>
      <c r="WIQ61" s="1463"/>
      <c r="WIR61" s="1459"/>
      <c r="WIS61" s="1459"/>
      <c r="WIT61" s="1460"/>
      <c r="WIU61" s="1461"/>
      <c r="WIV61" s="1462"/>
      <c r="WIW61" s="1463"/>
      <c r="WIX61" s="1459"/>
      <c r="WIY61" s="1459"/>
      <c r="WIZ61" s="1460"/>
      <c r="WJA61" s="1461"/>
      <c r="WJB61" s="1462"/>
      <c r="WJC61" s="1463"/>
      <c r="WJD61" s="1459"/>
      <c r="WJE61" s="1459"/>
      <c r="WJF61" s="1460"/>
      <c r="WJG61" s="1461"/>
      <c r="WJH61" s="1462"/>
      <c r="WJI61" s="1463"/>
      <c r="WJJ61" s="1459"/>
      <c r="WJK61" s="1459"/>
      <c r="WJL61" s="1460"/>
      <c r="WJM61" s="1461"/>
      <c r="WJN61" s="1462"/>
      <c r="WJO61" s="1463"/>
      <c r="WJP61" s="1459"/>
      <c r="WJQ61" s="1459"/>
      <c r="WJR61" s="1460"/>
      <c r="WJS61" s="1461"/>
      <c r="WJT61" s="1462"/>
      <c r="WJU61" s="1463"/>
      <c r="WJV61" s="1459"/>
      <c r="WJW61" s="1459"/>
      <c r="WJX61" s="1460"/>
      <c r="WJY61" s="1461"/>
      <c r="WJZ61" s="1462"/>
      <c r="WKA61" s="1463"/>
      <c r="WKB61" s="1459"/>
      <c r="WKC61" s="1459"/>
      <c r="WKD61" s="1460"/>
      <c r="WKE61" s="1461"/>
      <c r="WKF61" s="1462"/>
      <c r="WKG61" s="1463"/>
      <c r="WKH61" s="1459"/>
      <c r="WKI61" s="1459"/>
      <c r="WKJ61" s="1460"/>
      <c r="WKK61" s="1461"/>
      <c r="WKL61" s="1462"/>
      <c r="WKM61" s="1463"/>
      <c r="WKN61" s="1459"/>
      <c r="WKO61" s="1459"/>
      <c r="WKP61" s="1460"/>
      <c r="WKQ61" s="1461"/>
      <c r="WKR61" s="1462"/>
      <c r="WKS61" s="1463"/>
      <c r="WKT61" s="1459"/>
      <c r="WKU61" s="1459"/>
      <c r="WKV61" s="1460"/>
      <c r="WKW61" s="1461"/>
      <c r="WKX61" s="1462"/>
      <c r="WKY61" s="1463"/>
      <c r="WKZ61" s="1459"/>
      <c r="WLA61" s="1459"/>
      <c r="WLB61" s="1460"/>
      <c r="WLC61" s="1461"/>
      <c r="WLD61" s="1462"/>
      <c r="WLE61" s="1463"/>
      <c r="WLF61" s="1459"/>
      <c r="WLG61" s="1459"/>
      <c r="WLH61" s="1460"/>
      <c r="WLI61" s="1461"/>
      <c r="WLJ61" s="1462"/>
      <c r="WLK61" s="1463"/>
      <c r="WLL61" s="1459"/>
      <c r="WLM61" s="1459"/>
      <c r="WLN61" s="1460"/>
      <c r="WLO61" s="1461"/>
      <c r="WLP61" s="1462"/>
      <c r="WLQ61" s="1463"/>
      <c r="WLR61" s="1459"/>
      <c r="WLS61" s="1459"/>
      <c r="WLT61" s="1460"/>
      <c r="WLU61" s="1461"/>
      <c r="WLV61" s="1462"/>
      <c r="WLW61" s="1463"/>
      <c r="WLX61" s="1459"/>
      <c r="WLY61" s="1459"/>
      <c r="WLZ61" s="1460"/>
      <c r="WMA61" s="1461"/>
      <c r="WMB61" s="1462"/>
      <c r="WMC61" s="1463"/>
      <c r="WMD61" s="1459"/>
      <c r="WME61" s="1459"/>
      <c r="WMF61" s="1460"/>
      <c r="WMG61" s="1461"/>
      <c r="WMH61" s="1462"/>
      <c r="WMI61" s="1463"/>
      <c r="WMJ61" s="1459"/>
      <c r="WMK61" s="1459"/>
      <c r="WML61" s="1460"/>
      <c r="WMM61" s="1461"/>
      <c r="WMN61" s="1462"/>
      <c r="WMO61" s="1463"/>
      <c r="WMP61" s="1459"/>
      <c r="WMQ61" s="1459"/>
      <c r="WMR61" s="1460"/>
      <c r="WMS61" s="1461"/>
      <c r="WMT61" s="1462"/>
      <c r="WMU61" s="1463"/>
      <c r="WMV61" s="1459"/>
      <c r="WMW61" s="1459"/>
      <c r="WMX61" s="1460"/>
      <c r="WMY61" s="1461"/>
      <c r="WMZ61" s="1462"/>
      <c r="WNA61" s="1463"/>
      <c r="WNB61" s="1459"/>
      <c r="WNC61" s="1459"/>
      <c r="WND61" s="1460"/>
      <c r="WNE61" s="1461"/>
      <c r="WNF61" s="1462"/>
      <c r="WNG61" s="1463"/>
      <c r="WNH61" s="1459"/>
      <c r="WNI61" s="1459"/>
      <c r="WNJ61" s="1460"/>
      <c r="WNK61" s="1461"/>
      <c r="WNL61" s="1462"/>
      <c r="WNM61" s="1463"/>
      <c r="WNN61" s="1459"/>
      <c r="WNO61" s="1459"/>
      <c r="WNP61" s="1460"/>
      <c r="WNQ61" s="1461"/>
      <c r="WNR61" s="1462"/>
      <c r="WNS61" s="1463"/>
      <c r="WNT61" s="1459"/>
      <c r="WNU61" s="1459"/>
      <c r="WNV61" s="1460"/>
      <c r="WNW61" s="1461"/>
      <c r="WNX61" s="1462"/>
      <c r="WNY61" s="1463"/>
      <c r="WNZ61" s="1459"/>
      <c r="WOA61" s="1459"/>
      <c r="WOB61" s="1460"/>
      <c r="WOC61" s="1461"/>
      <c r="WOD61" s="1462"/>
      <c r="WOE61" s="1463"/>
      <c r="WOF61" s="1459"/>
      <c r="WOG61" s="1459"/>
      <c r="WOH61" s="1460"/>
      <c r="WOI61" s="1461"/>
      <c r="WOJ61" s="1462"/>
      <c r="WOK61" s="1463"/>
      <c r="WOL61" s="1459"/>
      <c r="WOM61" s="1459"/>
      <c r="WON61" s="1460"/>
      <c r="WOO61" s="1461"/>
      <c r="WOP61" s="1462"/>
      <c r="WOQ61" s="1463"/>
      <c r="WOR61" s="1459"/>
      <c r="WOS61" s="1459"/>
      <c r="WOT61" s="1460"/>
      <c r="WOU61" s="1461"/>
      <c r="WOV61" s="1462"/>
      <c r="WOW61" s="1463"/>
      <c r="WOX61" s="1459"/>
      <c r="WOY61" s="1459"/>
      <c r="WOZ61" s="1460"/>
      <c r="WPA61" s="1461"/>
      <c r="WPB61" s="1462"/>
      <c r="WPC61" s="1463"/>
      <c r="WPD61" s="1459"/>
      <c r="WPE61" s="1459"/>
      <c r="WPF61" s="1460"/>
      <c r="WPG61" s="1461"/>
      <c r="WPH61" s="1462"/>
      <c r="WPI61" s="1463"/>
      <c r="WPJ61" s="1459"/>
      <c r="WPK61" s="1459"/>
      <c r="WPL61" s="1460"/>
      <c r="WPM61" s="1461"/>
      <c r="WPN61" s="1462"/>
      <c r="WPO61" s="1463"/>
      <c r="WPP61" s="1459"/>
      <c r="WPQ61" s="1459"/>
      <c r="WPR61" s="1460"/>
      <c r="WPS61" s="1461"/>
      <c r="WPT61" s="1462"/>
      <c r="WPU61" s="1463"/>
      <c r="WPV61" s="1459"/>
      <c r="WPW61" s="1459"/>
      <c r="WPX61" s="1460"/>
      <c r="WPY61" s="1461"/>
      <c r="WPZ61" s="1462"/>
      <c r="WQA61" s="1463"/>
      <c r="WQB61" s="1459"/>
      <c r="WQC61" s="1459"/>
      <c r="WQD61" s="1460"/>
      <c r="WQE61" s="1461"/>
      <c r="WQF61" s="1462"/>
      <c r="WQG61" s="1463"/>
      <c r="WQH61" s="1459"/>
      <c r="WQI61" s="1459"/>
      <c r="WQJ61" s="1460"/>
      <c r="WQK61" s="1461"/>
      <c r="WQL61" s="1462"/>
      <c r="WQM61" s="1463"/>
      <c r="WQN61" s="1459"/>
      <c r="WQO61" s="1459"/>
      <c r="WQP61" s="1460"/>
      <c r="WQQ61" s="1461"/>
      <c r="WQR61" s="1462"/>
      <c r="WQS61" s="1463"/>
      <c r="WQT61" s="1459"/>
      <c r="WQU61" s="1459"/>
      <c r="WQV61" s="1460"/>
      <c r="WQW61" s="1461"/>
      <c r="WQX61" s="1462"/>
      <c r="WQY61" s="1463"/>
      <c r="WQZ61" s="1459"/>
      <c r="WRA61" s="1459"/>
      <c r="WRB61" s="1460"/>
      <c r="WRC61" s="1461"/>
      <c r="WRD61" s="1462"/>
      <c r="WRE61" s="1463"/>
      <c r="WRF61" s="1459"/>
      <c r="WRG61" s="1459"/>
      <c r="WRH61" s="1460"/>
      <c r="WRI61" s="1461"/>
      <c r="WRJ61" s="1462"/>
      <c r="WRK61" s="1463"/>
      <c r="WRL61" s="1459"/>
      <c r="WRM61" s="1459"/>
      <c r="WRN61" s="1460"/>
      <c r="WRO61" s="1461"/>
      <c r="WRP61" s="1462"/>
      <c r="WRQ61" s="1463"/>
      <c r="WRR61" s="1459"/>
      <c r="WRS61" s="1459"/>
      <c r="WRT61" s="1460"/>
      <c r="WRU61" s="1461"/>
      <c r="WRV61" s="1462"/>
      <c r="WRW61" s="1463"/>
      <c r="WRX61" s="1459"/>
      <c r="WRY61" s="1459"/>
      <c r="WRZ61" s="1460"/>
      <c r="WSA61" s="1461"/>
      <c r="WSB61" s="1462"/>
      <c r="WSC61" s="1463"/>
      <c r="WSD61" s="1459"/>
      <c r="WSE61" s="1459"/>
      <c r="WSF61" s="1460"/>
      <c r="WSG61" s="1461"/>
      <c r="WSH61" s="1462"/>
      <c r="WSI61" s="1463"/>
      <c r="WSJ61" s="1459"/>
      <c r="WSK61" s="1459"/>
      <c r="WSL61" s="1460"/>
      <c r="WSM61" s="1461"/>
      <c r="WSN61" s="1462"/>
      <c r="WSO61" s="1463"/>
      <c r="WSP61" s="1459"/>
      <c r="WSQ61" s="1459"/>
      <c r="WSR61" s="1460"/>
      <c r="WSS61" s="1461"/>
      <c r="WST61" s="1462"/>
      <c r="WSU61" s="1463"/>
      <c r="WSV61" s="1459"/>
      <c r="WSW61" s="1459"/>
      <c r="WSX61" s="1460"/>
      <c r="WSY61" s="1461"/>
      <c r="WSZ61" s="1462"/>
      <c r="WTA61" s="1463"/>
      <c r="WTB61" s="1459"/>
      <c r="WTC61" s="1459"/>
      <c r="WTD61" s="1460"/>
      <c r="WTE61" s="1461"/>
      <c r="WTF61" s="1462"/>
      <c r="WTG61" s="1463"/>
      <c r="WTH61" s="1459"/>
      <c r="WTI61" s="1459"/>
      <c r="WTJ61" s="1460"/>
      <c r="WTK61" s="1461"/>
      <c r="WTL61" s="1462"/>
      <c r="WTM61" s="1463"/>
      <c r="WTN61" s="1459"/>
      <c r="WTO61" s="1459"/>
      <c r="WTP61" s="1460"/>
      <c r="WTQ61" s="1461"/>
      <c r="WTR61" s="1462"/>
      <c r="WTS61" s="1463"/>
      <c r="WTT61" s="1459"/>
      <c r="WTU61" s="1459"/>
      <c r="WTV61" s="1460"/>
      <c r="WTW61" s="1461"/>
      <c r="WTX61" s="1462"/>
      <c r="WTY61" s="1463"/>
      <c r="WTZ61" s="1459"/>
      <c r="WUA61" s="1459"/>
      <c r="WUB61" s="1460"/>
      <c r="WUC61" s="1461"/>
      <c r="WUD61" s="1462"/>
      <c r="WUE61" s="1463"/>
      <c r="WUF61" s="1459"/>
      <c r="WUG61" s="1459"/>
      <c r="WUH61" s="1460"/>
      <c r="WUI61" s="1461"/>
      <c r="WUJ61" s="1462"/>
      <c r="WUK61" s="1463"/>
      <c r="WUL61" s="1459"/>
      <c r="WUM61" s="1459"/>
      <c r="WUN61" s="1460"/>
      <c r="WUO61" s="1461"/>
      <c r="WUP61" s="1462"/>
      <c r="WUQ61" s="1463"/>
      <c r="WUR61" s="1459"/>
      <c r="WUS61" s="1459"/>
      <c r="WUT61" s="1460"/>
      <c r="WUU61" s="1461"/>
      <c r="WUV61" s="1462"/>
      <c r="WUW61" s="1463"/>
      <c r="WUX61" s="1459"/>
      <c r="WUY61" s="1459"/>
      <c r="WUZ61" s="1460"/>
      <c r="WVA61" s="1461"/>
      <c r="WVB61" s="1462"/>
      <c r="WVC61" s="1463"/>
      <c r="WVD61" s="1459"/>
      <c r="WVE61" s="1459"/>
      <c r="WVF61" s="1460"/>
      <c r="WVG61" s="1461"/>
      <c r="WVH61" s="1462"/>
      <c r="WVI61" s="1463"/>
      <c r="WVJ61" s="1459"/>
      <c r="WVK61" s="1459"/>
      <c r="WVL61" s="1460"/>
      <c r="WVM61" s="1461"/>
      <c r="WVN61" s="1462"/>
      <c r="WVO61" s="1463"/>
      <c r="WVP61" s="1459"/>
      <c r="WVQ61" s="1459"/>
      <c r="WVR61" s="1460"/>
      <c r="WVS61" s="1461"/>
      <c r="WVT61" s="1462"/>
      <c r="WVU61" s="1463"/>
      <c r="WVV61" s="1459"/>
      <c r="WVW61" s="1459"/>
      <c r="WVX61" s="1460"/>
      <c r="WVY61" s="1461"/>
      <c r="WVZ61" s="1462"/>
      <c r="WWA61" s="1463"/>
      <c r="WWB61" s="1459"/>
      <c r="WWC61" s="1459"/>
      <c r="WWD61" s="1460"/>
      <c r="WWE61" s="1461"/>
      <c r="WWF61" s="1462"/>
      <c r="WWG61" s="1463"/>
      <c r="WWH61" s="1459"/>
      <c r="WWI61" s="1459"/>
      <c r="WWJ61" s="1460"/>
      <c r="WWK61" s="1461"/>
      <c r="WWL61" s="1462"/>
      <c r="WWM61" s="1463"/>
      <c r="WWN61" s="1459"/>
      <c r="WWO61" s="1459"/>
      <c r="WWP61" s="1460"/>
      <c r="WWQ61" s="1461"/>
      <c r="WWR61" s="1462"/>
      <c r="WWS61" s="1463"/>
      <c r="WWT61" s="1459"/>
      <c r="WWU61" s="1459"/>
      <c r="WWV61" s="1460"/>
      <c r="WWW61" s="1461"/>
      <c r="WWX61" s="1462"/>
      <c r="WWY61" s="1463"/>
      <c r="WWZ61" s="1459"/>
      <c r="WXA61" s="1459"/>
      <c r="WXB61" s="1460"/>
      <c r="WXC61" s="1461"/>
      <c r="WXD61" s="1462"/>
      <c r="WXE61" s="1463"/>
      <c r="WXF61" s="1459"/>
      <c r="WXG61" s="1459"/>
      <c r="WXH61" s="1460"/>
      <c r="WXI61" s="1461"/>
      <c r="WXJ61" s="1462"/>
      <c r="WXK61" s="1463"/>
      <c r="WXL61" s="1459"/>
      <c r="WXM61" s="1459"/>
      <c r="WXN61" s="1460"/>
      <c r="WXO61" s="1461"/>
      <c r="WXP61" s="1462"/>
      <c r="WXQ61" s="1463"/>
      <c r="WXR61" s="1459"/>
      <c r="WXS61" s="1459"/>
      <c r="WXT61" s="1460"/>
      <c r="WXU61" s="1461"/>
      <c r="WXV61" s="1462"/>
      <c r="WXW61" s="1463"/>
      <c r="WXX61" s="1459"/>
      <c r="WXY61" s="1459"/>
      <c r="WXZ61" s="1460"/>
      <c r="WYA61" s="1461"/>
      <c r="WYB61" s="1462"/>
      <c r="WYC61" s="1463"/>
      <c r="WYD61" s="1459"/>
      <c r="WYE61" s="1459"/>
      <c r="WYF61" s="1460"/>
      <c r="WYG61" s="1461"/>
      <c r="WYH61" s="1462"/>
      <c r="WYI61" s="1463"/>
      <c r="WYJ61" s="1459"/>
      <c r="WYK61" s="1459"/>
      <c r="WYL61" s="1460"/>
      <c r="WYM61" s="1461"/>
      <c r="WYN61" s="1462"/>
      <c r="WYO61" s="1463"/>
      <c r="WYP61" s="1459"/>
      <c r="WYQ61" s="1459"/>
      <c r="WYR61" s="1460"/>
      <c r="WYS61" s="1461"/>
      <c r="WYT61" s="1462"/>
      <c r="WYU61" s="1463"/>
      <c r="WYV61" s="1459"/>
      <c r="WYW61" s="1459"/>
      <c r="WYX61" s="1460"/>
      <c r="WYY61" s="1461"/>
      <c r="WYZ61" s="1462"/>
      <c r="WZA61" s="1463"/>
      <c r="WZB61" s="1459"/>
      <c r="WZC61" s="1459"/>
      <c r="WZD61" s="1460"/>
      <c r="WZE61" s="1461"/>
      <c r="WZF61" s="1462"/>
      <c r="WZG61" s="1463"/>
      <c r="WZH61" s="1459"/>
      <c r="WZI61" s="1459"/>
      <c r="WZJ61" s="1460"/>
      <c r="WZK61" s="1461"/>
      <c r="WZL61" s="1462"/>
      <c r="WZM61" s="1463"/>
      <c r="WZN61" s="1459"/>
      <c r="WZO61" s="1459"/>
      <c r="WZP61" s="1460"/>
      <c r="WZQ61" s="1461"/>
      <c r="WZR61" s="1462"/>
      <c r="WZS61" s="1463"/>
      <c r="WZT61" s="1459"/>
      <c r="WZU61" s="1459"/>
      <c r="WZV61" s="1460"/>
      <c r="WZW61" s="1461"/>
      <c r="WZX61" s="1462"/>
      <c r="WZY61" s="1463"/>
      <c r="WZZ61" s="1459"/>
      <c r="XAA61" s="1459"/>
      <c r="XAB61" s="1460"/>
      <c r="XAC61" s="1461"/>
      <c r="XAD61" s="1462"/>
      <c r="XAE61" s="1463"/>
      <c r="XAF61" s="1459"/>
      <c r="XAG61" s="1459"/>
      <c r="XAH61" s="1460"/>
      <c r="XAI61" s="1461"/>
      <c r="XAJ61" s="1462"/>
      <c r="XAK61" s="1463"/>
      <c r="XAL61" s="1459"/>
      <c r="XAM61" s="1459"/>
      <c r="XAN61" s="1460"/>
      <c r="XAO61" s="1461"/>
      <c r="XAP61" s="1462"/>
      <c r="XAQ61" s="1463"/>
      <c r="XAR61" s="1459"/>
      <c r="XAS61" s="1459"/>
      <c r="XAT61" s="1460"/>
      <c r="XAU61" s="1461"/>
      <c r="XAV61" s="1462"/>
      <c r="XAW61" s="1463"/>
      <c r="XAX61" s="1459"/>
      <c r="XAY61" s="1459"/>
      <c r="XAZ61" s="1460"/>
      <c r="XBA61" s="1461"/>
      <c r="XBB61" s="1462"/>
      <c r="XBC61" s="1463"/>
      <c r="XBD61" s="1459"/>
      <c r="XBE61" s="1459"/>
      <c r="XBF61" s="1460"/>
      <c r="XBG61" s="1461"/>
      <c r="XBH61" s="1462"/>
      <c r="XBI61" s="1463"/>
      <c r="XBJ61" s="1459"/>
      <c r="XBK61" s="1459"/>
      <c r="XBL61" s="1460"/>
      <c r="XBM61" s="1461"/>
      <c r="XBN61" s="1462"/>
      <c r="XBO61" s="1463"/>
      <c r="XBP61" s="1459"/>
      <c r="XBQ61" s="1459"/>
      <c r="XBR61" s="1460"/>
      <c r="XBS61" s="1461"/>
      <c r="XBT61" s="1462"/>
      <c r="XBU61" s="1463"/>
      <c r="XBV61" s="1459"/>
      <c r="XBW61" s="1459"/>
      <c r="XBX61" s="1460"/>
      <c r="XBY61" s="1461"/>
      <c r="XBZ61" s="1462"/>
      <c r="XCA61" s="1463"/>
      <c r="XCB61" s="1459"/>
      <c r="XCC61" s="1459"/>
      <c r="XCD61" s="1460"/>
      <c r="XCE61" s="1461"/>
      <c r="XCF61" s="1462"/>
      <c r="XCG61" s="1463"/>
      <c r="XCH61" s="1459"/>
      <c r="XCI61" s="1459"/>
      <c r="XCJ61" s="1460"/>
      <c r="XCK61" s="1461"/>
      <c r="XCL61" s="1462"/>
      <c r="XCM61" s="1463"/>
      <c r="XCN61" s="1459"/>
      <c r="XCO61" s="1459"/>
      <c r="XCP61" s="1460"/>
      <c r="XCQ61" s="1461"/>
      <c r="XCR61" s="1462"/>
      <c r="XCS61" s="1463"/>
      <c r="XCT61" s="1459"/>
      <c r="XCU61" s="1459"/>
      <c r="XCV61" s="1460"/>
      <c r="XCW61" s="1461"/>
      <c r="XCX61" s="1462"/>
      <c r="XCY61" s="1463"/>
      <c r="XCZ61" s="1459"/>
      <c r="XDA61" s="1459"/>
      <c r="XDB61" s="1460"/>
      <c r="XDC61" s="1461"/>
      <c r="XDD61" s="1462"/>
      <c r="XDE61" s="1463"/>
      <c r="XDF61" s="1459"/>
      <c r="XDG61" s="1459"/>
      <c r="XDH61" s="1460"/>
      <c r="XDI61" s="1461"/>
      <c r="XDJ61" s="1462"/>
      <c r="XDK61" s="1463"/>
      <c r="XDL61" s="1459"/>
      <c r="XDM61" s="1459"/>
      <c r="XDN61" s="1460"/>
      <c r="XDO61" s="1461"/>
      <c r="XDP61" s="1462"/>
      <c r="XDQ61" s="1463"/>
      <c r="XDR61" s="1459"/>
      <c r="XDS61" s="1459"/>
      <c r="XDT61" s="1460"/>
      <c r="XDU61" s="1461"/>
      <c r="XDV61" s="1462"/>
      <c r="XDW61" s="1463"/>
      <c r="XDX61" s="1459"/>
      <c r="XDY61" s="1459"/>
      <c r="XDZ61" s="1460"/>
      <c r="XEA61" s="1461"/>
      <c r="XEB61" s="1462"/>
      <c r="XEC61" s="1463"/>
      <c r="XED61" s="1459"/>
      <c r="XEE61" s="1459"/>
      <c r="XEF61" s="1460"/>
      <c r="XEG61" s="1461"/>
      <c r="XEH61" s="1462"/>
      <c r="XEI61" s="1463"/>
      <c r="XEJ61" s="1459"/>
      <c r="XEK61" s="1459"/>
      <c r="XEL61" s="1460"/>
      <c r="XEM61" s="1461"/>
      <c r="XEN61" s="1462"/>
      <c r="XEO61" s="1463"/>
      <c r="XEP61" s="1459"/>
      <c r="XEQ61" s="1459"/>
      <c r="XER61" s="1460"/>
      <c r="XES61" s="1461"/>
      <c r="XET61" s="1462"/>
      <c r="XEU61" s="1463"/>
      <c r="XEV61" s="1459"/>
      <c r="XEW61" s="1459"/>
      <c r="XEX61" s="1460"/>
      <c r="XEY61" s="1461"/>
      <c r="XEZ61" s="1462"/>
      <c r="XFA61" s="1463"/>
      <c r="XFB61" s="1459"/>
      <c r="XFC61" s="1459"/>
      <c r="XFD61" s="1460"/>
    </row>
    <row r="62" spans="1:16384" x14ac:dyDescent="0.2">
      <c r="B62" s="1464"/>
      <c r="C62" s="1465"/>
      <c r="D62" s="1466"/>
      <c r="E62" s="1467"/>
      <c r="F62" s="1468"/>
      <c r="G62" s="1469"/>
    </row>
    <row r="63" spans="1:16384" s="295" customFormat="1" ht="20.25" x14ac:dyDescent="0.3">
      <c r="B63" s="303">
        <v>2</v>
      </c>
      <c r="C63" s="306" t="s">
        <v>360</v>
      </c>
      <c r="D63" s="305"/>
      <c r="E63" s="299"/>
      <c r="F63" s="300"/>
      <c r="G63" s="301"/>
      <c r="H63" s="570"/>
    </row>
    <row r="64" spans="1:16384" s="130" customFormat="1" x14ac:dyDescent="0.2">
      <c r="B64" s="3184" t="s">
        <v>1820</v>
      </c>
      <c r="C64" s="3185"/>
      <c r="D64" s="3185"/>
      <c r="E64" s="3185"/>
      <c r="F64" s="3185"/>
      <c r="G64" s="3186"/>
      <c r="H64" s="565"/>
      <c r="I64" s="1263"/>
    </row>
    <row r="65" spans="2:12" ht="89.25" x14ac:dyDescent="0.2">
      <c r="B65" s="131">
        <v>1</v>
      </c>
      <c r="C65" s="1012" t="s">
        <v>1821</v>
      </c>
      <c r="D65" s="207" t="s">
        <v>112</v>
      </c>
      <c r="E65" s="1444">
        <v>11.8</v>
      </c>
      <c r="F65" s="1445">
        <v>0</v>
      </c>
      <c r="G65" s="1446">
        <f>E65*F65</f>
        <v>0</v>
      </c>
      <c r="I65" s="132"/>
    </row>
    <row r="66" spans="2:12" x14ac:dyDescent="0.2">
      <c r="B66" s="131">
        <v>2</v>
      </c>
      <c r="C66" s="1012" t="s">
        <v>1493</v>
      </c>
      <c r="D66" s="362" t="s">
        <v>112</v>
      </c>
      <c r="E66" s="1451">
        <v>3</v>
      </c>
      <c r="F66" s="1445">
        <v>0</v>
      </c>
      <c r="G66" s="1446">
        <f>E66*F66</f>
        <v>0</v>
      </c>
      <c r="I66" s="132"/>
    </row>
    <row r="67" spans="2:12" ht="39.75" customHeight="1" x14ac:dyDescent="0.2">
      <c r="B67" s="131">
        <v>3</v>
      </c>
      <c r="C67" s="1012" t="s">
        <v>1822</v>
      </c>
      <c r="D67" s="362" t="s">
        <v>112</v>
      </c>
      <c r="E67" s="1451">
        <v>78</v>
      </c>
      <c r="F67" s="1445">
        <v>0</v>
      </c>
      <c r="G67" s="1446">
        <f>E67*F67</f>
        <v>0</v>
      </c>
      <c r="I67" s="695"/>
    </row>
    <row r="68" spans="2:12" ht="25.5" x14ac:dyDescent="0.2">
      <c r="B68" s="131">
        <v>4</v>
      </c>
      <c r="C68" s="1839" t="s">
        <v>1823</v>
      </c>
      <c r="D68" s="362" t="s">
        <v>112</v>
      </c>
      <c r="E68" s="1451">
        <v>28.5</v>
      </c>
      <c r="F68" s="1445">
        <v>0</v>
      </c>
      <c r="G68" s="1446">
        <f>E68*F68</f>
        <v>0</v>
      </c>
      <c r="I68" s="132"/>
    </row>
    <row r="69" spans="2:12" ht="24" x14ac:dyDescent="0.2">
      <c r="B69" s="131">
        <v>5</v>
      </c>
      <c r="C69" s="206" t="s">
        <v>411</v>
      </c>
      <c r="D69" s="209"/>
      <c r="E69" s="1444"/>
      <c r="F69" s="1445"/>
      <c r="G69" s="1446"/>
      <c r="I69" s="132"/>
    </row>
    <row r="70" spans="2:12" x14ac:dyDescent="0.2">
      <c r="B70" s="131"/>
      <c r="C70" s="1470" t="s">
        <v>1824</v>
      </c>
      <c r="D70" s="209" t="s">
        <v>413</v>
      </c>
      <c r="E70" s="1451">
        <v>3672</v>
      </c>
      <c r="F70" s="1445">
        <v>0</v>
      </c>
      <c r="G70" s="1446">
        <f>E70*F70</f>
        <v>0</v>
      </c>
      <c r="I70" s="1471"/>
    </row>
    <row r="71" spans="2:12" x14ac:dyDescent="0.2">
      <c r="B71" s="131"/>
      <c r="C71" s="1470" t="s">
        <v>1825</v>
      </c>
      <c r="D71" s="209" t="s">
        <v>413</v>
      </c>
      <c r="E71" s="1451">
        <v>1138.0999999999999</v>
      </c>
      <c r="F71" s="1445">
        <v>0</v>
      </c>
      <c r="G71" s="1446">
        <f>E71*F71</f>
        <v>0</v>
      </c>
      <c r="I71" s="1471"/>
    </row>
    <row r="72" spans="2:12" x14ac:dyDescent="0.2">
      <c r="B72" s="131"/>
      <c r="C72" s="1470" t="s">
        <v>1826</v>
      </c>
      <c r="D72" s="209" t="s">
        <v>413</v>
      </c>
      <c r="E72" s="1451">
        <v>7779.9</v>
      </c>
      <c r="F72" s="1445">
        <v>0</v>
      </c>
      <c r="G72" s="1446">
        <f>E72*F72</f>
        <v>0</v>
      </c>
      <c r="I72" s="1471"/>
    </row>
    <row r="73" spans="2:12" s="147" customFormat="1" ht="23.25" customHeight="1" x14ac:dyDescent="0.25">
      <c r="B73" s="327">
        <v>2</v>
      </c>
      <c r="C73" s="214" t="s">
        <v>415</v>
      </c>
      <c r="D73" s="214"/>
      <c r="E73" s="215"/>
      <c r="F73" s="1448"/>
      <c r="G73" s="1449">
        <f>SUM(G65:G72)</f>
        <v>0</v>
      </c>
      <c r="H73" s="150"/>
    </row>
    <row r="74" spans="2:12" ht="24" customHeight="1" x14ac:dyDescent="0.2">
      <c r="B74" s="128" t="s">
        <v>83</v>
      </c>
      <c r="C74" s="192" t="s">
        <v>89</v>
      </c>
      <c r="D74" s="192" t="s">
        <v>90</v>
      </c>
      <c r="E74" s="194" t="s">
        <v>91</v>
      </c>
      <c r="F74" s="195" t="s">
        <v>92</v>
      </c>
      <c r="G74" s="196" t="s">
        <v>93</v>
      </c>
      <c r="H74" s="565"/>
    </row>
    <row r="75" spans="2:12" x14ac:dyDescent="0.2">
      <c r="B75" s="129"/>
      <c r="C75" s="217"/>
      <c r="D75" s="207"/>
      <c r="E75" s="199"/>
      <c r="F75" s="200"/>
      <c r="G75" s="201"/>
    </row>
    <row r="76" spans="2:12" s="295" customFormat="1" ht="20.25" x14ac:dyDescent="0.3">
      <c r="B76" s="303">
        <v>3</v>
      </c>
      <c r="C76" s="306" t="s">
        <v>362</v>
      </c>
      <c r="D76" s="305"/>
      <c r="E76" s="299"/>
      <c r="F76" s="300"/>
      <c r="G76" s="301"/>
      <c r="H76" s="570"/>
    </row>
    <row r="77" spans="2:12" s="130" customFormat="1" ht="25.5" customHeight="1" x14ac:dyDescent="0.2">
      <c r="B77" s="3184" t="s">
        <v>1432</v>
      </c>
      <c r="C77" s="3185"/>
      <c r="D77" s="3185"/>
      <c r="E77" s="3185"/>
      <c r="F77" s="3185"/>
      <c r="G77" s="3186"/>
      <c r="H77" s="565"/>
      <c r="I77" s="1263"/>
    </row>
    <row r="78" spans="2:12" ht="42" customHeight="1" x14ac:dyDescent="0.2">
      <c r="B78" s="131">
        <v>1</v>
      </c>
      <c r="C78" s="1012" t="s">
        <v>1827</v>
      </c>
      <c r="D78" s="362" t="s">
        <v>117</v>
      </c>
      <c r="E78" s="1451">
        <v>63</v>
      </c>
      <c r="F78" s="1445">
        <v>0</v>
      </c>
      <c r="G78" s="1446">
        <f>E78*F78</f>
        <v>0</v>
      </c>
      <c r="I78" s="1472"/>
      <c r="J78" s="1472"/>
      <c r="K78" s="1473"/>
      <c r="L78" s="1471"/>
    </row>
    <row r="79" spans="2:12" ht="63.75" x14ac:dyDescent="0.2">
      <c r="B79" s="131">
        <v>2</v>
      </c>
      <c r="C79" s="1012" t="s">
        <v>1497</v>
      </c>
      <c r="D79" s="362" t="s">
        <v>117</v>
      </c>
      <c r="E79" s="1451">
        <v>194</v>
      </c>
      <c r="F79" s="1445">
        <v>0</v>
      </c>
      <c r="G79" s="1446">
        <f>E79*F79</f>
        <v>0</v>
      </c>
      <c r="I79" s="1472"/>
      <c r="J79" s="1474"/>
      <c r="K79" s="1473"/>
      <c r="L79" s="1475"/>
    </row>
    <row r="80" spans="2:12" ht="38.25" x14ac:dyDescent="0.2">
      <c r="B80" s="131">
        <v>3</v>
      </c>
      <c r="C80" s="1012" t="s">
        <v>1828</v>
      </c>
      <c r="D80" s="362" t="s">
        <v>117</v>
      </c>
      <c r="E80" s="1451">
        <v>7.5</v>
      </c>
      <c r="F80" s="1445">
        <v>0</v>
      </c>
      <c r="G80" s="1446">
        <f t="shared" ref="G80:G81" si="2">E80*F80</f>
        <v>0</v>
      </c>
      <c r="I80" s="1472"/>
      <c r="J80" s="1474"/>
      <c r="K80" s="1473"/>
      <c r="L80" s="1475"/>
    </row>
    <row r="81" spans="2:12" ht="51" x14ac:dyDescent="0.2">
      <c r="B81" s="131">
        <v>4</v>
      </c>
      <c r="C81" s="1012" t="s">
        <v>1829</v>
      </c>
      <c r="D81" s="362" t="s">
        <v>117</v>
      </c>
      <c r="E81" s="1451">
        <v>55</v>
      </c>
      <c r="F81" s="1445">
        <v>0</v>
      </c>
      <c r="G81" s="1446">
        <f t="shared" si="2"/>
        <v>0</v>
      </c>
      <c r="I81" s="1472"/>
      <c r="J81" s="1474"/>
      <c r="K81" s="1473"/>
      <c r="L81" s="1475"/>
    </row>
    <row r="82" spans="2:12" ht="25.5" x14ac:dyDescent="0.2">
      <c r="B82" s="131">
        <v>5</v>
      </c>
      <c r="C82" s="1012" t="s">
        <v>1498</v>
      </c>
      <c r="D82" s="362" t="s">
        <v>117</v>
      </c>
      <c r="E82" s="1451">
        <v>60</v>
      </c>
      <c r="F82" s="1445">
        <v>0</v>
      </c>
      <c r="G82" s="1446">
        <f>E82*F82</f>
        <v>0</v>
      </c>
      <c r="I82" s="1474"/>
      <c r="J82" s="1472"/>
      <c r="K82" s="1473"/>
      <c r="L82" s="1471"/>
    </row>
    <row r="83" spans="2:12" ht="51" x14ac:dyDescent="0.2">
      <c r="B83" s="131">
        <v>6</v>
      </c>
      <c r="C83" s="1012" t="s">
        <v>1499</v>
      </c>
      <c r="D83" s="207" t="s">
        <v>123</v>
      </c>
      <c r="E83" s="1444">
        <v>5</v>
      </c>
      <c r="F83" s="1445">
        <v>0</v>
      </c>
      <c r="G83" s="1446">
        <f>E83*F83</f>
        <v>0</v>
      </c>
      <c r="I83" s="1472"/>
      <c r="J83" s="1476"/>
      <c r="K83" s="1473"/>
      <c r="L83" s="1475"/>
    </row>
    <row r="84" spans="2:12" s="147" customFormat="1" ht="23.25" customHeight="1" x14ac:dyDescent="0.25">
      <c r="B84" s="327">
        <v>3</v>
      </c>
      <c r="C84" s="214" t="s">
        <v>442</v>
      </c>
      <c r="D84" s="214"/>
      <c r="E84" s="215"/>
      <c r="F84" s="1448"/>
      <c r="G84" s="1449">
        <f>SUM(G78:G83)</f>
        <v>0</v>
      </c>
      <c r="H84" s="150"/>
    </row>
    <row r="85" spans="2:12" ht="24" customHeight="1" x14ac:dyDescent="0.2">
      <c r="B85" s="128" t="s">
        <v>83</v>
      </c>
      <c r="C85" s="192" t="s">
        <v>89</v>
      </c>
      <c r="D85" s="192" t="s">
        <v>90</v>
      </c>
      <c r="E85" s="194" t="s">
        <v>91</v>
      </c>
      <c r="F85" s="195" t="s">
        <v>92</v>
      </c>
      <c r="G85" s="196" t="s">
        <v>93</v>
      </c>
      <c r="H85" s="565"/>
    </row>
    <row r="86" spans="2:12" x14ac:dyDescent="0.2">
      <c r="B86" s="129"/>
      <c r="C86" s="217"/>
      <c r="D86" s="207"/>
      <c r="E86" s="199"/>
      <c r="F86" s="200"/>
      <c r="G86" s="201"/>
    </row>
    <row r="87" spans="2:12" s="295" customFormat="1" ht="20.25" x14ac:dyDescent="0.3">
      <c r="B87" s="303">
        <v>4</v>
      </c>
      <c r="C87" s="306" t="s">
        <v>364</v>
      </c>
      <c r="D87" s="305"/>
      <c r="E87" s="299"/>
      <c r="F87" s="300"/>
      <c r="G87" s="301"/>
      <c r="H87" s="570"/>
    </row>
    <row r="88" spans="2:12" s="130" customFormat="1" x14ac:dyDescent="0.2">
      <c r="B88" s="3184" t="s">
        <v>443</v>
      </c>
      <c r="C88" s="3185"/>
      <c r="D88" s="3185"/>
      <c r="E88" s="3185"/>
      <c r="F88" s="3185"/>
      <c r="G88" s="3186"/>
      <c r="H88" s="565"/>
      <c r="I88" s="1263"/>
    </row>
    <row r="89" spans="2:12" ht="38.25" x14ac:dyDescent="0.2">
      <c r="B89" s="131">
        <v>1</v>
      </c>
      <c r="C89" s="1012" t="s">
        <v>1500</v>
      </c>
      <c r="D89" s="207" t="s">
        <v>117</v>
      </c>
      <c r="E89" s="1444">
        <v>110</v>
      </c>
      <c r="F89" s="1445">
        <v>0</v>
      </c>
      <c r="G89" s="1446">
        <f>E89*F89</f>
        <v>0</v>
      </c>
      <c r="I89" s="132"/>
    </row>
    <row r="90" spans="2:12" ht="25.5" x14ac:dyDescent="0.2">
      <c r="B90" s="131">
        <v>2</v>
      </c>
      <c r="C90" s="1012" t="s">
        <v>1501</v>
      </c>
      <c r="D90" s="362" t="s">
        <v>117</v>
      </c>
      <c r="E90" s="1451">
        <v>190</v>
      </c>
      <c r="F90" s="1445">
        <v>0</v>
      </c>
      <c r="G90" s="1446">
        <f>E90*F90</f>
        <v>0</v>
      </c>
      <c r="I90" s="132"/>
    </row>
    <row r="91" spans="2:12" ht="38.25" x14ac:dyDescent="0.2">
      <c r="B91" s="131">
        <v>3</v>
      </c>
      <c r="C91" s="1012" t="s">
        <v>1502</v>
      </c>
      <c r="D91" s="362" t="s">
        <v>117</v>
      </c>
      <c r="E91" s="1451">
        <v>225</v>
      </c>
      <c r="F91" s="1445">
        <v>0</v>
      </c>
      <c r="G91" s="1446">
        <f>E91*F91</f>
        <v>0</v>
      </c>
      <c r="I91" s="132"/>
    </row>
    <row r="92" spans="2:12" ht="51" x14ac:dyDescent="0.2">
      <c r="B92" s="131">
        <v>4</v>
      </c>
      <c r="C92" s="1012" t="s">
        <v>1503</v>
      </c>
      <c r="D92" s="362" t="s">
        <v>95</v>
      </c>
      <c r="E92" s="1451">
        <v>22</v>
      </c>
      <c r="F92" s="1445">
        <v>0</v>
      </c>
      <c r="G92" s="1446">
        <f>E92*F92</f>
        <v>0</v>
      </c>
      <c r="I92" s="132"/>
    </row>
    <row r="93" spans="2:12" x14ac:dyDescent="0.2">
      <c r="B93" s="131">
        <v>5</v>
      </c>
      <c r="C93" s="206" t="s">
        <v>464</v>
      </c>
      <c r="D93" s="207" t="s">
        <v>123</v>
      </c>
      <c r="E93" s="1444">
        <v>1</v>
      </c>
      <c r="F93" s="1445">
        <v>0</v>
      </c>
      <c r="G93" s="1446">
        <f>E93*F93</f>
        <v>0</v>
      </c>
      <c r="I93" s="132"/>
    </row>
    <row r="94" spans="2:12" ht="24" x14ac:dyDescent="0.2">
      <c r="B94" s="131">
        <v>6</v>
      </c>
      <c r="C94" s="206" t="s">
        <v>1830</v>
      </c>
      <c r="D94" s="207" t="s">
        <v>95</v>
      </c>
      <c r="E94" s="1444">
        <v>79.5</v>
      </c>
      <c r="F94" s="1445">
        <v>0</v>
      </c>
      <c r="G94" s="1446">
        <f t="shared" ref="G94:G96" si="3">E94*F94</f>
        <v>0</v>
      </c>
      <c r="I94" s="132"/>
    </row>
    <row r="95" spans="2:12" ht="36" x14ac:dyDescent="0.2">
      <c r="B95" s="131">
        <v>7</v>
      </c>
      <c r="C95" s="206" t="s">
        <v>1831</v>
      </c>
      <c r="D95" s="207" t="s">
        <v>117</v>
      </c>
      <c r="E95" s="1444">
        <v>440</v>
      </c>
      <c r="F95" s="1445">
        <v>0</v>
      </c>
      <c r="G95" s="1446">
        <f t="shared" si="3"/>
        <v>0</v>
      </c>
      <c r="I95" s="132"/>
    </row>
    <row r="96" spans="2:12" ht="36" x14ac:dyDescent="0.2">
      <c r="B96" s="131">
        <v>8</v>
      </c>
      <c r="C96" s="206" t="s">
        <v>1832</v>
      </c>
      <c r="D96" s="207" t="s">
        <v>117</v>
      </c>
      <c r="E96" s="1444">
        <v>112</v>
      </c>
      <c r="F96" s="1445">
        <v>0</v>
      </c>
      <c r="G96" s="1446">
        <f t="shared" si="3"/>
        <v>0</v>
      </c>
      <c r="I96" s="132"/>
    </row>
    <row r="97" spans="2:14" ht="24" x14ac:dyDescent="0.2">
      <c r="B97" s="131">
        <v>9</v>
      </c>
      <c r="C97" s="206" t="s">
        <v>466</v>
      </c>
      <c r="D97" s="207"/>
      <c r="E97" s="1444"/>
      <c r="F97" s="1445"/>
      <c r="G97" s="1446"/>
      <c r="I97" s="132"/>
    </row>
    <row r="98" spans="2:14" x14ac:dyDescent="0.2">
      <c r="B98" s="131"/>
      <c r="C98" s="206" t="s">
        <v>467</v>
      </c>
      <c r="D98" s="207" t="s">
        <v>156</v>
      </c>
      <c r="E98" s="1444">
        <v>20</v>
      </c>
      <c r="F98" s="1445">
        <v>0</v>
      </c>
      <c r="G98" s="1446">
        <f>E98*F98</f>
        <v>0</v>
      </c>
      <c r="I98" s="132"/>
    </row>
    <row r="99" spans="2:14" x14ac:dyDescent="0.2">
      <c r="B99" s="131"/>
      <c r="C99" s="206" t="s">
        <v>468</v>
      </c>
      <c r="D99" s="207" t="s">
        <v>156</v>
      </c>
      <c r="E99" s="1444">
        <v>40</v>
      </c>
      <c r="F99" s="1445">
        <v>0</v>
      </c>
      <c r="G99" s="1446">
        <f>E99*F99</f>
        <v>0</v>
      </c>
      <c r="I99" s="132"/>
    </row>
    <row r="100" spans="2:14" s="147" customFormat="1" ht="23.25" customHeight="1" x14ac:dyDescent="0.25">
      <c r="B100" s="327">
        <v>4</v>
      </c>
      <c r="C100" s="214" t="s">
        <v>469</v>
      </c>
      <c r="D100" s="214"/>
      <c r="E100" s="215"/>
      <c r="F100" s="1448"/>
      <c r="G100" s="1449">
        <f>SUM(G89:G99)</f>
        <v>0</v>
      </c>
      <c r="H100" s="150"/>
    </row>
    <row r="101" spans="2:14" ht="24" customHeight="1" x14ac:dyDescent="0.2">
      <c r="B101" s="128" t="s">
        <v>83</v>
      </c>
      <c r="C101" s="192" t="s">
        <v>89</v>
      </c>
      <c r="D101" s="192" t="s">
        <v>90</v>
      </c>
      <c r="E101" s="194" t="s">
        <v>91</v>
      </c>
      <c r="F101" s="195" t="s">
        <v>92</v>
      </c>
      <c r="G101" s="196" t="s">
        <v>93</v>
      </c>
      <c r="H101" s="565"/>
    </row>
    <row r="102" spans="2:14" x14ac:dyDescent="0.2">
      <c r="B102" s="129"/>
      <c r="C102" s="217"/>
      <c r="D102" s="207"/>
      <c r="E102" s="199"/>
      <c r="F102" s="200"/>
      <c r="G102" s="201"/>
    </row>
    <row r="103" spans="2:14" s="295" customFormat="1" ht="20.25" x14ac:dyDescent="0.3">
      <c r="B103" s="303">
        <v>5</v>
      </c>
      <c r="C103" s="306" t="s">
        <v>366</v>
      </c>
      <c r="D103" s="305"/>
      <c r="E103" s="299"/>
      <c r="F103" s="300"/>
      <c r="G103" s="301"/>
      <c r="H103" s="570"/>
    </row>
    <row r="104" spans="2:14" ht="63.75" x14ac:dyDescent="0.2">
      <c r="B104" s="131">
        <v>1</v>
      </c>
      <c r="C104" s="1012" t="s">
        <v>1504</v>
      </c>
      <c r="D104" s="362" t="s">
        <v>117</v>
      </c>
      <c r="E104" s="1451">
        <v>128</v>
      </c>
      <c r="F104" s="1445">
        <v>0</v>
      </c>
      <c r="G104" s="1446">
        <f t="shared" ref="G104:G126" si="4">E104*F104</f>
        <v>0</v>
      </c>
      <c r="I104" s="1472"/>
      <c r="J104" s="1473"/>
      <c r="K104" s="1471"/>
      <c r="L104" s="1472"/>
      <c r="M104" s="1473"/>
      <c r="N104" s="1471"/>
    </row>
    <row r="105" spans="2:14" ht="38.25" x14ac:dyDescent="0.2">
      <c r="B105" s="131">
        <v>2</v>
      </c>
      <c r="C105" s="3162" t="s">
        <v>1505</v>
      </c>
      <c r="D105" s="362" t="s">
        <v>117</v>
      </c>
      <c r="E105" s="1451">
        <v>110</v>
      </c>
      <c r="F105" s="1445">
        <v>0</v>
      </c>
      <c r="G105" s="1446">
        <f t="shared" si="4"/>
        <v>0</v>
      </c>
      <c r="I105" s="1474"/>
      <c r="J105" s="1473"/>
      <c r="K105" s="1471"/>
      <c r="L105" s="1474"/>
      <c r="M105" s="1473"/>
      <c r="N105" s="1475"/>
    </row>
    <row r="106" spans="2:14" ht="24" x14ac:dyDescent="0.2">
      <c r="B106" s="1166">
        <v>3</v>
      </c>
      <c r="C106" s="206" t="s">
        <v>1830</v>
      </c>
      <c r="D106" s="207" t="s">
        <v>95</v>
      </c>
      <c r="E106" s="1444">
        <v>60</v>
      </c>
      <c r="F106" s="1445">
        <v>0</v>
      </c>
      <c r="G106" s="1446">
        <f t="shared" si="4"/>
        <v>0</v>
      </c>
      <c r="I106" s="132"/>
    </row>
    <row r="107" spans="2:14" ht="36" x14ac:dyDescent="0.2">
      <c r="B107" s="131">
        <v>4</v>
      </c>
      <c r="C107" s="206" t="s">
        <v>2566</v>
      </c>
      <c r="D107" s="207" t="s">
        <v>117</v>
      </c>
      <c r="E107" s="1444">
        <v>200</v>
      </c>
      <c r="F107" s="1445">
        <v>0</v>
      </c>
      <c r="G107" s="1446">
        <f t="shared" si="4"/>
        <v>0</v>
      </c>
      <c r="I107" s="132"/>
    </row>
    <row r="108" spans="2:14" ht="36" x14ac:dyDescent="0.2">
      <c r="B108" s="131">
        <v>5</v>
      </c>
      <c r="C108" s="206" t="s">
        <v>1832</v>
      </c>
      <c r="D108" s="207" t="s">
        <v>117</v>
      </c>
      <c r="E108" s="1444">
        <v>50</v>
      </c>
      <c r="F108" s="1445">
        <v>0</v>
      </c>
      <c r="G108" s="1446">
        <f t="shared" si="4"/>
        <v>0</v>
      </c>
      <c r="I108" s="132"/>
    </row>
    <row r="109" spans="2:14" ht="38.25" x14ac:dyDescent="0.2">
      <c r="B109" s="1166">
        <v>6</v>
      </c>
      <c r="C109" s="1012" t="s">
        <v>1506</v>
      </c>
      <c r="D109" s="362" t="s">
        <v>117</v>
      </c>
      <c r="E109" s="1451">
        <v>110</v>
      </c>
      <c r="F109" s="1445">
        <v>0</v>
      </c>
      <c r="G109" s="1446">
        <f t="shared" si="4"/>
        <v>0</v>
      </c>
      <c r="I109" s="1472"/>
      <c r="J109" s="1473"/>
      <c r="K109" s="1471"/>
      <c r="L109" s="1472"/>
      <c r="M109" s="1473"/>
      <c r="N109" s="1471"/>
    </row>
    <row r="110" spans="2:14" ht="66.75" customHeight="1" x14ac:dyDescent="0.2">
      <c r="B110" s="131">
        <v>7</v>
      </c>
      <c r="C110" s="1012" t="s">
        <v>2578</v>
      </c>
      <c r="D110" s="362" t="s">
        <v>98</v>
      </c>
      <c r="E110" s="1451">
        <v>3</v>
      </c>
      <c r="F110" s="1445">
        <v>0</v>
      </c>
      <c r="G110" s="1446">
        <f t="shared" si="4"/>
        <v>0</v>
      </c>
      <c r="I110" s="1474"/>
      <c r="J110" s="1473"/>
      <c r="K110" s="1475"/>
      <c r="L110" s="1474"/>
      <c r="M110" s="1473"/>
      <c r="N110" s="1475"/>
    </row>
    <row r="111" spans="2:14" ht="16.5" customHeight="1" x14ac:dyDescent="0.2">
      <c r="B111" s="131">
        <v>8</v>
      </c>
      <c r="C111" s="1012" t="s">
        <v>2558</v>
      </c>
      <c r="D111" s="362"/>
      <c r="E111" s="1451"/>
      <c r="F111" s="1445"/>
      <c r="G111" s="1446"/>
      <c r="I111" s="1472"/>
      <c r="J111" s="1473"/>
      <c r="K111" s="1471"/>
      <c r="L111" s="1472"/>
      <c r="M111" s="1473"/>
      <c r="N111" s="1471"/>
    </row>
    <row r="112" spans="2:14" x14ac:dyDescent="0.2">
      <c r="B112" s="3147"/>
      <c r="C112" s="3148" t="s">
        <v>2551</v>
      </c>
      <c r="D112" s="362" t="s">
        <v>149</v>
      </c>
      <c r="E112" s="1451">
        <v>1</v>
      </c>
      <c r="F112" s="1445">
        <v>0</v>
      </c>
      <c r="G112" s="1446">
        <f t="shared" ref="G112:G114" si="5">E112*F112</f>
        <v>0</v>
      </c>
      <c r="I112" s="1474"/>
      <c r="J112" s="1473"/>
      <c r="K112" s="1475"/>
      <c r="L112" s="1474"/>
      <c r="M112" s="1473"/>
      <c r="N112" s="1475"/>
    </row>
    <row r="113" spans="2:14" x14ac:dyDescent="0.2">
      <c r="B113" s="3147"/>
      <c r="C113" s="3148" t="s">
        <v>2552</v>
      </c>
      <c r="D113" s="362" t="s">
        <v>149</v>
      </c>
      <c r="E113" s="1451">
        <v>1</v>
      </c>
      <c r="F113" s="1445">
        <v>0</v>
      </c>
      <c r="G113" s="1446">
        <f t="shared" si="5"/>
        <v>0</v>
      </c>
      <c r="I113" s="1474"/>
      <c r="J113" s="1473"/>
      <c r="K113" s="1475"/>
      <c r="L113" s="1474"/>
      <c r="M113" s="1473"/>
      <c r="N113" s="1475"/>
    </row>
    <row r="114" spans="2:14" x14ac:dyDescent="0.2">
      <c r="B114" s="3147"/>
      <c r="C114" s="3148" t="s">
        <v>2553</v>
      </c>
      <c r="D114" s="362" t="s">
        <v>149</v>
      </c>
      <c r="E114" s="1451">
        <v>1</v>
      </c>
      <c r="F114" s="1445">
        <v>0</v>
      </c>
      <c r="G114" s="1446">
        <f t="shared" si="5"/>
        <v>0</v>
      </c>
      <c r="I114" s="1474"/>
      <c r="J114" s="1473"/>
      <c r="K114" s="1475"/>
      <c r="L114" s="1474"/>
      <c r="M114" s="1473"/>
      <c r="N114" s="1475"/>
    </row>
    <row r="115" spans="2:14" x14ac:dyDescent="0.2">
      <c r="B115" s="3147"/>
      <c r="C115" s="3148" t="s">
        <v>2554</v>
      </c>
      <c r="D115" s="362" t="s">
        <v>149</v>
      </c>
      <c r="E115" s="1451">
        <v>6</v>
      </c>
      <c r="F115" s="1445">
        <v>0</v>
      </c>
      <c r="G115" s="1446">
        <f t="shared" ref="G115" si="6">E115*F115</f>
        <v>0</v>
      </c>
      <c r="I115" s="1474"/>
      <c r="J115" s="1473"/>
      <c r="K115" s="1475"/>
      <c r="L115" s="1474"/>
      <c r="M115" s="1473"/>
      <c r="N115" s="1475"/>
    </row>
    <row r="116" spans="2:14" ht="56.25" customHeight="1" x14ac:dyDescent="0.2">
      <c r="B116" s="131">
        <v>7</v>
      </c>
      <c r="C116" s="1012" t="s">
        <v>2555</v>
      </c>
      <c r="D116" s="362" t="s">
        <v>98</v>
      </c>
      <c r="E116" s="1451">
        <v>1</v>
      </c>
      <c r="F116" s="1445">
        <v>0</v>
      </c>
      <c r="G116" s="1446">
        <f t="shared" si="4"/>
        <v>0</v>
      </c>
      <c r="I116" s="1474"/>
      <c r="J116" s="1473"/>
      <c r="K116" s="1475"/>
      <c r="L116" s="1475"/>
    </row>
    <row r="117" spans="2:14" ht="30" customHeight="1" x14ac:dyDescent="0.2">
      <c r="B117" s="131">
        <v>8</v>
      </c>
      <c r="C117" s="1012" t="s">
        <v>2581</v>
      </c>
      <c r="D117" s="362" t="s">
        <v>123</v>
      </c>
      <c r="E117" s="1451">
        <v>1</v>
      </c>
      <c r="F117" s="1445">
        <v>0</v>
      </c>
      <c r="G117" s="1446">
        <f t="shared" si="4"/>
        <v>0</v>
      </c>
      <c r="I117" s="1474"/>
      <c r="J117" s="1473"/>
      <c r="K117" s="1475"/>
      <c r="L117" s="1475"/>
    </row>
    <row r="118" spans="2:14" ht="63.75" x14ac:dyDescent="0.2">
      <c r="B118" s="131">
        <v>9</v>
      </c>
      <c r="C118" s="1012" t="s">
        <v>2550</v>
      </c>
      <c r="D118" s="362" t="s">
        <v>98</v>
      </c>
      <c r="E118" s="1451">
        <v>1</v>
      </c>
      <c r="F118" s="1445">
        <v>0</v>
      </c>
      <c r="G118" s="1446">
        <f t="shared" si="4"/>
        <v>0</v>
      </c>
      <c r="I118" s="1474"/>
      <c r="J118" s="1473"/>
      <c r="K118" s="1475"/>
      <c r="L118" s="1475"/>
    </row>
    <row r="119" spans="2:14" ht="63.75" x14ac:dyDescent="0.2">
      <c r="B119" s="131">
        <v>10</v>
      </c>
      <c r="C119" s="1012" t="s">
        <v>1833</v>
      </c>
      <c r="D119" s="362" t="s">
        <v>98</v>
      </c>
      <c r="E119" s="1451">
        <v>3</v>
      </c>
      <c r="F119" s="1445">
        <v>0</v>
      </c>
      <c r="G119" s="1446">
        <f t="shared" si="4"/>
        <v>0</v>
      </c>
      <c r="I119" s="1474"/>
      <c r="J119" s="1473"/>
      <c r="K119" s="1475"/>
      <c r="L119" s="1475"/>
    </row>
    <row r="120" spans="2:14" ht="38.25" x14ac:dyDescent="0.2">
      <c r="B120" s="131">
        <v>11</v>
      </c>
      <c r="C120" s="1012" t="s">
        <v>1509</v>
      </c>
      <c r="D120" s="362" t="s">
        <v>95</v>
      </c>
      <c r="E120" s="1451">
        <v>14</v>
      </c>
      <c r="F120" s="1445">
        <v>0</v>
      </c>
      <c r="G120" s="1446">
        <f t="shared" si="4"/>
        <v>0</v>
      </c>
      <c r="I120" s="1472"/>
      <c r="J120" s="1473"/>
      <c r="K120" s="1471"/>
    </row>
    <row r="121" spans="2:14" ht="25.5" x14ac:dyDescent="0.2">
      <c r="B121" s="131">
        <v>12</v>
      </c>
      <c r="C121" s="1012" t="s">
        <v>1510</v>
      </c>
      <c r="D121" s="362" t="s">
        <v>123</v>
      </c>
      <c r="E121" s="1451">
        <v>5</v>
      </c>
      <c r="F121" s="1445">
        <v>0</v>
      </c>
      <c r="G121" s="1446">
        <f t="shared" si="4"/>
        <v>0</v>
      </c>
      <c r="I121" s="1472"/>
      <c r="J121" s="1473"/>
      <c r="K121" s="1471"/>
    </row>
    <row r="122" spans="2:14" ht="38.25" x14ac:dyDescent="0.2">
      <c r="B122" s="131">
        <v>13</v>
      </c>
      <c r="C122" s="1012" t="s">
        <v>1511</v>
      </c>
      <c r="D122" s="362" t="s">
        <v>123</v>
      </c>
      <c r="E122" s="1451">
        <v>1</v>
      </c>
      <c r="F122" s="1445">
        <v>0</v>
      </c>
      <c r="G122" s="1446">
        <f t="shared" si="4"/>
        <v>0</v>
      </c>
      <c r="I122" s="1474"/>
      <c r="J122" s="1473"/>
      <c r="K122" s="1475"/>
    </row>
    <row r="123" spans="2:14" ht="89.25" x14ac:dyDescent="0.2">
      <c r="B123" s="131">
        <v>14</v>
      </c>
      <c r="C123" s="1012" t="s">
        <v>1834</v>
      </c>
      <c r="D123" s="362" t="s">
        <v>98</v>
      </c>
      <c r="E123" s="1451">
        <v>1</v>
      </c>
      <c r="F123" s="1445">
        <v>0</v>
      </c>
      <c r="G123" s="1446">
        <f t="shared" si="4"/>
        <v>0</v>
      </c>
      <c r="I123" s="1474"/>
      <c r="J123" s="1473"/>
      <c r="K123" s="1475"/>
    </row>
    <row r="124" spans="2:14" ht="38.25" x14ac:dyDescent="0.2">
      <c r="B124" s="131">
        <v>15</v>
      </c>
      <c r="C124" s="1012" t="s">
        <v>1835</v>
      </c>
      <c r="D124" s="362" t="s">
        <v>98</v>
      </c>
      <c r="E124" s="1451">
        <v>1</v>
      </c>
      <c r="F124" s="1445">
        <v>0</v>
      </c>
      <c r="G124" s="1446">
        <f t="shared" si="4"/>
        <v>0</v>
      </c>
      <c r="I124" s="1474"/>
      <c r="J124" s="1473"/>
      <c r="K124" s="1475"/>
    </row>
    <row r="125" spans="2:14" ht="38.25" x14ac:dyDescent="0.2">
      <c r="B125" s="131">
        <v>16</v>
      </c>
      <c r="C125" s="1012" t="s">
        <v>2556</v>
      </c>
      <c r="D125" s="362" t="s">
        <v>149</v>
      </c>
      <c r="E125" s="1451">
        <v>1</v>
      </c>
      <c r="F125" s="1445">
        <v>0</v>
      </c>
      <c r="G125" s="1446">
        <f t="shared" ref="G125" si="7">E125*F125</f>
        <v>0</v>
      </c>
      <c r="I125" s="1474"/>
      <c r="J125" s="1473"/>
      <c r="K125" s="1475"/>
    </row>
    <row r="126" spans="2:14" ht="153" x14ac:dyDescent="0.2">
      <c r="B126" s="131">
        <v>17</v>
      </c>
      <c r="C126" s="1012" t="s">
        <v>1836</v>
      </c>
      <c r="D126" s="362" t="s">
        <v>98</v>
      </c>
      <c r="E126" s="1451">
        <v>1</v>
      </c>
      <c r="F126" s="1445">
        <v>0</v>
      </c>
      <c r="G126" s="1446">
        <f t="shared" si="4"/>
        <v>0</v>
      </c>
      <c r="I126" s="1472"/>
      <c r="J126" s="1473"/>
      <c r="K126" s="1471"/>
    </row>
    <row r="127" spans="2:14" s="1107" customFormat="1" ht="24" x14ac:dyDescent="0.2">
      <c r="B127" s="1166" t="s">
        <v>461</v>
      </c>
      <c r="C127" s="1149" t="s">
        <v>466</v>
      </c>
      <c r="D127" s="878"/>
      <c r="E127" s="814"/>
      <c r="F127" s="866"/>
      <c r="G127" s="867"/>
      <c r="H127" s="748"/>
      <c r="I127" s="1167"/>
    </row>
    <row r="128" spans="2:14" s="1107" customFormat="1" x14ac:dyDescent="0.2">
      <c r="B128" s="1166"/>
      <c r="C128" s="1149" t="s">
        <v>467</v>
      </c>
      <c r="D128" s="878" t="s">
        <v>156</v>
      </c>
      <c r="E128" s="814">
        <v>20</v>
      </c>
      <c r="F128" s="866">
        <v>0</v>
      </c>
      <c r="G128" s="867">
        <f>E128*F128</f>
        <v>0</v>
      </c>
      <c r="H128" s="748"/>
      <c r="I128" s="1167"/>
    </row>
    <row r="129" spans="1:9" s="1107" customFormat="1" x14ac:dyDescent="0.2">
      <c r="B129" s="1166"/>
      <c r="C129" s="1149" t="s">
        <v>468</v>
      </c>
      <c r="D129" s="878" t="s">
        <v>156</v>
      </c>
      <c r="E129" s="814">
        <v>40</v>
      </c>
      <c r="F129" s="866">
        <v>0</v>
      </c>
      <c r="G129" s="867">
        <f>E129*F129</f>
        <v>0</v>
      </c>
      <c r="H129" s="748"/>
      <c r="I129" s="1167"/>
    </row>
    <row r="130" spans="1:9" s="147" customFormat="1" ht="23.25" customHeight="1" x14ac:dyDescent="0.25">
      <c r="B130" s="327">
        <v>5</v>
      </c>
      <c r="C130" s="214" t="s">
        <v>506</v>
      </c>
      <c r="D130" s="214"/>
      <c r="E130" s="215"/>
      <c r="F130" s="1448"/>
      <c r="G130" s="1449">
        <f>SUM(G104:G129)</f>
        <v>0</v>
      </c>
      <c r="H130" s="150"/>
    </row>
    <row r="131" spans="1:9" s="147" customFormat="1" ht="6.75" customHeight="1" x14ac:dyDescent="0.25">
      <c r="B131" s="2946"/>
      <c r="C131" s="2947"/>
      <c r="D131" s="2947"/>
      <c r="E131" s="359"/>
      <c r="F131" s="2948"/>
      <c r="G131" s="2949"/>
      <c r="H131" s="150"/>
    </row>
    <row r="132" spans="1:9" s="147" customFormat="1" ht="23.25" customHeight="1" x14ac:dyDescent="0.25">
      <c r="B132" s="327" t="s">
        <v>12</v>
      </c>
      <c r="C132" s="214" t="s">
        <v>157</v>
      </c>
      <c r="D132" s="214"/>
      <c r="E132" s="215"/>
      <c r="F132" s="1448"/>
      <c r="G132" s="1449">
        <f>G130+G100+G84+G73+G60</f>
        <v>0</v>
      </c>
      <c r="H132" s="150"/>
    </row>
    <row r="133" spans="1:9" s="147" customFormat="1" ht="23.25" customHeight="1" x14ac:dyDescent="0.25">
      <c r="B133" s="2946"/>
      <c r="C133" s="2947"/>
      <c r="D133" s="2947"/>
      <c r="E133" s="359"/>
      <c r="F133" s="2948"/>
      <c r="G133" s="2949"/>
      <c r="H133" s="150"/>
    </row>
    <row r="134" spans="1:9" ht="24" customHeight="1" x14ac:dyDescent="0.2">
      <c r="B134" s="128" t="s">
        <v>83</v>
      </c>
      <c r="C134" s="192" t="s">
        <v>89</v>
      </c>
      <c r="D134" s="192" t="s">
        <v>90</v>
      </c>
      <c r="E134" s="194" t="s">
        <v>91</v>
      </c>
      <c r="F134" s="195" t="s">
        <v>92</v>
      </c>
      <c r="G134" s="196" t="s">
        <v>93</v>
      </c>
      <c r="H134" s="565"/>
    </row>
    <row r="135" spans="1:9" x14ac:dyDescent="0.2">
      <c r="B135" s="129"/>
      <c r="C135" s="197"/>
      <c r="D135" s="207"/>
      <c r="E135" s="199"/>
      <c r="F135" s="200"/>
      <c r="G135" s="201"/>
    </row>
    <row r="136" spans="1:9" s="295" customFormat="1" ht="20.25" x14ac:dyDescent="0.3">
      <c r="B136" s="303" t="s">
        <v>17</v>
      </c>
      <c r="C136" s="306" t="s">
        <v>158</v>
      </c>
      <c r="D136" s="305"/>
      <c r="E136" s="299"/>
      <c r="F136" s="300"/>
      <c r="G136" s="301"/>
      <c r="H136" s="570"/>
    </row>
    <row r="137" spans="1:9" s="1482" customFormat="1" ht="15" x14ac:dyDescent="0.2">
      <c r="A137" s="1477"/>
      <c r="B137" s="1478" t="s">
        <v>1</v>
      </c>
      <c r="C137" s="1479"/>
      <c r="D137" s="1480"/>
      <c r="E137" s="1480"/>
      <c r="F137" s="1480"/>
      <c r="G137" s="1481"/>
    </row>
    <row r="138" spans="1:9" s="1482" customFormat="1" ht="15.75" x14ac:dyDescent="0.25">
      <c r="A138" s="1483"/>
      <c r="B138" s="1484" t="s">
        <v>2</v>
      </c>
      <c r="C138" s="1485"/>
      <c r="D138" s="1486"/>
      <c r="E138" s="1487"/>
      <c r="F138" s="1487"/>
      <c r="G138" s="1486"/>
    </row>
    <row r="139" spans="1:9" s="1482" customFormat="1" ht="15" x14ac:dyDescent="0.2">
      <c r="A139" s="1477"/>
      <c r="B139" s="1478" t="s">
        <v>3</v>
      </c>
      <c r="C139" s="1479"/>
      <c r="D139" s="1480"/>
      <c r="E139" s="1480"/>
      <c r="F139" s="1480"/>
      <c r="G139" s="1481"/>
    </row>
    <row r="140" spans="1:9" s="1482" customFormat="1" ht="15.75" x14ac:dyDescent="0.25">
      <c r="A140" s="1483"/>
      <c r="B140" s="1484" t="s">
        <v>4</v>
      </c>
      <c r="C140" s="1485"/>
      <c r="D140" s="1487"/>
      <c r="E140" s="1487"/>
      <c r="F140" s="1487"/>
      <c r="G140" s="1486"/>
    </row>
    <row r="141" spans="1:9" s="130" customFormat="1" x14ac:dyDescent="0.2">
      <c r="B141" s="3289" t="s">
        <v>159</v>
      </c>
      <c r="C141" s="3290"/>
      <c r="D141" s="3290"/>
      <c r="E141" s="3290"/>
      <c r="F141" s="3290"/>
      <c r="G141" s="3291"/>
      <c r="H141" s="1423"/>
    </row>
    <row r="142" spans="1:9" s="130" customFormat="1" x14ac:dyDescent="0.2">
      <c r="B142" s="3289" t="s">
        <v>1837</v>
      </c>
      <c r="C142" s="3290"/>
      <c r="D142" s="3290"/>
      <c r="E142" s="3290"/>
      <c r="F142" s="3290"/>
      <c r="G142" s="3291"/>
      <c r="H142" s="1423"/>
    </row>
    <row r="143" spans="1:9" s="130" customFormat="1" x14ac:dyDescent="0.2">
      <c r="B143" s="3289" t="s">
        <v>1838</v>
      </c>
      <c r="C143" s="3290"/>
      <c r="D143" s="3290"/>
      <c r="E143" s="3290"/>
      <c r="F143" s="3290"/>
      <c r="G143" s="3291"/>
      <c r="H143" s="1423"/>
    </row>
    <row r="144" spans="1:9" ht="36" x14ac:dyDescent="0.2">
      <c r="B144" s="1488">
        <v>1</v>
      </c>
      <c r="C144" s="1489" t="s">
        <v>507</v>
      </c>
      <c r="D144" s="1367"/>
      <c r="E144" s="1490"/>
      <c r="F144" s="1491"/>
      <c r="G144" s="1492"/>
    </row>
    <row r="145" spans="2:10" s="136" customFormat="1" ht="95.25" customHeight="1" x14ac:dyDescent="0.2">
      <c r="B145" s="2731"/>
      <c r="C145" s="2732"/>
      <c r="D145" s="2733"/>
      <c r="E145" s="2734"/>
      <c r="F145" s="2735"/>
      <c r="G145" s="2736"/>
      <c r="H145" s="122"/>
    </row>
    <row r="146" spans="2:10" s="136" customFormat="1" ht="97.5" customHeight="1" x14ac:dyDescent="0.2">
      <c r="B146" s="2737"/>
      <c r="C146" s="2738"/>
      <c r="D146" s="2733"/>
      <c r="E146" s="2734"/>
      <c r="F146" s="2735"/>
      <c r="G146" s="2736"/>
      <c r="H146" s="122"/>
    </row>
    <row r="147" spans="2:10" s="136" customFormat="1" ht="108.75" customHeight="1" x14ac:dyDescent="0.2">
      <c r="B147" s="2737"/>
      <c r="C147" s="2738"/>
      <c r="D147" s="2733"/>
      <c r="E147" s="2734"/>
      <c r="F147" s="2735"/>
      <c r="G147" s="2736"/>
      <c r="H147" s="122"/>
    </row>
    <row r="148" spans="2:10" s="136" customFormat="1" ht="108.75" customHeight="1" x14ac:dyDescent="0.2">
      <c r="B148" s="2737"/>
      <c r="C148" s="2738"/>
      <c r="D148" s="2733"/>
      <c r="E148" s="2734"/>
      <c r="F148" s="2735"/>
      <c r="G148" s="2736"/>
      <c r="H148" s="122"/>
    </row>
    <row r="149" spans="2:10" s="136" customFormat="1" ht="99" customHeight="1" x14ac:dyDescent="0.2">
      <c r="B149" s="2737"/>
      <c r="C149" s="2738"/>
      <c r="D149" s="2733"/>
      <c r="E149" s="2734"/>
      <c r="F149" s="2735"/>
      <c r="G149" s="2736"/>
      <c r="H149" s="122"/>
    </row>
    <row r="150" spans="2:10" s="136" customFormat="1" ht="108.75" customHeight="1" x14ac:dyDescent="0.2">
      <c r="B150" s="2737"/>
      <c r="C150" s="2738"/>
      <c r="D150" s="2733"/>
      <c r="E150" s="2734"/>
      <c r="F150" s="2735"/>
      <c r="G150" s="2736"/>
      <c r="H150" s="122"/>
    </row>
    <row r="151" spans="2:10" s="136" customFormat="1" ht="42" customHeight="1" x14ac:dyDescent="0.2">
      <c r="B151" s="2737"/>
      <c r="C151" s="2738"/>
      <c r="D151" s="2733"/>
      <c r="E151" s="2734"/>
      <c r="F151" s="2735"/>
      <c r="G151" s="2736"/>
      <c r="H151" s="122"/>
    </row>
    <row r="152" spans="2:10" s="136" customFormat="1" ht="18" customHeight="1" x14ac:dyDescent="0.2">
      <c r="B152" s="2737"/>
      <c r="C152" s="2732" t="s">
        <v>2464</v>
      </c>
      <c r="D152" s="2739" t="s">
        <v>98</v>
      </c>
      <c r="E152" s="2740">
        <v>1</v>
      </c>
      <c r="F152" s="2741">
        <v>0</v>
      </c>
      <c r="G152" s="2742">
        <f t="shared" ref="G152" si="8">E152*F152</f>
        <v>0</v>
      </c>
      <c r="H152" s="122"/>
    </row>
    <row r="153" spans="2:10" ht="156" x14ac:dyDescent="0.2">
      <c r="B153" s="1493"/>
      <c r="C153" s="1494" t="s">
        <v>508</v>
      </c>
      <c r="D153" s="1495" t="s">
        <v>149</v>
      </c>
      <c r="E153" s="1496">
        <v>1</v>
      </c>
      <c r="F153" s="1497">
        <v>0</v>
      </c>
      <c r="G153" s="1498">
        <f t="shared" ref="G153" si="9">F153*E153</f>
        <v>0</v>
      </c>
      <c r="H153" s="1842"/>
      <c r="I153" s="1840"/>
      <c r="J153" s="1841"/>
    </row>
    <row r="154" spans="2:10" s="1501" customFormat="1" ht="18" customHeight="1" x14ac:dyDescent="0.25">
      <c r="B154" s="1488">
        <v>2</v>
      </c>
      <c r="C154" s="1499" t="s">
        <v>1839</v>
      </c>
      <c r="D154" s="1499"/>
      <c r="E154" s="1499"/>
      <c r="F154" s="1499"/>
      <c r="G154" s="1499"/>
      <c r="H154" s="1500"/>
    </row>
    <row r="155" spans="2:10" s="147" customFormat="1" ht="18" customHeight="1" x14ac:dyDescent="0.2">
      <c r="B155" s="362"/>
      <c r="C155" s="1502" t="s">
        <v>1840</v>
      </c>
      <c r="D155" s="1503" t="s">
        <v>149</v>
      </c>
      <c r="E155" s="1504">
        <v>2</v>
      </c>
      <c r="F155" s="1497">
        <v>0</v>
      </c>
      <c r="G155" s="1498">
        <f>F155*E155</f>
        <v>0</v>
      </c>
      <c r="H155" s="1843"/>
      <c r="I155" s="1840"/>
      <c r="J155" s="1841"/>
    </row>
    <row r="156" spans="2:10" ht="18" customHeight="1" x14ac:dyDescent="0.2">
      <c r="B156" s="152"/>
      <c r="C156" s="1494" t="s">
        <v>1841</v>
      </c>
      <c r="D156" s="1495" t="s">
        <v>149</v>
      </c>
      <c r="E156" s="1496">
        <v>2</v>
      </c>
      <c r="F156" s="1497">
        <v>0</v>
      </c>
      <c r="G156" s="1498">
        <f t="shared" ref="G156:G168" si="10">F156*E156</f>
        <v>0</v>
      </c>
      <c r="H156" s="1843"/>
      <c r="I156" s="1840"/>
      <c r="J156" s="1841"/>
    </row>
    <row r="157" spans="2:10" ht="18" customHeight="1" x14ac:dyDescent="0.2">
      <c r="B157" s="152"/>
      <c r="C157" s="1494" t="s">
        <v>1842</v>
      </c>
      <c r="D157" s="1495" t="s">
        <v>149</v>
      </c>
      <c r="E157" s="1496">
        <v>2</v>
      </c>
      <c r="F157" s="1497">
        <v>0</v>
      </c>
      <c r="G157" s="1498">
        <f t="shared" si="10"/>
        <v>0</v>
      </c>
      <c r="H157" s="1843"/>
      <c r="I157" s="1840"/>
      <c r="J157" s="1841"/>
    </row>
    <row r="158" spans="2:10" s="147" customFormat="1" ht="18" customHeight="1" x14ac:dyDescent="0.2">
      <c r="B158" s="152"/>
      <c r="C158" s="1494" t="s">
        <v>1843</v>
      </c>
      <c r="D158" s="1495" t="s">
        <v>149</v>
      </c>
      <c r="E158" s="1496">
        <v>4</v>
      </c>
      <c r="F158" s="1497">
        <v>0</v>
      </c>
      <c r="G158" s="1498">
        <f t="shared" si="10"/>
        <v>0</v>
      </c>
      <c r="H158" s="1843"/>
      <c r="I158" s="1840"/>
      <c r="J158" s="1841"/>
    </row>
    <row r="159" spans="2:10" s="147" customFormat="1" ht="18" customHeight="1" x14ac:dyDescent="0.2">
      <c r="B159" s="152"/>
      <c r="C159" s="1494" t="s">
        <v>1844</v>
      </c>
      <c r="D159" s="1495" t="s">
        <v>149</v>
      </c>
      <c r="E159" s="1496">
        <v>10</v>
      </c>
      <c r="F159" s="1497">
        <v>0</v>
      </c>
      <c r="G159" s="1498">
        <f t="shared" si="10"/>
        <v>0</v>
      </c>
      <c r="H159" s="1843"/>
      <c r="I159" s="1840"/>
      <c r="J159" s="1841"/>
    </row>
    <row r="160" spans="2:10" s="147" customFormat="1" ht="18" customHeight="1" x14ac:dyDescent="0.2">
      <c r="B160" s="152"/>
      <c r="C160" s="1494" t="s">
        <v>1845</v>
      </c>
      <c r="D160" s="1495" t="s">
        <v>149</v>
      </c>
      <c r="E160" s="1496">
        <v>6</v>
      </c>
      <c r="F160" s="1497">
        <v>0</v>
      </c>
      <c r="G160" s="1498">
        <f t="shared" si="10"/>
        <v>0</v>
      </c>
      <c r="H160" s="1843"/>
      <c r="I160" s="1840"/>
      <c r="J160" s="1841"/>
    </row>
    <row r="161" spans="2:11" s="147" customFormat="1" ht="18" customHeight="1" x14ac:dyDescent="0.2">
      <c r="B161" s="152"/>
      <c r="C161" s="1494" t="s">
        <v>1846</v>
      </c>
      <c r="D161" s="1495" t="s">
        <v>149</v>
      </c>
      <c r="E161" s="1496">
        <v>1</v>
      </c>
      <c r="F161" s="1497">
        <v>0</v>
      </c>
      <c r="G161" s="1498">
        <f t="shared" si="10"/>
        <v>0</v>
      </c>
      <c r="H161" s="1843"/>
      <c r="I161" s="1840"/>
      <c r="J161" s="1841"/>
    </row>
    <row r="162" spans="2:11" s="147" customFormat="1" ht="18" customHeight="1" x14ac:dyDescent="0.2">
      <c r="B162" s="152"/>
      <c r="C162" s="1494" t="s">
        <v>1847</v>
      </c>
      <c r="D162" s="1495" t="s">
        <v>149</v>
      </c>
      <c r="E162" s="1496">
        <v>1</v>
      </c>
      <c r="F162" s="1497">
        <v>0</v>
      </c>
      <c r="G162" s="1498">
        <f t="shared" si="10"/>
        <v>0</v>
      </c>
      <c r="H162" s="1843"/>
      <c r="I162" s="1840"/>
      <c r="J162" s="1841"/>
    </row>
    <row r="163" spans="2:11" s="147" customFormat="1" ht="18" customHeight="1" x14ac:dyDescent="0.2">
      <c r="B163" s="129"/>
      <c r="C163" s="1494" t="s">
        <v>1848</v>
      </c>
      <c r="D163" s="1495" t="s">
        <v>149</v>
      </c>
      <c r="E163" s="1496">
        <v>5</v>
      </c>
      <c r="F163" s="1497">
        <v>0</v>
      </c>
      <c r="G163" s="1498">
        <f t="shared" si="10"/>
        <v>0</v>
      </c>
      <c r="H163" s="1844"/>
      <c r="I163" s="1845"/>
      <c r="J163" s="1840"/>
      <c r="K163" s="1841"/>
    </row>
    <row r="164" spans="2:11" s="147" customFormat="1" ht="18" customHeight="1" x14ac:dyDescent="0.2">
      <c r="B164" s="152"/>
      <c r="C164" s="1494" t="s">
        <v>1849</v>
      </c>
      <c r="D164" s="1495" t="s">
        <v>149</v>
      </c>
      <c r="E164" s="1496">
        <v>2</v>
      </c>
      <c r="F164" s="1497">
        <v>0</v>
      </c>
      <c r="G164" s="1498">
        <f t="shared" si="10"/>
        <v>0</v>
      </c>
      <c r="H164" s="1844"/>
      <c r="I164" s="1845"/>
      <c r="J164" s="1840"/>
      <c r="K164" s="1841"/>
    </row>
    <row r="165" spans="2:11" s="147" customFormat="1" ht="18" customHeight="1" x14ac:dyDescent="0.2">
      <c r="B165" s="152"/>
      <c r="C165" s="1494" t="s">
        <v>1850</v>
      </c>
      <c r="D165" s="1495" t="s">
        <v>149</v>
      </c>
      <c r="E165" s="1496">
        <v>2</v>
      </c>
      <c r="F165" s="1497">
        <v>0</v>
      </c>
      <c r="G165" s="1498">
        <f t="shared" si="10"/>
        <v>0</v>
      </c>
      <c r="H165" s="1846"/>
      <c r="I165" s="1845"/>
      <c r="J165" s="1840"/>
      <c r="K165" s="1841"/>
    </row>
    <row r="166" spans="2:11" s="147" customFormat="1" ht="18" customHeight="1" x14ac:dyDescent="0.2">
      <c r="B166" s="152"/>
      <c r="C166" s="1494" t="s">
        <v>1444</v>
      </c>
      <c r="D166" s="1495" t="s">
        <v>149</v>
      </c>
      <c r="E166" s="1496">
        <v>3</v>
      </c>
      <c r="F166" s="1497">
        <v>0</v>
      </c>
      <c r="G166" s="1498">
        <f t="shared" si="10"/>
        <v>0</v>
      </c>
      <c r="H166" s="1846"/>
      <c r="I166" s="1845"/>
      <c r="J166" s="1840"/>
      <c r="K166" s="1841"/>
    </row>
    <row r="167" spans="2:11" s="147" customFormat="1" ht="18" customHeight="1" x14ac:dyDescent="0.2">
      <c r="B167" s="152"/>
      <c r="C167" s="1494" t="s">
        <v>1445</v>
      </c>
      <c r="D167" s="1495" t="s">
        <v>149</v>
      </c>
      <c r="E167" s="1496">
        <v>1</v>
      </c>
      <c r="F167" s="1497">
        <v>0</v>
      </c>
      <c r="G167" s="1498">
        <f t="shared" si="10"/>
        <v>0</v>
      </c>
      <c r="H167" s="1846"/>
      <c r="I167" s="1845"/>
      <c r="J167" s="1840"/>
      <c r="K167" s="1841"/>
    </row>
    <row r="168" spans="2:11" s="147" customFormat="1" ht="18" customHeight="1" x14ac:dyDescent="0.2">
      <c r="B168" s="152"/>
      <c r="C168" s="1494" t="s">
        <v>1446</v>
      </c>
      <c r="D168" s="1495" t="s">
        <v>149</v>
      </c>
      <c r="E168" s="1496">
        <v>2</v>
      </c>
      <c r="F168" s="1497">
        <v>0</v>
      </c>
      <c r="G168" s="1498">
        <f t="shared" si="10"/>
        <v>0</v>
      </c>
      <c r="H168" s="1846"/>
      <c r="I168" s="1845"/>
      <c r="J168" s="1840"/>
      <c r="K168" s="1841"/>
    </row>
    <row r="169" spans="2:11" s="1501" customFormat="1" ht="18" customHeight="1" x14ac:dyDescent="0.25">
      <c r="B169" s="1488">
        <v>3</v>
      </c>
      <c r="C169" s="1499" t="s">
        <v>1851</v>
      </c>
      <c r="D169" s="1499"/>
      <c r="E169" s="1499"/>
      <c r="F169" s="1499"/>
      <c r="G169" s="1499"/>
      <c r="H169" s="1500"/>
    </row>
    <row r="170" spans="2:11" s="147" customFormat="1" ht="18" customHeight="1" x14ac:dyDescent="0.2">
      <c r="B170" s="152"/>
      <c r="C170" s="1494" t="s">
        <v>1844</v>
      </c>
      <c r="D170" s="1495" t="s">
        <v>149</v>
      </c>
      <c r="E170" s="1496">
        <v>10</v>
      </c>
      <c r="F170" s="1497">
        <v>0</v>
      </c>
      <c r="G170" s="1498">
        <f t="shared" ref="G170:G184" si="11">F170*E170</f>
        <v>0</v>
      </c>
      <c r="H170" s="1843"/>
      <c r="I170" s="1840"/>
      <c r="J170" s="1841"/>
    </row>
    <row r="171" spans="2:11" s="147" customFormat="1" ht="18" customHeight="1" x14ac:dyDescent="0.2">
      <c r="B171" s="152"/>
      <c r="C171" s="1494" t="s">
        <v>1845</v>
      </c>
      <c r="D171" s="1495" t="s">
        <v>149</v>
      </c>
      <c r="E171" s="1496">
        <v>6</v>
      </c>
      <c r="F171" s="1497">
        <v>0</v>
      </c>
      <c r="G171" s="1498">
        <f t="shared" si="11"/>
        <v>0</v>
      </c>
      <c r="H171" s="1843"/>
      <c r="I171" s="1840"/>
      <c r="J171" s="1841"/>
    </row>
    <row r="172" spans="2:11" s="147" customFormat="1" ht="18" customHeight="1" x14ac:dyDescent="0.2">
      <c r="B172" s="152"/>
      <c r="C172" s="1494" t="s">
        <v>1852</v>
      </c>
      <c r="D172" s="1495" t="s">
        <v>149</v>
      </c>
      <c r="E172" s="1496">
        <v>3</v>
      </c>
      <c r="F172" s="1497">
        <v>0</v>
      </c>
      <c r="G172" s="1498">
        <f t="shared" si="11"/>
        <v>0</v>
      </c>
      <c r="H172" s="1843"/>
      <c r="I172" s="1840"/>
      <c r="J172" s="1841"/>
    </row>
    <row r="173" spans="2:11" s="147" customFormat="1" ht="18" customHeight="1" x14ac:dyDescent="0.2">
      <c r="B173" s="152"/>
      <c r="C173" s="1494" t="s">
        <v>1853</v>
      </c>
      <c r="D173" s="1495" t="s">
        <v>149</v>
      </c>
      <c r="E173" s="1496">
        <v>3</v>
      </c>
      <c r="F173" s="1497">
        <v>0</v>
      </c>
      <c r="G173" s="1498">
        <f t="shared" si="11"/>
        <v>0</v>
      </c>
      <c r="H173" s="1843"/>
      <c r="I173" s="1840"/>
      <c r="J173" s="1841"/>
    </row>
    <row r="174" spans="2:11" s="147" customFormat="1" ht="18" customHeight="1" x14ac:dyDescent="0.2">
      <c r="B174" s="152"/>
      <c r="C174" s="1494" t="s">
        <v>1854</v>
      </c>
      <c r="D174" s="1495" t="s">
        <v>149</v>
      </c>
      <c r="E174" s="1496">
        <v>3</v>
      </c>
      <c r="F174" s="1497">
        <v>0</v>
      </c>
      <c r="G174" s="1498">
        <f t="shared" si="11"/>
        <v>0</v>
      </c>
      <c r="H174" s="1843"/>
      <c r="I174" s="1840"/>
      <c r="J174" s="1841"/>
    </row>
    <row r="175" spans="2:11" s="147" customFormat="1" ht="18" customHeight="1" x14ac:dyDescent="0.2">
      <c r="B175" s="152"/>
      <c r="C175" s="1494" t="s">
        <v>1850</v>
      </c>
      <c r="D175" s="1495" t="s">
        <v>149</v>
      </c>
      <c r="E175" s="1496">
        <v>4</v>
      </c>
      <c r="F175" s="1497">
        <v>0</v>
      </c>
      <c r="G175" s="1498">
        <f t="shared" si="11"/>
        <v>0</v>
      </c>
      <c r="H175" s="1843"/>
      <c r="I175" s="1840"/>
      <c r="J175" s="1841"/>
    </row>
    <row r="176" spans="2:11" s="147" customFormat="1" ht="66.75" customHeight="1" x14ac:dyDescent="0.2">
      <c r="B176" s="152"/>
      <c r="C176" s="1494" t="s">
        <v>1855</v>
      </c>
      <c r="D176" s="1495" t="s">
        <v>149</v>
      </c>
      <c r="E176" s="1496">
        <v>5</v>
      </c>
      <c r="F176" s="1497">
        <v>0</v>
      </c>
      <c r="G176" s="1498">
        <f t="shared" si="11"/>
        <v>0</v>
      </c>
      <c r="H176" s="1843"/>
      <c r="I176" s="1840"/>
      <c r="J176" s="1841"/>
    </row>
    <row r="177" spans="2:10" s="147" customFormat="1" ht="18" customHeight="1" x14ac:dyDescent="0.2">
      <c r="B177" s="152"/>
      <c r="C177" s="1494" t="s">
        <v>1856</v>
      </c>
      <c r="D177" s="1495" t="s">
        <v>149</v>
      </c>
      <c r="E177" s="1496">
        <v>2</v>
      </c>
      <c r="F177" s="1497">
        <v>0</v>
      </c>
      <c r="G177" s="1498">
        <f t="shared" si="11"/>
        <v>0</v>
      </c>
      <c r="H177" s="1843"/>
      <c r="I177" s="1840"/>
      <c r="J177" s="1841"/>
    </row>
    <row r="178" spans="2:10" s="147" customFormat="1" ht="18" customHeight="1" x14ac:dyDescent="0.2">
      <c r="B178" s="152"/>
      <c r="C178" s="1494" t="s">
        <v>1857</v>
      </c>
      <c r="D178" s="1495" t="s">
        <v>149</v>
      </c>
      <c r="E178" s="1496">
        <v>1</v>
      </c>
      <c r="F178" s="1497">
        <v>0</v>
      </c>
      <c r="G178" s="1498">
        <f t="shared" si="11"/>
        <v>0</v>
      </c>
      <c r="H178" s="1843"/>
      <c r="I178" s="1840"/>
      <c r="J178" s="1841"/>
    </row>
    <row r="179" spans="2:10" s="147" customFormat="1" ht="18" customHeight="1" x14ac:dyDescent="0.2">
      <c r="B179" s="152"/>
      <c r="C179" s="1494" t="s">
        <v>1848</v>
      </c>
      <c r="D179" s="1495" t="s">
        <v>149</v>
      </c>
      <c r="E179" s="1496">
        <v>12</v>
      </c>
      <c r="F179" s="1497">
        <v>0</v>
      </c>
      <c r="G179" s="1498">
        <f t="shared" si="11"/>
        <v>0</v>
      </c>
      <c r="H179" s="1843"/>
      <c r="I179" s="1840"/>
      <c r="J179" s="1841"/>
    </row>
    <row r="180" spans="2:10" s="147" customFormat="1" ht="18" customHeight="1" x14ac:dyDescent="0.2">
      <c r="B180" s="152"/>
      <c r="C180" s="1494" t="s">
        <v>1858</v>
      </c>
      <c r="D180" s="1495" t="s">
        <v>149</v>
      </c>
      <c r="E180" s="1496">
        <v>1</v>
      </c>
      <c r="F180" s="1497">
        <v>0</v>
      </c>
      <c r="G180" s="1498">
        <f t="shared" si="11"/>
        <v>0</v>
      </c>
      <c r="H180" s="1843"/>
      <c r="I180" s="1840"/>
      <c r="J180" s="1841"/>
    </row>
    <row r="181" spans="2:10" s="147" customFormat="1" ht="18" customHeight="1" x14ac:dyDescent="0.2">
      <c r="B181" s="152"/>
      <c r="C181" s="1494" t="s">
        <v>1859</v>
      </c>
      <c r="D181" s="1495" t="s">
        <v>149</v>
      </c>
      <c r="E181" s="1496">
        <v>1</v>
      </c>
      <c r="F181" s="1497">
        <v>0</v>
      </c>
      <c r="G181" s="1498">
        <f t="shared" si="11"/>
        <v>0</v>
      </c>
      <c r="H181" s="1843"/>
      <c r="I181" s="1840"/>
      <c r="J181" s="1841"/>
    </row>
    <row r="182" spans="2:10" ht="73.5" customHeight="1" x14ac:dyDescent="0.2">
      <c r="B182" s="129"/>
      <c r="C182" s="1505" t="s">
        <v>1860</v>
      </c>
      <c r="D182" s="1495" t="s">
        <v>149</v>
      </c>
      <c r="E182" s="1496">
        <v>1</v>
      </c>
      <c r="F182" s="1497">
        <v>0</v>
      </c>
      <c r="G182" s="1498">
        <f t="shared" si="11"/>
        <v>0</v>
      </c>
      <c r="H182" s="1843"/>
      <c r="I182" s="1840"/>
      <c r="J182" s="1841"/>
    </row>
    <row r="183" spans="2:10" s="147" customFormat="1" ht="18" customHeight="1" x14ac:dyDescent="0.2">
      <c r="B183" s="152"/>
      <c r="C183" s="1494" t="s">
        <v>1861</v>
      </c>
      <c r="D183" s="1495" t="s">
        <v>149</v>
      </c>
      <c r="E183" s="1496">
        <v>2</v>
      </c>
      <c r="F183" s="1497">
        <v>0</v>
      </c>
      <c r="G183" s="1498">
        <f t="shared" si="11"/>
        <v>0</v>
      </c>
      <c r="H183" s="1843"/>
      <c r="I183" s="1840"/>
      <c r="J183" s="1841"/>
    </row>
    <row r="184" spans="2:10" s="147" customFormat="1" ht="18" customHeight="1" x14ac:dyDescent="0.2">
      <c r="B184" s="152"/>
      <c r="C184" s="1494" t="s">
        <v>265</v>
      </c>
      <c r="D184" s="1495" t="s">
        <v>149</v>
      </c>
      <c r="E184" s="1496">
        <v>2</v>
      </c>
      <c r="F184" s="1497">
        <v>0</v>
      </c>
      <c r="G184" s="1498">
        <f t="shared" si="11"/>
        <v>0</v>
      </c>
      <c r="H184" s="1843"/>
      <c r="I184" s="1840"/>
      <c r="J184" s="1841"/>
    </row>
    <row r="185" spans="2:10" s="1501" customFormat="1" ht="18" customHeight="1" x14ac:dyDescent="0.25">
      <c r="B185" s="1488">
        <v>4</v>
      </c>
      <c r="C185" s="1499" t="s">
        <v>1862</v>
      </c>
      <c r="D185" s="1499"/>
      <c r="E185" s="1499"/>
      <c r="F185" s="1499"/>
      <c r="G185" s="1499"/>
      <c r="H185" s="1500"/>
    </row>
    <row r="186" spans="2:10" s="147" customFormat="1" ht="18" customHeight="1" x14ac:dyDescent="0.2">
      <c r="B186" s="152"/>
      <c r="C186" s="1494" t="s">
        <v>1844</v>
      </c>
      <c r="D186" s="1495" t="s">
        <v>149</v>
      </c>
      <c r="E186" s="1496">
        <v>7</v>
      </c>
      <c r="F186" s="1497">
        <v>0</v>
      </c>
      <c r="G186" s="1498">
        <f t="shared" ref="G186:G201" si="12">F186*E186</f>
        <v>0</v>
      </c>
      <c r="H186" s="1843"/>
      <c r="I186" s="1840"/>
      <c r="J186" s="1841"/>
    </row>
    <row r="187" spans="2:10" s="147" customFormat="1" ht="18" customHeight="1" x14ac:dyDescent="0.2">
      <c r="B187" s="152"/>
      <c r="C187" s="1494" t="s">
        <v>1845</v>
      </c>
      <c r="D187" s="1495" t="s">
        <v>149</v>
      </c>
      <c r="E187" s="1496">
        <v>4</v>
      </c>
      <c r="F187" s="1497">
        <v>0</v>
      </c>
      <c r="G187" s="1498">
        <f t="shared" si="12"/>
        <v>0</v>
      </c>
      <c r="H187" s="1843"/>
      <c r="I187" s="1840"/>
      <c r="J187" s="1841"/>
    </row>
    <row r="188" spans="2:10" s="147" customFormat="1" ht="18" customHeight="1" x14ac:dyDescent="0.2">
      <c r="B188" s="152"/>
      <c r="C188" s="1494" t="s">
        <v>1852</v>
      </c>
      <c r="D188" s="1495" t="s">
        <v>149</v>
      </c>
      <c r="E188" s="1496">
        <v>2</v>
      </c>
      <c r="F188" s="1497">
        <v>0</v>
      </c>
      <c r="G188" s="1498">
        <f t="shared" si="12"/>
        <v>0</v>
      </c>
      <c r="H188" s="1843"/>
      <c r="I188" s="1840"/>
      <c r="J188" s="1841"/>
    </row>
    <row r="189" spans="2:10" s="147" customFormat="1" ht="18" customHeight="1" x14ac:dyDescent="0.2">
      <c r="B189" s="152"/>
      <c r="C189" s="1494" t="s">
        <v>1863</v>
      </c>
      <c r="D189" s="1495" t="s">
        <v>149</v>
      </c>
      <c r="E189" s="1496">
        <v>2</v>
      </c>
      <c r="F189" s="1497">
        <v>0</v>
      </c>
      <c r="G189" s="1498">
        <f t="shared" si="12"/>
        <v>0</v>
      </c>
      <c r="H189" s="1843"/>
      <c r="I189" s="1840"/>
      <c r="J189" s="1841"/>
    </row>
    <row r="190" spans="2:10" s="147" customFormat="1" ht="18" customHeight="1" x14ac:dyDescent="0.2">
      <c r="B190" s="152"/>
      <c r="C190" s="1494" t="s">
        <v>1853</v>
      </c>
      <c r="D190" s="1495" t="s">
        <v>149</v>
      </c>
      <c r="E190" s="1496">
        <v>2</v>
      </c>
      <c r="F190" s="1497">
        <v>0</v>
      </c>
      <c r="G190" s="1498">
        <f t="shared" si="12"/>
        <v>0</v>
      </c>
      <c r="H190" s="1843"/>
      <c r="I190" s="1840"/>
      <c r="J190" s="1841"/>
    </row>
    <row r="191" spans="2:10" s="147" customFormat="1" ht="18" customHeight="1" x14ac:dyDescent="0.2">
      <c r="B191" s="152"/>
      <c r="C191" s="1494" t="s">
        <v>1850</v>
      </c>
      <c r="D191" s="1495" t="s">
        <v>149</v>
      </c>
      <c r="E191" s="1496">
        <v>1</v>
      </c>
      <c r="F191" s="1497">
        <v>0</v>
      </c>
      <c r="G191" s="1498">
        <f t="shared" si="12"/>
        <v>0</v>
      </c>
      <c r="H191" s="1843"/>
      <c r="I191" s="1840"/>
      <c r="J191" s="1841"/>
    </row>
    <row r="192" spans="2:10" s="147" customFormat="1" ht="18" customHeight="1" x14ac:dyDescent="0.2">
      <c r="B192" s="152"/>
      <c r="C192" s="1494" t="s">
        <v>1856</v>
      </c>
      <c r="D192" s="1495" t="s">
        <v>149</v>
      </c>
      <c r="E192" s="1496">
        <v>2</v>
      </c>
      <c r="F192" s="1497">
        <v>0</v>
      </c>
      <c r="G192" s="1498">
        <f t="shared" si="12"/>
        <v>0</v>
      </c>
      <c r="H192" s="1843"/>
      <c r="I192" s="1840"/>
      <c r="J192" s="1841"/>
    </row>
    <row r="193" spans="2:10" s="147" customFormat="1" ht="18" customHeight="1" x14ac:dyDescent="0.2">
      <c r="B193" s="152"/>
      <c r="C193" s="1494" t="s">
        <v>1857</v>
      </c>
      <c r="D193" s="1495" t="s">
        <v>149</v>
      </c>
      <c r="E193" s="1496">
        <v>1</v>
      </c>
      <c r="F193" s="1497">
        <v>0</v>
      </c>
      <c r="G193" s="1498">
        <f t="shared" si="12"/>
        <v>0</v>
      </c>
      <c r="H193" s="1843"/>
      <c r="I193" s="1840"/>
      <c r="J193" s="1841"/>
    </row>
    <row r="194" spans="2:10" s="147" customFormat="1" ht="18" customHeight="1" x14ac:dyDescent="0.2">
      <c r="B194" s="152"/>
      <c r="C194" s="1494" t="s">
        <v>1848</v>
      </c>
      <c r="D194" s="1495" t="s">
        <v>149</v>
      </c>
      <c r="E194" s="1496">
        <v>8</v>
      </c>
      <c r="F194" s="1497">
        <v>0</v>
      </c>
      <c r="G194" s="1498">
        <f t="shared" si="12"/>
        <v>0</v>
      </c>
      <c r="H194" s="1843"/>
      <c r="I194" s="1840"/>
      <c r="J194" s="1841"/>
    </row>
    <row r="195" spans="2:10" s="147" customFormat="1" ht="18" customHeight="1" x14ac:dyDescent="0.2">
      <c r="B195" s="152"/>
      <c r="C195" s="1494" t="s">
        <v>1858</v>
      </c>
      <c r="D195" s="1495" t="s">
        <v>149</v>
      </c>
      <c r="E195" s="1496">
        <v>1</v>
      </c>
      <c r="F195" s="1497">
        <v>0</v>
      </c>
      <c r="G195" s="1498">
        <f t="shared" si="12"/>
        <v>0</v>
      </c>
      <c r="H195" s="1843"/>
      <c r="I195" s="1840"/>
      <c r="J195" s="1841"/>
    </row>
    <row r="196" spans="2:10" s="139" customFormat="1" ht="74.25" customHeight="1" x14ac:dyDescent="0.2">
      <c r="B196" s="129"/>
      <c r="C196" s="1505" t="s">
        <v>1860</v>
      </c>
      <c r="D196" s="1495" t="s">
        <v>149</v>
      </c>
      <c r="E196" s="1496">
        <v>1</v>
      </c>
      <c r="F196" s="1497">
        <v>0</v>
      </c>
      <c r="G196" s="1498">
        <f t="shared" si="12"/>
        <v>0</v>
      </c>
      <c r="H196" s="1430"/>
    </row>
    <row r="197" spans="2:10" s="147" customFormat="1" ht="18" customHeight="1" x14ac:dyDescent="0.2">
      <c r="B197" s="152"/>
      <c r="C197" s="1494" t="s">
        <v>1861</v>
      </c>
      <c r="D197" s="1495" t="s">
        <v>149</v>
      </c>
      <c r="E197" s="1496">
        <v>2</v>
      </c>
      <c r="F197" s="1497">
        <v>0</v>
      </c>
      <c r="G197" s="1498">
        <f t="shared" si="12"/>
        <v>0</v>
      </c>
      <c r="H197" s="1843"/>
      <c r="I197" s="1840"/>
      <c r="J197" s="1841"/>
    </row>
    <row r="198" spans="2:10" s="147" customFormat="1" ht="18" customHeight="1" x14ac:dyDescent="0.2">
      <c r="B198" s="152"/>
      <c r="C198" s="1494" t="s">
        <v>1864</v>
      </c>
      <c r="D198" s="1495" t="s">
        <v>149</v>
      </c>
      <c r="E198" s="1496">
        <v>4</v>
      </c>
      <c r="F198" s="1497">
        <v>0</v>
      </c>
      <c r="G198" s="1498">
        <f t="shared" si="12"/>
        <v>0</v>
      </c>
      <c r="H198" s="1843"/>
      <c r="I198" s="1840"/>
      <c r="J198" s="1841"/>
    </row>
    <row r="199" spans="2:10" s="147" customFormat="1" ht="18" customHeight="1" x14ac:dyDescent="0.2">
      <c r="B199" s="152"/>
      <c r="C199" s="1494" t="s">
        <v>1524</v>
      </c>
      <c r="D199" s="1495" t="s">
        <v>149</v>
      </c>
      <c r="E199" s="1496">
        <v>2</v>
      </c>
      <c r="F199" s="1497">
        <v>0</v>
      </c>
      <c r="G199" s="1498">
        <f t="shared" si="12"/>
        <v>0</v>
      </c>
      <c r="H199" s="1843"/>
      <c r="I199" s="1840"/>
      <c r="J199" s="1841"/>
    </row>
    <row r="200" spans="2:10" s="147" customFormat="1" ht="18" customHeight="1" x14ac:dyDescent="0.2">
      <c r="B200" s="152"/>
      <c r="C200" s="1494" t="s">
        <v>1865</v>
      </c>
      <c r="D200" s="1495" t="s">
        <v>149</v>
      </c>
      <c r="E200" s="1496">
        <v>2</v>
      </c>
      <c r="F200" s="1497">
        <v>0</v>
      </c>
      <c r="G200" s="1498">
        <f t="shared" si="12"/>
        <v>0</v>
      </c>
      <c r="H200" s="1843"/>
      <c r="I200" s="1840"/>
      <c r="J200" s="1841"/>
    </row>
    <row r="201" spans="2:10" s="147" customFormat="1" ht="18" customHeight="1" x14ac:dyDescent="0.2">
      <c r="B201" s="152"/>
      <c r="C201" s="1494" t="s">
        <v>535</v>
      </c>
      <c r="D201" s="1495" t="s">
        <v>149</v>
      </c>
      <c r="E201" s="1496">
        <v>2</v>
      </c>
      <c r="F201" s="1497">
        <v>0</v>
      </c>
      <c r="G201" s="1498">
        <f t="shared" si="12"/>
        <v>0</v>
      </c>
      <c r="H201" s="1843"/>
      <c r="I201" s="1840"/>
      <c r="J201" s="1841"/>
    </row>
    <row r="202" spans="2:10" s="147" customFormat="1" ht="18" customHeight="1" x14ac:dyDescent="0.25">
      <c r="B202" s="148">
        <v>5</v>
      </c>
      <c r="C202" s="1506" t="s">
        <v>1866</v>
      </c>
      <c r="D202" s="1507"/>
      <c r="E202" s="1508"/>
      <c r="F202" s="1509"/>
      <c r="G202" s="1508"/>
      <c r="H202" s="1847"/>
      <c r="I202" s="1848"/>
      <c r="J202" s="1849"/>
    </row>
    <row r="203" spans="2:10" s="147" customFormat="1" ht="27.75" customHeight="1" x14ac:dyDescent="0.2">
      <c r="B203" s="129"/>
      <c r="C203" s="1850" t="s">
        <v>1867</v>
      </c>
      <c r="D203" s="1510" t="s">
        <v>98</v>
      </c>
      <c r="E203" s="1511">
        <v>1</v>
      </c>
      <c r="F203" s="1512">
        <v>0</v>
      </c>
      <c r="G203" s="1513">
        <f t="shared" ref="G203:G204" si="13">E203*F203</f>
        <v>0</v>
      </c>
      <c r="H203" s="150"/>
    </row>
    <row r="204" spans="2:10" ht="29.25" customHeight="1" x14ac:dyDescent="0.2">
      <c r="B204" s="129"/>
      <c r="C204" s="1850" t="s">
        <v>1868</v>
      </c>
      <c r="D204" s="1510" t="s">
        <v>98</v>
      </c>
      <c r="E204" s="1511">
        <v>1</v>
      </c>
      <c r="F204" s="1512">
        <v>0</v>
      </c>
      <c r="G204" s="1513">
        <f t="shared" si="13"/>
        <v>0</v>
      </c>
      <c r="H204" s="1514"/>
    </row>
    <row r="205" spans="2:10" s="147" customFormat="1" ht="18" customHeight="1" x14ac:dyDescent="0.25">
      <c r="B205" s="2770">
        <v>6</v>
      </c>
      <c r="C205" s="2771" t="s">
        <v>1548</v>
      </c>
      <c r="D205" s="2772"/>
      <c r="E205" s="2773"/>
      <c r="F205" s="2774"/>
      <c r="G205" s="2773"/>
      <c r="H205" s="1847"/>
      <c r="I205" s="1848"/>
      <c r="J205" s="1849"/>
    </row>
    <row r="206" spans="2:10" s="147" customFormat="1" ht="322.5" customHeight="1" x14ac:dyDescent="0.25">
      <c r="B206" s="2775"/>
      <c r="C206" s="2776" t="s">
        <v>1549</v>
      </c>
      <c r="D206" s="2777" t="s">
        <v>149</v>
      </c>
      <c r="E206" s="2778">
        <v>1</v>
      </c>
      <c r="F206" s="2779"/>
      <c r="G206" s="2780"/>
      <c r="H206" s="1515"/>
    </row>
    <row r="207" spans="2:10" s="147" customFormat="1" ht="267.75" x14ac:dyDescent="0.25">
      <c r="B207" s="2775"/>
      <c r="C207" s="2781" t="s">
        <v>1550</v>
      </c>
      <c r="D207" s="2777" t="s">
        <v>98</v>
      </c>
      <c r="E207" s="2778">
        <v>1</v>
      </c>
      <c r="F207" s="2779"/>
      <c r="G207" s="2780"/>
      <c r="H207" s="1515"/>
    </row>
    <row r="208" spans="2:10" s="147" customFormat="1" ht="103.5" customHeight="1" x14ac:dyDescent="0.25">
      <c r="B208" s="2775"/>
      <c r="C208" s="2782" t="s">
        <v>1551</v>
      </c>
      <c r="D208" s="2777" t="s">
        <v>149</v>
      </c>
      <c r="E208" s="2778">
        <v>1</v>
      </c>
      <c r="F208" s="2779"/>
      <c r="G208" s="2780"/>
      <c r="H208" s="1515"/>
    </row>
    <row r="209" spans="2:8" s="147" customFormat="1" ht="93" customHeight="1" x14ac:dyDescent="0.25">
      <c r="B209" s="2775"/>
      <c r="C209" s="2783" t="s">
        <v>1352</v>
      </c>
      <c r="D209" s="2777" t="s">
        <v>98</v>
      </c>
      <c r="E209" s="2778">
        <v>1</v>
      </c>
      <c r="F209" s="2779"/>
      <c r="G209" s="2780"/>
      <c r="H209" s="1515"/>
    </row>
    <row r="210" spans="2:8" s="147" customFormat="1" ht="319.5" customHeight="1" x14ac:dyDescent="0.25">
      <c r="B210" s="2775"/>
      <c r="C210" s="2784" t="s">
        <v>923</v>
      </c>
      <c r="D210" s="2777" t="s">
        <v>149</v>
      </c>
      <c r="E210" s="2778">
        <v>1</v>
      </c>
      <c r="F210" s="2779"/>
      <c r="G210" s="2780"/>
      <c r="H210" s="1515"/>
    </row>
    <row r="211" spans="2:8" s="147" customFormat="1" x14ac:dyDescent="0.2">
      <c r="B211" s="2775"/>
      <c r="C211" s="2785" t="s">
        <v>924</v>
      </c>
      <c r="D211" s="2777" t="s">
        <v>98</v>
      </c>
      <c r="E211" s="2778">
        <v>1</v>
      </c>
      <c r="F211" s="2779"/>
      <c r="G211" s="2780"/>
      <c r="H211" s="1515"/>
    </row>
    <row r="212" spans="2:8" s="147" customFormat="1" ht="23.25" customHeight="1" x14ac:dyDescent="0.2">
      <c r="B212" s="2775"/>
      <c r="C212" s="2786" t="s">
        <v>2522</v>
      </c>
      <c r="D212" s="2787" t="s">
        <v>560</v>
      </c>
      <c r="E212" s="2778">
        <v>1</v>
      </c>
      <c r="F212" s="2779">
        <v>0</v>
      </c>
      <c r="G212" s="2780">
        <f t="shared" ref="G212" si="14">E212*F212</f>
        <v>0</v>
      </c>
      <c r="H212" s="1515"/>
    </row>
    <row r="213" spans="2:8" s="136" customFormat="1" ht="25.5" customHeight="1" x14ac:dyDescent="0.2">
      <c r="B213" s="293" t="s">
        <v>17</v>
      </c>
      <c r="C213" s="294" t="s">
        <v>302</v>
      </c>
      <c r="D213" s="218"/>
      <c r="E213" s="203"/>
      <c r="F213" s="1516"/>
      <c r="G213" s="1449">
        <f>SUM(G144:G212)</f>
        <v>0</v>
      </c>
      <c r="H213" s="565"/>
    </row>
    <row r="214" spans="2:8" s="136" customFormat="1" ht="25.5" customHeight="1" x14ac:dyDescent="0.2">
      <c r="B214" s="1945"/>
      <c r="C214" s="2950"/>
      <c r="D214" s="2951"/>
      <c r="E214" s="2952"/>
      <c r="F214" s="2953"/>
      <c r="G214" s="2954"/>
      <c r="H214" s="565"/>
    </row>
    <row r="215" spans="2:8" ht="23.25" customHeight="1" x14ac:dyDescent="0.2">
      <c r="B215" s="303" t="s">
        <v>18</v>
      </c>
      <c r="C215" s="3294" t="s">
        <v>2535</v>
      </c>
      <c r="D215" s="3295"/>
      <c r="E215" s="3295"/>
      <c r="F215" s="3295"/>
      <c r="G215" s="3296"/>
    </row>
    <row r="216" spans="2:8" ht="104.25" customHeight="1" x14ac:dyDescent="0.2">
      <c r="B216" s="3297" t="s">
        <v>1869</v>
      </c>
      <c r="C216" s="3298"/>
      <c r="D216" s="3298"/>
      <c r="E216" s="3298"/>
      <c r="F216" s="3298"/>
      <c r="G216" s="3299"/>
    </row>
    <row r="217" spans="2:8" s="139" customFormat="1" x14ac:dyDescent="0.2">
      <c r="B217" s="1517"/>
      <c r="C217" s="1518"/>
      <c r="D217" s="442"/>
      <c r="E217" s="1519"/>
      <c r="F217" s="1520"/>
      <c r="G217" s="1521"/>
      <c r="H217" s="1430"/>
    </row>
    <row r="218" spans="2:8" x14ac:dyDescent="0.2">
      <c r="B218" s="526" t="s">
        <v>368</v>
      </c>
      <c r="C218" s="527" t="s">
        <v>84</v>
      </c>
      <c r="D218" s="527" t="s">
        <v>546</v>
      </c>
      <c r="E218" s="528" t="s">
        <v>547</v>
      </c>
      <c r="F218" s="529" t="s">
        <v>1873</v>
      </c>
      <c r="G218" s="527" t="s">
        <v>1874</v>
      </c>
      <c r="H218" s="121"/>
    </row>
    <row r="219" spans="2:8" x14ac:dyDescent="0.2">
      <c r="B219" s="530"/>
      <c r="C219" s="1073"/>
      <c r="D219" s="1203"/>
      <c r="E219" s="1204"/>
      <c r="F219" s="1522"/>
      <c r="G219" s="1523"/>
      <c r="H219" s="121"/>
    </row>
    <row r="220" spans="2:8" x14ac:dyDescent="0.2">
      <c r="B220" s="530"/>
      <c r="C220" s="1073"/>
      <c r="D220" s="1203"/>
      <c r="E220" s="1204"/>
      <c r="F220" s="1522"/>
      <c r="G220" s="1523"/>
      <c r="H220" s="121"/>
    </row>
    <row r="221" spans="2:8" ht="24" x14ac:dyDescent="0.2">
      <c r="B221" s="1224" t="s">
        <v>8</v>
      </c>
      <c r="C221" s="1071" t="s">
        <v>1870</v>
      </c>
      <c r="D221" s="1199" t="s">
        <v>551</v>
      </c>
      <c r="E221" s="1200" t="s">
        <v>551</v>
      </c>
      <c r="F221" s="1524"/>
      <c r="G221" s="1524"/>
      <c r="H221" s="121"/>
    </row>
    <row r="222" spans="2:8" x14ac:dyDescent="0.2">
      <c r="B222" s="1226"/>
      <c r="C222" s="1072"/>
      <c r="D222" s="1201"/>
      <c r="E222" s="1202"/>
      <c r="F222" s="1522"/>
      <c r="G222" s="1522"/>
      <c r="H222" s="121"/>
    </row>
    <row r="223" spans="2:8" ht="63.75" x14ac:dyDescent="0.2">
      <c r="B223" s="1851" t="s">
        <v>167</v>
      </c>
      <c r="C223" s="1852" t="s">
        <v>1875</v>
      </c>
      <c r="D223" s="1853" t="s">
        <v>644</v>
      </c>
      <c r="E223" s="1853">
        <v>40</v>
      </c>
      <c r="F223" s="2011">
        <v>0</v>
      </c>
      <c r="G223" s="1854">
        <f t="shared" ref="G223:G230" si="15">E223*F223</f>
        <v>0</v>
      </c>
      <c r="H223" s="121"/>
    </row>
    <row r="224" spans="2:8" ht="76.5" x14ac:dyDescent="0.2">
      <c r="B224" s="1851" t="s">
        <v>622</v>
      </c>
      <c r="C224" s="1852" t="s">
        <v>1876</v>
      </c>
      <c r="D224" s="1853" t="s">
        <v>413</v>
      </c>
      <c r="E224" s="1853">
        <f>50*0.8</f>
        <v>40</v>
      </c>
      <c r="F224" s="2011">
        <v>0</v>
      </c>
      <c r="G224" s="1854">
        <f t="shared" si="15"/>
        <v>0</v>
      </c>
      <c r="H224" s="121"/>
    </row>
    <row r="225" spans="2:8" ht="51" x14ac:dyDescent="0.2">
      <c r="B225" s="1851" t="s">
        <v>633</v>
      </c>
      <c r="C225" s="1852" t="s">
        <v>1877</v>
      </c>
      <c r="D225" s="1853" t="s">
        <v>123</v>
      </c>
      <c r="E225" s="1853">
        <v>25</v>
      </c>
      <c r="F225" s="2011">
        <v>0</v>
      </c>
      <c r="G225" s="1854">
        <f t="shared" si="15"/>
        <v>0</v>
      </c>
      <c r="H225" s="121"/>
    </row>
    <row r="226" spans="2:8" ht="51" x14ac:dyDescent="0.2">
      <c r="B226" s="1851" t="s">
        <v>641</v>
      </c>
      <c r="C226" s="1852" t="s">
        <v>1878</v>
      </c>
      <c r="D226" s="1853" t="s">
        <v>123</v>
      </c>
      <c r="E226" s="1853">
        <v>2</v>
      </c>
      <c r="F226" s="2011">
        <v>0</v>
      </c>
      <c r="G226" s="1854">
        <f t="shared" si="15"/>
        <v>0</v>
      </c>
      <c r="H226" s="121"/>
    </row>
    <row r="227" spans="2:8" ht="38.25" x14ac:dyDescent="0.2">
      <c r="B227" s="1851" t="s">
        <v>653</v>
      </c>
      <c r="C227" s="1852" t="s">
        <v>1879</v>
      </c>
      <c r="D227" s="1853" t="s">
        <v>123</v>
      </c>
      <c r="E227" s="1853">
        <v>4</v>
      </c>
      <c r="F227" s="2011">
        <v>0</v>
      </c>
      <c r="G227" s="1854">
        <f t="shared" si="15"/>
        <v>0</v>
      </c>
      <c r="H227" s="121"/>
    </row>
    <row r="228" spans="2:8" ht="63.75" x14ac:dyDescent="0.2">
      <c r="B228" s="1851" t="s">
        <v>664</v>
      </c>
      <c r="C228" s="1852" t="s">
        <v>1880</v>
      </c>
      <c r="D228" s="1853" t="s">
        <v>123</v>
      </c>
      <c r="E228" s="1853">
        <v>2</v>
      </c>
      <c r="F228" s="2011">
        <v>0</v>
      </c>
      <c r="G228" s="1854">
        <f t="shared" si="15"/>
        <v>0</v>
      </c>
      <c r="H228" s="121"/>
    </row>
    <row r="229" spans="2:8" ht="38.25" x14ac:dyDescent="0.2">
      <c r="B229" s="1851" t="s">
        <v>678</v>
      </c>
      <c r="C229" s="1852" t="s">
        <v>1881</v>
      </c>
      <c r="D229" s="1853" t="s">
        <v>644</v>
      </c>
      <c r="E229" s="1853">
        <v>12</v>
      </c>
      <c r="F229" s="2011">
        <v>0</v>
      </c>
      <c r="G229" s="1854">
        <f t="shared" si="15"/>
        <v>0</v>
      </c>
      <c r="H229" s="121"/>
    </row>
    <row r="230" spans="2:8" ht="38.25" x14ac:dyDescent="0.2">
      <c r="B230" s="1851" t="s">
        <v>688</v>
      </c>
      <c r="C230" s="1852" t="s">
        <v>1882</v>
      </c>
      <c r="D230" s="1853" t="s">
        <v>644</v>
      </c>
      <c r="E230" s="1853">
        <v>12</v>
      </c>
      <c r="F230" s="2011">
        <v>0</v>
      </c>
      <c r="G230" s="1854">
        <f t="shared" si="15"/>
        <v>0</v>
      </c>
      <c r="H230" s="121"/>
    </row>
    <row r="231" spans="2:8" x14ac:dyDescent="0.2">
      <c r="B231" s="1851" t="s">
        <v>1201</v>
      </c>
      <c r="C231" s="1525" t="s">
        <v>654</v>
      </c>
      <c r="D231" s="1855"/>
      <c r="E231" s="1856"/>
      <c r="F231" s="2011"/>
      <c r="G231" s="1854"/>
      <c r="H231" s="121"/>
    </row>
    <row r="232" spans="2:8" x14ac:dyDescent="0.2">
      <c r="B232" s="1851" t="s">
        <v>1202</v>
      </c>
      <c r="C232" s="1852" t="s">
        <v>655</v>
      </c>
      <c r="D232" s="1853" t="s">
        <v>644</v>
      </c>
      <c r="E232" s="1853">
        <v>40</v>
      </c>
      <c r="F232" s="2011">
        <v>0</v>
      </c>
      <c r="G232" s="1854">
        <f t="shared" ref="G232:G259" si="16">E232*F232</f>
        <v>0</v>
      </c>
      <c r="H232" s="121"/>
    </row>
    <row r="233" spans="2:8" x14ac:dyDescent="0.2">
      <c r="B233" s="1851" t="s">
        <v>1203</v>
      </c>
      <c r="C233" s="1852" t="s">
        <v>1883</v>
      </c>
      <c r="D233" s="1853" t="s">
        <v>644</v>
      </c>
      <c r="E233" s="1853">
        <v>20</v>
      </c>
      <c r="F233" s="2011">
        <v>0</v>
      </c>
      <c r="G233" s="1854">
        <f t="shared" si="16"/>
        <v>0</v>
      </c>
      <c r="H233" s="121"/>
    </row>
    <row r="234" spans="2:8" ht="51" x14ac:dyDescent="0.2">
      <c r="B234" s="1851" t="s">
        <v>1204</v>
      </c>
      <c r="C234" s="1852" t="s">
        <v>656</v>
      </c>
      <c r="D234" s="1853" t="s">
        <v>98</v>
      </c>
      <c r="E234" s="1853">
        <v>2</v>
      </c>
      <c r="F234" s="2011">
        <v>0</v>
      </c>
      <c r="G234" s="1854">
        <f t="shared" si="16"/>
        <v>0</v>
      </c>
    </row>
    <row r="235" spans="2:8" ht="38.25" x14ac:dyDescent="0.2">
      <c r="B235" s="1851" t="s">
        <v>1646</v>
      </c>
      <c r="C235" s="1852" t="s">
        <v>657</v>
      </c>
      <c r="D235" s="1853" t="s">
        <v>98</v>
      </c>
      <c r="E235" s="1853">
        <v>1</v>
      </c>
      <c r="F235" s="2011">
        <v>0</v>
      </c>
      <c r="G235" s="1854">
        <f t="shared" si="16"/>
        <v>0</v>
      </c>
    </row>
    <row r="236" spans="2:8" ht="38.25" x14ac:dyDescent="0.2">
      <c r="B236" s="1851" t="s">
        <v>1647</v>
      </c>
      <c r="C236" s="1852" t="s">
        <v>666</v>
      </c>
      <c r="D236" s="1853" t="s">
        <v>644</v>
      </c>
      <c r="E236" s="1853">
        <v>10</v>
      </c>
      <c r="F236" s="2011">
        <v>0</v>
      </c>
      <c r="G236" s="1854">
        <f t="shared" si="16"/>
        <v>0</v>
      </c>
    </row>
    <row r="237" spans="2:8" ht="25.5" x14ac:dyDescent="0.2">
      <c r="B237" s="1851" t="s">
        <v>1884</v>
      </c>
      <c r="C237" s="1852" t="s">
        <v>667</v>
      </c>
      <c r="D237" s="1853" t="s">
        <v>644</v>
      </c>
      <c r="E237" s="1853">
        <v>40</v>
      </c>
      <c r="F237" s="2011">
        <v>0</v>
      </c>
      <c r="G237" s="1854">
        <f t="shared" si="16"/>
        <v>0</v>
      </c>
      <c r="H237" s="1514"/>
    </row>
    <row r="238" spans="2:8" ht="15" customHeight="1" x14ac:dyDescent="0.2">
      <c r="B238" s="1851" t="s">
        <v>1885</v>
      </c>
      <c r="C238" s="1852" t="s">
        <v>668</v>
      </c>
      <c r="D238" s="1853" t="s">
        <v>644</v>
      </c>
      <c r="E238" s="1853">
        <v>20</v>
      </c>
      <c r="F238" s="2011">
        <v>0</v>
      </c>
      <c r="G238" s="1854">
        <f t="shared" si="16"/>
        <v>0</v>
      </c>
      <c r="H238" s="1514"/>
    </row>
    <row r="239" spans="2:8" ht="15" customHeight="1" x14ac:dyDescent="0.2">
      <c r="B239" s="1851" t="s">
        <v>1886</v>
      </c>
      <c r="C239" s="1852" t="s">
        <v>1887</v>
      </c>
      <c r="D239" s="1853" t="s">
        <v>123</v>
      </c>
      <c r="E239" s="1853">
        <v>4</v>
      </c>
      <c r="F239" s="2011">
        <v>0</v>
      </c>
      <c r="G239" s="1854">
        <f t="shared" si="16"/>
        <v>0</v>
      </c>
      <c r="H239" s="1514"/>
    </row>
    <row r="240" spans="2:8" ht="54" customHeight="1" x14ac:dyDescent="0.2">
      <c r="B240" s="1851" t="s">
        <v>1888</v>
      </c>
      <c r="C240" s="1852" t="s">
        <v>1889</v>
      </c>
      <c r="D240" s="1853" t="s">
        <v>123</v>
      </c>
      <c r="E240" s="1853">
        <v>2</v>
      </c>
      <c r="F240" s="2011">
        <v>0</v>
      </c>
      <c r="G240" s="1854">
        <f t="shared" si="16"/>
        <v>0</v>
      </c>
      <c r="H240" s="1514"/>
    </row>
    <row r="241" spans="2:8" ht="38.25" x14ac:dyDescent="0.2">
      <c r="B241" s="1851" t="s">
        <v>1890</v>
      </c>
      <c r="C241" s="1852" t="s">
        <v>1891</v>
      </c>
      <c r="D241" s="1853" t="s">
        <v>123</v>
      </c>
      <c r="E241" s="1853">
        <v>1</v>
      </c>
      <c r="F241" s="2011">
        <v>0</v>
      </c>
      <c r="G241" s="1854">
        <f t="shared" si="16"/>
        <v>0</v>
      </c>
      <c r="H241" s="1514"/>
    </row>
    <row r="242" spans="2:8" ht="25.5" x14ac:dyDescent="0.2">
      <c r="B242" s="1851" t="s">
        <v>1892</v>
      </c>
      <c r="C242" s="1852" t="s">
        <v>1893</v>
      </c>
      <c r="D242" s="1853" t="s">
        <v>123</v>
      </c>
      <c r="E242" s="1853">
        <v>3</v>
      </c>
      <c r="F242" s="2011">
        <v>0</v>
      </c>
      <c r="G242" s="1854">
        <f t="shared" si="16"/>
        <v>0</v>
      </c>
      <c r="H242" s="1514"/>
    </row>
    <row r="243" spans="2:8" s="147" customFormat="1" ht="25.5" x14ac:dyDescent="0.2">
      <c r="B243" s="1851" t="s">
        <v>1894</v>
      </c>
      <c r="C243" s="1852" t="s">
        <v>1895</v>
      </c>
      <c r="D243" s="1853" t="s">
        <v>123</v>
      </c>
      <c r="E243" s="1853">
        <v>2</v>
      </c>
      <c r="F243" s="2011">
        <v>0</v>
      </c>
      <c r="G243" s="1854">
        <f t="shared" si="16"/>
        <v>0</v>
      </c>
      <c r="H243" s="1526"/>
    </row>
    <row r="244" spans="2:8" ht="25.5" x14ac:dyDescent="0.2">
      <c r="B244" s="1851" t="s">
        <v>1896</v>
      </c>
      <c r="C244" s="1852" t="s">
        <v>1897</v>
      </c>
      <c r="D244" s="1853" t="s">
        <v>123</v>
      </c>
      <c r="E244" s="1853">
        <v>3</v>
      </c>
      <c r="F244" s="2011">
        <v>0</v>
      </c>
      <c r="G244" s="1854">
        <f t="shared" si="16"/>
        <v>0</v>
      </c>
      <c r="H244" s="1514"/>
    </row>
    <row r="245" spans="2:8" ht="38.25" x14ac:dyDescent="0.2">
      <c r="B245" s="1851" t="s">
        <v>1898</v>
      </c>
      <c r="C245" s="1852" t="s">
        <v>1899</v>
      </c>
      <c r="D245" s="1853" t="s">
        <v>644</v>
      </c>
      <c r="E245" s="1853">
        <v>30</v>
      </c>
      <c r="F245" s="2011">
        <v>0</v>
      </c>
      <c r="G245" s="1854">
        <f t="shared" si="16"/>
        <v>0</v>
      </c>
      <c r="H245" s="1514"/>
    </row>
    <row r="246" spans="2:8" ht="38.25" x14ac:dyDescent="0.2">
      <c r="B246" s="1851" t="s">
        <v>1900</v>
      </c>
      <c r="C246" s="1852" t="s">
        <v>1901</v>
      </c>
      <c r="D246" s="1853" t="s">
        <v>644</v>
      </c>
      <c r="E246" s="1853">
        <v>20</v>
      </c>
      <c r="F246" s="2011">
        <v>0</v>
      </c>
      <c r="G246" s="1854">
        <f t="shared" si="16"/>
        <v>0</v>
      </c>
      <c r="H246" s="1514"/>
    </row>
    <row r="247" spans="2:8" x14ac:dyDescent="0.2">
      <c r="B247" s="1851" t="s">
        <v>1902</v>
      </c>
      <c r="C247" s="1852" t="s">
        <v>1903</v>
      </c>
      <c r="D247" s="1853" t="s">
        <v>644</v>
      </c>
      <c r="E247" s="1853">
        <v>40</v>
      </c>
      <c r="F247" s="2011">
        <v>0</v>
      </c>
      <c r="G247" s="1854">
        <f t="shared" si="16"/>
        <v>0</v>
      </c>
      <c r="H247" s="1514"/>
    </row>
    <row r="248" spans="2:8" x14ac:dyDescent="0.2">
      <c r="B248" s="1851" t="s">
        <v>1904</v>
      </c>
      <c r="C248" s="1852" t="s">
        <v>1905</v>
      </c>
      <c r="D248" s="1853" t="s">
        <v>644</v>
      </c>
      <c r="E248" s="1853">
        <v>20</v>
      </c>
      <c r="F248" s="2011">
        <v>0</v>
      </c>
      <c r="G248" s="1854">
        <f t="shared" si="16"/>
        <v>0</v>
      </c>
      <c r="H248" s="1514"/>
    </row>
    <row r="249" spans="2:8" x14ac:dyDescent="0.2">
      <c r="B249" s="1851" t="s">
        <v>1906</v>
      </c>
      <c r="C249" s="1852" t="s">
        <v>1907</v>
      </c>
      <c r="D249" s="1853" t="s">
        <v>644</v>
      </c>
      <c r="E249" s="1853">
        <v>40</v>
      </c>
      <c r="F249" s="2011">
        <v>0</v>
      </c>
      <c r="G249" s="1854">
        <f t="shared" si="16"/>
        <v>0</v>
      </c>
      <c r="H249" s="1514"/>
    </row>
    <row r="250" spans="2:8" x14ac:dyDescent="0.2">
      <c r="B250" s="1851" t="s">
        <v>1908</v>
      </c>
      <c r="C250" s="1852" t="s">
        <v>1909</v>
      </c>
      <c r="D250" s="1853" t="s">
        <v>644</v>
      </c>
      <c r="E250" s="1853">
        <v>20</v>
      </c>
      <c r="F250" s="2011">
        <v>0</v>
      </c>
      <c r="G250" s="1854">
        <f t="shared" si="16"/>
        <v>0</v>
      </c>
      <c r="H250" s="1514"/>
    </row>
    <row r="251" spans="2:8" ht="51" x14ac:dyDescent="0.2">
      <c r="B251" s="1851" t="s">
        <v>1910</v>
      </c>
      <c r="C251" s="1852" t="s">
        <v>1911</v>
      </c>
      <c r="D251" s="1853" t="s">
        <v>644</v>
      </c>
      <c r="E251" s="1853">
        <v>70</v>
      </c>
      <c r="F251" s="2011">
        <v>0</v>
      </c>
      <c r="G251" s="1854">
        <f t="shared" si="16"/>
        <v>0</v>
      </c>
      <c r="H251" s="1514"/>
    </row>
    <row r="252" spans="2:8" ht="25.5" x14ac:dyDescent="0.2">
      <c r="B252" s="1851" t="s">
        <v>1912</v>
      </c>
      <c r="C252" s="1852" t="s">
        <v>1913</v>
      </c>
      <c r="D252" s="1853" t="s">
        <v>644</v>
      </c>
      <c r="E252" s="1853">
        <v>30</v>
      </c>
      <c r="F252" s="2011">
        <v>0</v>
      </c>
      <c r="G252" s="1854">
        <f t="shared" si="16"/>
        <v>0</v>
      </c>
      <c r="H252" s="1514"/>
    </row>
    <row r="253" spans="2:8" ht="25.5" x14ac:dyDescent="0.2">
      <c r="B253" s="1851" t="s">
        <v>1914</v>
      </c>
      <c r="C253" s="1852" t="s">
        <v>1915</v>
      </c>
      <c r="D253" s="1853" t="s">
        <v>644</v>
      </c>
      <c r="E253" s="1853">
        <v>60</v>
      </c>
      <c r="F253" s="2011">
        <v>0</v>
      </c>
      <c r="G253" s="1854">
        <f t="shared" si="16"/>
        <v>0</v>
      </c>
      <c r="H253" s="1514"/>
    </row>
    <row r="254" spans="2:8" x14ac:dyDescent="0.2">
      <c r="B254" s="1851" t="s">
        <v>1916</v>
      </c>
      <c r="C254" s="1852" t="s">
        <v>1917</v>
      </c>
      <c r="D254" s="1853" t="s">
        <v>644</v>
      </c>
      <c r="E254" s="1853">
        <v>30</v>
      </c>
      <c r="F254" s="2011">
        <v>0</v>
      </c>
      <c r="G254" s="1854">
        <f t="shared" si="16"/>
        <v>0</v>
      </c>
      <c r="H254" s="1514"/>
    </row>
    <row r="255" spans="2:8" x14ac:dyDescent="0.2">
      <c r="B255" s="1851" t="s">
        <v>1918</v>
      </c>
      <c r="C255" s="1852" t="s">
        <v>1919</v>
      </c>
      <c r="D255" s="1853" t="s">
        <v>644</v>
      </c>
      <c r="E255" s="1853">
        <v>30</v>
      </c>
      <c r="F255" s="2011">
        <v>0</v>
      </c>
      <c r="G255" s="1854">
        <f t="shared" si="16"/>
        <v>0</v>
      </c>
      <c r="H255" s="1514"/>
    </row>
    <row r="256" spans="2:8" x14ac:dyDescent="0.2">
      <c r="B256" s="1851" t="s">
        <v>1920</v>
      </c>
      <c r="C256" s="1852" t="s">
        <v>649</v>
      </c>
      <c r="D256" s="1853" t="s">
        <v>644</v>
      </c>
      <c r="E256" s="1853">
        <v>5</v>
      </c>
      <c r="F256" s="2011">
        <v>0</v>
      </c>
      <c r="G256" s="1854">
        <f t="shared" si="16"/>
        <v>0</v>
      </c>
      <c r="H256" s="1514"/>
    </row>
    <row r="257" spans="2:8" x14ac:dyDescent="0.2">
      <c r="B257" s="1851" t="s">
        <v>1921</v>
      </c>
      <c r="C257" s="1852" t="s">
        <v>650</v>
      </c>
      <c r="D257" s="1853" t="s">
        <v>149</v>
      </c>
      <c r="E257" s="1853">
        <v>3</v>
      </c>
      <c r="F257" s="2011">
        <v>0</v>
      </c>
      <c r="G257" s="1854">
        <f t="shared" si="16"/>
        <v>0</v>
      </c>
      <c r="H257" s="1514"/>
    </row>
    <row r="258" spans="2:8" ht="25.5" x14ac:dyDescent="0.2">
      <c r="B258" s="1851" t="s">
        <v>1922</v>
      </c>
      <c r="C258" s="1857" t="s">
        <v>1923</v>
      </c>
      <c r="D258" s="1853" t="s">
        <v>123</v>
      </c>
      <c r="E258" s="1853">
        <v>2</v>
      </c>
      <c r="F258" s="2011">
        <v>0</v>
      </c>
      <c r="G258" s="1854">
        <f t="shared" si="16"/>
        <v>0</v>
      </c>
      <c r="H258" s="1514"/>
    </row>
    <row r="259" spans="2:8" ht="13.5" thickBot="1" x14ac:dyDescent="0.25">
      <c r="B259" s="1851" t="s">
        <v>1924</v>
      </c>
      <c r="C259" s="1858" t="s">
        <v>1925</v>
      </c>
      <c r="D259" s="1859" t="s">
        <v>98</v>
      </c>
      <c r="E259" s="1859">
        <v>1</v>
      </c>
      <c r="F259" s="2011">
        <v>0</v>
      </c>
      <c r="G259" s="1854">
        <f t="shared" si="16"/>
        <v>0</v>
      </c>
      <c r="H259" s="1514"/>
    </row>
    <row r="260" spans="2:8" ht="24.75" thickBot="1" x14ac:dyDescent="0.25">
      <c r="B260" s="2955" t="s">
        <v>8</v>
      </c>
      <c r="C260" s="2956" t="s">
        <v>1870</v>
      </c>
      <c r="D260" s="2957"/>
      <c r="E260" s="2958"/>
      <c r="F260" s="2959"/>
      <c r="G260" s="2960">
        <f>SUM(G223:G259)</f>
        <v>0</v>
      </c>
      <c r="H260" s="1514"/>
    </row>
    <row r="261" spans="2:8" x14ac:dyDescent="0.2">
      <c r="B261" s="1229"/>
      <c r="C261" s="1527"/>
      <c r="D261" s="1528"/>
      <c r="E261" s="1529"/>
      <c r="F261" s="1530"/>
      <c r="G261" s="1531"/>
      <c r="H261" s="1532"/>
    </row>
    <row r="262" spans="2:8" x14ac:dyDescent="0.2">
      <c r="B262" s="1533"/>
      <c r="C262" s="1534"/>
      <c r="D262" s="1535"/>
      <c r="E262" s="1536"/>
      <c r="F262" s="1537"/>
      <c r="G262" s="1538"/>
      <c r="H262" s="1532"/>
    </row>
    <row r="263" spans="2:8" x14ac:dyDescent="0.2">
      <c r="B263" s="1860"/>
      <c r="C263" s="1861" t="s">
        <v>1926</v>
      </c>
      <c r="D263" s="1862"/>
      <c r="E263" s="1863"/>
      <c r="F263" s="2012"/>
      <c r="G263" s="1864"/>
      <c r="H263" s="1514"/>
    </row>
    <row r="264" spans="2:8" ht="72" x14ac:dyDescent="0.2">
      <c r="B264" s="1539"/>
      <c r="C264" s="1865" t="s">
        <v>1927</v>
      </c>
      <c r="D264" s="1866"/>
      <c r="E264" s="1867"/>
      <c r="F264" s="1540"/>
      <c r="G264" s="1541"/>
      <c r="H264" s="1514"/>
    </row>
    <row r="265" spans="2:8" x14ac:dyDescent="0.2">
      <c r="B265" s="1542"/>
      <c r="C265" s="1543"/>
      <c r="D265" s="1544"/>
      <c r="E265" s="1545"/>
      <c r="F265" s="1546"/>
      <c r="G265" s="1547"/>
      <c r="H265" s="1532"/>
    </row>
    <row r="266" spans="2:8" x14ac:dyDescent="0.2">
      <c r="B266" s="1868" t="s">
        <v>15</v>
      </c>
      <c r="C266" s="1869" t="s">
        <v>1928</v>
      </c>
      <c r="D266" s="1870"/>
      <c r="E266" s="1870"/>
      <c r="F266" s="2013"/>
      <c r="G266" s="1872"/>
      <c r="H266" s="1514"/>
    </row>
    <row r="267" spans="2:8" x14ac:dyDescent="0.2">
      <c r="B267" s="1873"/>
      <c r="C267" s="1874"/>
      <c r="D267" s="1875"/>
      <c r="E267" s="1875"/>
      <c r="F267" s="2014"/>
      <c r="G267" s="1876"/>
      <c r="H267" s="1532"/>
    </row>
    <row r="268" spans="2:8" x14ac:dyDescent="0.2">
      <c r="B268" s="1877" t="s">
        <v>83</v>
      </c>
      <c r="C268" s="1878" t="s">
        <v>84</v>
      </c>
      <c r="D268" s="1878" t="s">
        <v>1929</v>
      </c>
      <c r="E268" s="1878" t="s">
        <v>547</v>
      </c>
      <c r="F268" s="2015" t="s">
        <v>1873</v>
      </c>
      <c r="G268" s="1878" t="s">
        <v>1874</v>
      </c>
      <c r="H268" s="1514"/>
    </row>
    <row r="269" spans="2:8" ht="89.25" x14ac:dyDescent="0.2">
      <c r="B269" s="1851" t="s">
        <v>173</v>
      </c>
      <c r="C269" s="1857" t="s">
        <v>1930</v>
      </c>
      <c r="D269" s="1853" t="s">
        <v>98</v>
      </c>
      <c r="E269" s="1853">
        <v>1</v>
      </c>
      <c r="F269" s="2011">
        <v>0</v>
      </c>
      <c r="G269" s="1854">
        <f t="shared" ref="G269:G323" si="17">E269*F269</f>
        <v>0</v>
      </c>
      <c r="H269" s="1514"/>
    </row>
    <row r="270" spans="2:8" ht="51" x14ac:dyDescent="0.2">
      <c r="B270" s="1851" t="s">
        <v>175</v>
      </c>
      <c r="C270" s="1857" t="s">
        <v>1931</v>
      </c>
      <c r="D270" s="1853" t="s">
        <v>553</v>
      </c>
      <c r="E270" s="1853">
        <v>1</v>
      </c>
      <c r="F270" s="2011">
        <v>0</v>
      </c>
      <c r="G270" s="1854">
        <f t="shared" si="17"/>
        <v>0</v>
      </c>
      <c r="H270" s="1514"/>
    </row>
    <row r="271" spans="2:8" ht="25.5" x14ac:dyDescent="0.2">
      <c r="B271" s="1851" t="s">
        <v>177</v>
      </c>
      <c r="C271" s="1857" t="s">
        <v>563</v>
      </c>
      <c r="D271" s="1853" t="s">
        <v>123</v>
      </c>
      <c r="E271" s="1853">
        <v>1</v>
      </c>
      <c r="F271" s="2011">
        <v>0</v>
      </c>
      <c r="G271" s="1854">
        <f t="shared" si="17"/>
        <v>0</v>
      </c>
      <c r="H271" s="1514"/>
    </row>
    <row r="272" spans="2:8" ht="25.5" x14ac:dyDescent="0.2">
      <c r="B272" s="1851" t="s">
        <v>1210</v>
      </c>
      <c r="C272" s="1852" t="s">
        <v>1932</v>
      </c>
      <c r="D272" s="1853" t="s">
        <v>149</v>
      </c>
      <c r="E272" s="1853">
        <v>1</v>
      </c>
      <c r="F272" s="2011">
        <v>0</v>
      </c>
      <c r="G272" s="1854">
        <f t="shared" si="17"/>
        <v>0</v>
      </c>
      <c r="H272" s="1514"/>
    </row>
    <row r="273" spans="2:8" ht="89.25" x14ac:dyDescent="0.2">
      <c r="B273" s="1851" t="s">
        <v>1933</v>
      </c>
      <c r="C273" s="1852" t="s">
        <v>1934</v>
      </c>
      <c r="D273" s="1853" t="s">
        <v>123</v>
      </c>
      <c r="E273" s="1853">
        <v>1</v>
      </c>
      <c r="F273" s="2011">
        <v>0</v>
      </c>
      <c r="G273" s="1854">
        <f t="shared" si="17"/>
        <v>0</v>
      </c>
      <c r="H273" s="1514"/>
    </row>
    <row r="274" spans="2:8" ht="25.5" x14ac:dyDescent="0.2">
      <c r="B274" s="1851" t="s">
        <v>1214</v>
      </c>
      <c r="C274" s="1852" t="s">
        <v>1935</v>
      </c>
      <c r="D274" s="1853" t="s">
        <v>123</v>
      </c>
      <c r="E274" s="1853">
        <v>1</v>
      </c>
      <c r="F274" s="2011">
        <v>0</v>
      </c>
      <c r="G274" s="1854">
        <f t="shared" si="17"/>
        <v>0</v>
      </c>
      <c r="H274" s="1514"/>
    </row>
    <row r="275" spans="2:8" x14ac:dyDescent="0.2">
      <c r="B275" s="1851" t="s">
        <v>1315</v>
      </c>
      <c r="C275" s="1852" t="s">
        <v>1936</v>
      </c>
      <c r="D275" s="1853" t="s">
        <v>123</v>
      </c>
      <c r="E275" s="1853">
        <v>1</v>
      </c>
      <c r="F275" s="2011">
        <v>0</v>
      </c>
      <c r="G275" s="1854">
        <f t="shared" si="17"/>
        <v>0</v>
      </c>
      <c r="H275" s="1514"/>
    </row>
    <row r="276" spans="2:8" ht="25.5" x14ac:dyDescent="0.2">
      <c r="B276" s="1851" t="s">
        <v>1937</v>
      </c>
      <c r="C276" s="1852" t="s">
        <v>1938</v>
      </c>
      <c r="D276" s="1853" t="s">
        <v>123</v>
      </c>
      <c r="E276" s="1853">
        <v>2</v>
      </c>
      <c r="F276" s="2011">
        <v>0</v>
      </c>
      <c r="G276" s="1854">
        <f t="shared" si="17"/>
        <v>0</v>
      </c>
      <c r="H276" s="1514"/>
    </row>
    <row r="277" spans="2:8" x14ac:dyDescent="0.2">
      <c r="B277" s="1851" t="s">
        <v>1939</v>
      </c>
      <c r="C277" s="1852" t="s">
        <v>1940</v>
      </c>
      <c r="D277" s="1853" t="s">
        <v>123</v>
      </c>
      <c r="E277" s="1853">
        <v>1</v>
      </c>
      <c r="F277" s="2011">
        <v>0</v>
      </c>
      <c r="G277" s="1854">
        <f t="shared" si="17"/>
        <v>0</v>
      </c>
      <c r="H277" s="1514"/>
    </row>
    <row r="278" spans="2:8" ht="25.5" x14ac:dyDescent="0.2">
      <c r="B278" s="1851" t="s">
        <v>1220</v>
      </c>
      <c r="C278" s="1852" t="s">
        <v>1941</v>
      </c>
      <c r="D278" s="1853" t="s">
        <v>123</v>
      </c>
      <c r="E278" s="1853">
        <v>1</v>
      </c>
      <c r="F278" s="2011">
        <v>0</v>
      </c>
      <c r="G278" s="1854">
        <f t="shared" si="17"/>
        <v>0</v>
      </c>
      <c r="H278" s="1514"/>
    </row>
    <row r="279" spans="2:8" ht="51" x14ac:dyDescent="0.2">
      <c r="B279" s="1851" t="s">
        <v>1222</v>
      </c>
      <c r="C279" s="1852" t="s">
        <v>1942</v>
      </c>
      <c r="D279" s="1853" t="s">
        <v>560</v>
      </c>
      <c r="E279" s="1853">
        <v>1</v>
      </c>
      <c r="F279" s="2011">
        <v>0</v>
      </c>
      <c r="G279" s="1854">
        <f t="shared" si="17"/>
        <v>0</v>
      </c>
      <c r="H279" s="1514"/>
    </row>
    <row r="280" spans="2:8" ht="25.5" x14ac:dyDescent="0.2">
      <c r="B280" s="1851" t="s">
        <v>1224</v>
      </c>
      <c r="C280" s="1852" t="s">
        <v>1943</v>
      </c>
      <c r="D280" s="1853" t="s">
        <v>123</v>
      </c>
      <c r="E280" s="1853">
        <v>1</v>
      </c>
      <c r="F280" s="2011">
        <v>0</v>
      </c>
      <c r="G280" s="1854">
        <f t="shared" si="17"/>
        <v>0</v>
      </c>
      <c r="H280" s="1514"/>
    </row>
    <row r="281" spans="2:8" ht="25.5" x14ac:dyDescent="0.2">
      <c r="B281" s="1851" t="s">
        <v>1227</v>
      </c>
      <c r="C281" s="1852" t="s">
        <v>1944</v>
      </c>
      <c r="D281" s="1853" t="s">
        <v>123</v>
      </c>
      <c r="E281" s="1853">
        <v>1</v>
      </c>
      <c r="F281" s="2011">
        <v>0</v>
      </c>
      <c r="G281" s="1854">
        <f t="shared" si="17"/>
        <v>0</v>
      </c>
      <c r="H281" s="1514"/>
    </row>
    <row r="282" spans="2:8" ht="25.5" x14ac:dyDescent="0.2">
      <c r="B282" s="1851" t="s">
        <v>1229</v>
      </c>
      <c r="C282" s="1852" t="s">
        <v>1945</v>
      </c>
      <c r="D282" s="1853" t="s">
        <v>123</v>
      </c>
      <c r="E282" s="1853">
        <v>1</v>
      </c>
      <c r="F282" s="2011">
        <v>0</v>
      </c>
      <c r="G282" s="1854">
        <f t="shared" si="17"/>
        <v>0</v>
      </c>
      <c r="H282" s="1514"/>
    </row>
    <row r="283" spans="2:8" ht="38.25" x14ac:dyDescent="0.2">
      <c r="B283" s="1851" t="s">
        <v>1231</v>
      </c>
      <c r="C283" s="1852" t="s">
        <v>605</v>
      </c>
      <c r="D283" s="1853" t="s">
        <v>553</v>
      </c>
      <c r="E283" s="1853">
        <v>1</v>
      </c>
      <c r="F283" s="2011">
        <v>0</v>
      </c>
      <c r="G283" s="1854">
        <f t="shared" si="17"/>
        <v>0</v>
      </c>
      <c r="H283" s="1514"/>
    </row>
    <row r="284" spans="2:8" ht="25.5" x14ac:dyDescent="0.2">
      <c r="B284" s="1851" t="s">
        <v>1233</v>
      </c>
      <c r="C284" s="1852" t="s">
        <v>1946</v>
      </c>
      <c r="D284" s="1853" t="s">
        <v>123</v>
      </c>
      <c r="E284" s="1853">
        <v>3</v>
      </c>
      <c r="F284" s="2011">
        <v>0</v>
      </c>
      <c r="G284" s="1854">
        <f t="shared" si="17"/>
        <v>0</v>
      </c>
      <c r="H284" s="1514"/>
    </row>
    <row r="285" spans="2:8" ht="178.5" x14ac:dyDescent="0.2">
      <c r="B285" s="1851" t="s">
        <v>1235</v>
      </c>
      <c r="C285" s="1852" t="s">
        <v>567</v>
      </c>
      <c r="D285" s="1853" t="s">
        <v>123</v>
      </c>
      <c r="E285" s="1853">
        <v>1</v>
      </c>
      <c r="F285" s="2011">
        <v>0</v>
      </c>
      <c r="G285" s="1854">
        <f t="shared" si="17"/>
        <v>0</v>
      </c>
      <c r="H285" s="1514"/>
    </row>
    <row r="286" spans="2:8" ht="51" x14ac:dyDescent="0.2">
      <c r="B286" s="1851" t="s">
        <v>1237</v>
      </c>
      <c r="C286" s="1852" t="s">
        <v>1947</v>
      </c>
      <c r="D286" s="1853" t="s">
        <v>123</v>
      </c>
      <c r="E286" s="1853">
        <v>1</v>
      </c>
      <c r="F286" s="2011">
        <v>0</v>
      </c>
      <c r="G286" s="1854">
        <f t="shared" si="17"/>
        <v>0</v>
      </c>
      <c r="H286" s="1514"/>
    </row>
    <row r="287" spans="2:8" ht="76.5" x14ac:dyDescent="0.2">
      <c r="B287" s="1851" t="s">
        <v>1239</v>
      </c>
      <c r="C287" s="1852" t="s">
        <v>1948</v>
      </c>
      <c r="D287" s="1853" t="s">
        <v>123</v>
      </c>
      <c r="E287" s="1853">
        <v>1</v>
      </c>
      <c r="F287" s="2011">
        <v>0</v>
      </c>
      <c r="G287" s="1854">
        <f t="shared" si="17"/>
        <v>0</v>
      </c>
      <c r="H287" s="1548"/>
    </row>
    <row r="288" spans="2:8" ht="25.5" x14ac:dyDescent="0.2">
      <c r="B288" s="1851" t="s">
        <v>1241</v>
      </c>
      <c r="C288" s="1852" t="s">
        <v>1949</v>
      </c>
      <c r="D288" s="1853" t="s">
        <v>123</v>
      </c>
      <c r="E288" s="1853">
        <v>4</v>
      </c>
      <c r="F288" s="2011">
        <v>0</v>
      </c>
      <c r="G288" s="1854">
        <f t="shared" si="17"/>
        <v>0</v>
      </c>
      <c r="H288" s="1514"/>
    </row>
    <row r="289" spans="2:8" ht="25.5" x14ac:dyDescent="0.2">
      <c r="B289" s="1851" t="s">
        <v>1243</v>
      </c>
      <c r="C289" s="1852" t="s">
        <v>1950</v>
      </c>
      <c r="D289" s="1853" t="s">
        <v>123</v>
      </c>
      <c r="E289" s="1853">
        <v>1</v>
      </c>
      <c r="F289" s="2011">
        <v>0</v>
      </c>
      <c r="G289" s="1854">
        <f t="shared" si="17"/>
        <v>0</v>
      </c>
      <c r="H289" s="1514"/>
    </row>
    <row r="290" spans="2:8" ht="25.5" x14ac:dyDescent="0.2">
      <c r="B290" s="1851" t="s">
        <v>1284</v>
      </c>
      <c r="C290" s="1852" t="s">
        <v>1951</v>
      </c>
      <c r="D290" s="1853" t="s">
        <v>123</v>
      </c>
      <c r="E290" s="1853">
        <v>4</v>
      </c>
      <c r="F290" s="2011">
        <v>0</v>
      </c>
      <c r="G290" s="1854">
        <f t="shared" si="17"/>
        <v>0</v>
      </c>
      <c r="H290" s="1514"/>
    </row>
    <row r="291" spans="2:8" ht="25.5" x14ac:dyDescent="0.2">
      <c r="B291" s="1851" t="s">
        <v>1285</v>
      </c>
      <c r="C291" s="1852" t="s">
        <v>1952</v>
      </c>
      <c r="D291" s="1853" t="s">
        <v>123</v>
      </c>
      <c r="E291" s="1853">
        <v>1</v>
      </c>
      <c r="F291" s="2011">
        <v>0</v>
      </c>
      <c r="G291" s="1854">
        <f t="shared" si="17"/>
        <v>0</v>
      </c>
      <c r="H291" s="1514"/>
    </row>
    <row r="292" spans="2:8" ht="25.5" x14ac:dyDescent="0.2">
      <c r="B292" s="1851" t="s">
        <v>1286</v>
      </c>
      <c r="C292" s="1852" t="s">
        <v>1953</v>
      </c>
      <c r="D292" s="1853" t="s">
        <v>123</v>
      </c>
      <c r="E292" s="1853">
        <v>1</v>
      </c>
      <c r="F292" s="2011">
        <v>0</v>
      </c>
      <c r="G292" s="1854">
        <f t="shared" si="17"/>
        <v>0</v>
      </c>
      <c r="H292" s="1514"/>
    </row>
    <row r="293" spans="2:8" ht="25.5" x14ac:dyDescent="0.2">
      <c r="B293" s="1851" t="s">
        <v>1954</v>
      </c>
      <c r="C293" s="1852" t="s">
        <v>1955</v>
      </c>
      <c r="D293" s="1853" t="s">
        <v>123</v>
      </c>
      <c r="E293" s="1853">
        <v>6</v>
      </c>
      <c r="F293" s="2011">
        <v>0</v>
      </c>
      <c r="G293" s="1854">
        <f t="shared" si="17"/>
        <v>0</v>
      </c>
      <c r="H293" s="1514"/>
    </row>
    <row r="294" spans="2:8" s="147" customFormat="1" ht="25.5" x14ac:dyDescent="0.2">
      <c r="B294" s="1851" t="s">
        <v>1956</v>
      </c>
      <c r="C294" s="1852" t="s">
        <v>1957</v>
      </c>
      <c r="D294" s="1853" t="s">
        <v>123</v>
      </c>
      <c r="E294" s="1853">
        <v>3</v>
      </c>
      <c r="F294" s="2011">
        <v>0</v>
      </c>
      <c r="G294" s="1854">
        <f t="shared" si="17"/>
        <v>0</v>
      </c>
      <c r="H294" s="1548"/>
    </row>
    <row r="295" spans="2:8" ht="81" customHeight="1" x14ac:dyDescent="0.2">
      <c r="B295" s="1851" t="s">
        <v>1958</v>
      </c>
      <c r="C295" s="1852" t="s">
        <v>1959</v>
      </c>
      <c r="D295" s="1853" t="s">
        <v>123</v>
      </c>
      <c r="E295" s="1853">
        <v>2</v>
      </c>
      <c r="F295" s="2011">
        <v>0</v>
      </c>
      <c r="G295" s="1854">
        <f t="shared" si="17"/>
        <v>0</v>
      </c>
      <c r="H295" s="1514"/>
    </row>
    <row r="296" spans="2:8" ht="51" x14ac:dyDescent="0.2">
      <c r="B296" s="1851" t="s">
        <v>1960</v>
      </c>
      <c r="C296" s="1852" t="s">
        <v>1961</v>
      </c>
      <c r="D296" s="1853" t="s">
        <v>123</v>
      </c>
      <c r="E296" s="1853">
        <v>3</v>
      </c>
      <c r="F296" s="2011">
        <v>0</v>
      </c>
      <c r="G296" s="1854">
        <f t="shared" si="17"/>
        <v>0</v>
      </c>
      <c r="H296" s="1514"/>
    </row>
    <row r="297" spans="2:8" ht="38.25" x14ac:dyDescent="0.2">
      <c r="B297" s="1851" t="s">
        <v>1962</v>
      </c>
      <c r="C297" s="1852" t="s">
        <v>1963</v>
      </c>
      <c r="D297" s="1853" t="s">
        <v>123</v>
      </c>
      <c r="E297" s="1853">
        <v>5</v>
      </c>
      <c r="F297" s="2011">
        <v>0</v>
      </c>
      <c r="G297" s="1854">
        <f t="shared" si="17"/>
        <v>0</v>
      </c>
      <c r="H297" s="1514"/>
    </row>
    <row r="298" spans="2:8" x14ac:dyDescent="0.2">
      <c r="B298" s="1851" t="s">
        <v>1964</v>
      </c>
      <c r="C298" s="1852" t="s">
        <v>1965</v>
      </c>
      <c r="D298" s="1853" t="s">
        <v>123</v>
      </c>
      <c r="E298" s="1853">
        <v>1</v>
      </c>
      <c r="F298" s="2011">
        <v>0</v>
      </c>
      <c r="G298" s="1854">
        <f t="shared" si="17"/>
        <v>0</v>
      </c>
      <c r="H298" s="1514"/>
    </row>
    <row r="299" spans="2:8" x14ac:dyDescent="0.2">
      <c r="B299" s="1851" t="s">
        <v>1966</v>
      </c>
      <c r="C299" s="1852" t="s">
        <v>1967</v>
      </c>
      <c r="D299" s="1853" t="s">
        <v>123</v>
      </c>
      <c r="E299" s="1853">
        <v>1</v>
      </c>
      <c r="F299" s="2011">
        <v>0</v>
      </c>
      <c r="G299" s="1854">
        <f t="shared" si="17"/>
        <v>0</v>
      </c>
      <c r="H299" s="1514"/>
    </row>
    <row r="300" spans="2:8" x14ac:dyDescent="0.2">
      <c r="B300" s="1851" t="s">
        <v>1968</v>
      </c>
      <c r="C300" s="1852" t="s">
        <v>1969</v>
      </c>
      <c r="D300" s="1853" t="s">
        <v>123</v>
      </c>
      <c r="E300" s="1853">
        <v>2</v>
      </c>
      <c r="F300" s="2011">
        <v>0</v>
      </c>
      <c r="G300" s="1854">
        <f t="shared" si="17"/>
        <v>0</v>
      </c>
      <c r="H300" s="1514"/>
    </row>
    <row r="301" spans="2:8" x14ac:dyDescent="0.2">
      <c r="B301" s="1851" t="s">
        <v>1970</v>
      </c>
      <c r="C301" s="1852" t="s">
        <v>1971</v>
      </c>
      <c r="D301" s="1853" t="s">
        <v>123</v>
      </c>
      <c r="E301" s="1853">
        <v>12</v>
      </c>
      <c r="F301" s="2011">
        <v>0</v>
      </c>
      <c r="G301" s="1854">
        <f t="shared" si="17"/>
        <v>0</v>
      </c>
      <c r="H301" s="1514"/>
    </row>
    <row r="302" spans="2:8" ht="25.5" x14ac:dyDescent="0.2">
      <c r="B302" s="1851" t="s">
        <v>1972</v>
      </c>
      <c r="C302" s="1852" t="s">
        <v>1973</v>
      </c>
      <c r="D302" s="1853" t="s">
        <v>123</v>
      </c>
      <c r="E302" s="1853">
        <v>2</v>
      </c>
      <c r="F302" s="2011">
        <v>0</v>
      </c>
      <c r="G302" s="1854">
        <f t="shared" si="17"/>
        <v>0</v>
      </c>
      <c r="H302" s="1514"/>
    </row>
    <row r="303" spans="2:8" x14ac:dyDescent="0.2">
      <c r="B303" s="1851" t="s">
        <v>1974</v>
      </c>
      <c r="C303" s="1852" t="s">
        <v>1975</v>
      </c>
      <c r="D303" s="1853" t="s">
        <v>644</v>
      </c>
      <c r="E303" s="1853">
        <v>2</v>
      </c>
      <c r="F303" s="2011">
        <v>0</v>
      </c>
      <c r="G303" s="1854">
        <f t="shared" si="17"/>
        <v>0</v>
      </c>
      <c r="H303" s="1514"/>
    </row>
    <row r="304" spans="2:8" x14ac:dyDescent="0.2">
      <c r="B304" s="1851" t="s">
        <v>1976</v>
      </c>
      <c r="C304" s="1852" t="s">
        <v>1977</v>
      </c>
      <c r="D304" s="1853" t="s">
        <v>644</v>
      </c>
      <c r="E304" s="1853">
        <v>2</v>
      </c>
      <c r="F304" s="2011">
        <v>0</v>
      </c>
      <c r="G304" s="1854">
        <f t="shared" si="17"/>
        <v>0</v>
      </c>
      <c r="H304" s="1549"/>
    </row>
    <row r="305" spans="2:8" s="147" customFormat="1" x14ac:dyDescent="0.2">
      <c r="B305" s="1851" t="s">
        <v>1978</v>
      </c>
      <c r="C305" s="1852" t="s">
        <v>1979</v>
      </c>
      <c r="D305" s="1853" t="s">
        <v>644</v>
      </c>
      <c r="E305" s="1853">
        <v>2</v>
      </c>
      <c r="F305" s="2011">
        <v>0</v>
      </c>
      <c r="G305" s="1854">
        <f t="shared" si="17"/>
        <v>0</v>
      </c>
      <c r="H305" s="1550"/>
    </row>
    <row r="306" spans="2:8" x14ac:dyDescent="0.2">
      <c r="B306" s="1851" t="s">
        <v>1980</v>
      </c>
      <c r="C306" s="1852" t="s">
        <v>1981</v>
      </c>
      <c r="D306" s="1853" t="s">
        <v>123</v>
      </c>
      <c r="E306" s="1853">
        <v>70</v>
      </c>
      <c r="F306" s="2011">
        <v>0</v>
      </c>
      <c r="G306" s="1854">
        <f t="shared" si="17"/>
        <v>0</v>
      </c>
      <c r="H306" s="1551"/>
    </row>
    <row r="307" spans="2:8" s="147" customFormat="1" ht="25.5" x14ac:dyDescent="0.2">
      <c r="B307" s="1851" t="s">
        <v>1982</v>
      </c>
      <c r="C307" s="1852" t="s">
        <v>1983</v>
      </c>
      <c r="D307" s="1853" t="s">
        <v>123</v>
      </c>
      <c r="E307" s="1853">
        <v>12</v>
      </c>
      <c r="F307" s="2011">
        <v>0</v>
      </c>
      <c r="G307" s="1854">
        <f t="shared" si="17"/>
        <v>0</v>
      </c>
      <c r="H307" s="1550"/>
    </row>
    <row r="308" spans="2:8" x14ac:dyDescent="0.2">
      <c r="B308" s="1851" t="s">
        <v>1984</v>
      </c>
      <c r="C308" s="1852" t="s">
        <v>1985</v>
      </c>
      <c r="D308" s="1853" t="s">
        <v>123</v>
      </c>
      <c r="E308" s="1853">
        <v>4</v>
      </c>
      <c r="F308" s="2011">
        <v>0</v>
      </c>
      <c r="G308" s="1854">
        <f t="shared" si="17"/>
        <v>0</v>
      </c>
      <c r="H308" s="1551"/>
    </row>
    <row r="309" spans="2:8" x14ac:dyDescent="0.2">
      <c r="B309" s="1851" t="s">
        <v>1986</v>
      </c>
      <c r="C309" s="1852" t="s">
        <v>1987</v>
      </c>
      <c r="D309" s="1853" t="s">
        <v>123</v>
      </c>
      <c r="E309" s="1853">
        <v>16</v>
      </c>
      <c r="F309" s="2011">
        <v>0</v>
      </c>
      <c r="G309" s="1854">
        <f t="shared" si="17"/>
        <v>0</v>
      </c>
      <c r="H309" s="1552"/>
    </row>
    <row r="310" spans="2:8" x14ac:dyDescent="0.2">
      <c r="B310" s="1851" t="s">
        <v>1988</v>
      </c>
      <c r="C310" s="1852" t="s">
        <v>1989</v>
      </c>
      <c r="D310" s="1853" t="s">
        <v>123</v>
      </c>
      <c r="E310" s="1853">
        <v>3</v>
      </c>
      <c r="F310" s="2011">
        <v>0</v>
      </c>
      <c r="G310" s="1854">
        <f t="shared" si="17"/>
        <v>0</v>
      </c>
      <c r="H310" s="1549"/>
    </row>
    <row r="311" spans="2:8" s="147" customFormat="1" x14ac:dyDescent="0.2">
      <c r="B311" s="1851" t="s">
        <v>1990</v>
      </c>
      <c r="C311" s="1852" t="s">
        <v>1991</v>
      </c>
      <c r="D311" s="1853" t="s">
        <v>123</v>
      </c>
      <c r="E311" s="1853">
        <v>3</v>
      </c>
      <c r="F311" s="2011">
        <v>0</v>
      </c>
      <c r="G311" s="1854">
        <f t="shared" si="17"/>
        <v>0</v>
      </c>
      <c r="H311" s="1553"/>
    </row>
    <row r="312" spans="2:8" ht="25.5" x14ac:dyDescent="0.2">
      <c r="B312" s="1851" t="s">
        <v>1992</v>
      </c>
      <c r="C312" s="1852" t="s">
        <v>1993</v>
      </c>
      <c r="D312" s="1853" t="s">
        <v>123</v>
      </c>
      <c r="E312" s="1853">
        <v>4</v>
      </c>
      <c r="F312" s="2011">
        <v>0</v>
      </c>
      <c r="G312" s="1854">
        <f t="shared" si="17"/>
        <v>0</v>
      </c>
      <c r="H312" s="1514"/>
    </row>
    <row r="313" spans="2:8" ht="25.5" x14ac:dyDescent="0.2">
      <c r="B313" s="1851" t="s">
        <v>1994</v>
      </c>
      <c r="C313" s="1852" t="s">
        <v>1995</v>
      </c>
      <c r="D313" s="1853" t="s">
        <v>123</v>
      </c>
      <c r="E313" s="1853">
        <v>4</v>
      </c>
      <c r="F313" s="2011">
        <v>0</v>
      </c>
      <c r="G313" s="1854">
        <f t="shared" si="17"/>
        <v>0</v>
      </c>
      <c r="H313" s="1514"/>
    </row>
    <row r="314" spans="2:8" x14ac:dyDescent="0.2">
      <c r="B314" s="1851" t="s">
        <v>1996</v>
      </c>
      <c r="C314" s="1852" t="s">
        <v>1997</v>
      </c>
      <c r="D314" s="1853" t="s">
        <v>123</v>
      </c>
      <c r="E314" s="1853">
        <v>4</v>
      </c>
      <c r="F314" s="2011">
        <v>0</v>
      </c>
      <c r="G314" s="1854">
        <f t="shared" si="17"/>
        <v>0</v>
      </c>
      <c r="H314" s="1514"/>
    </row>
    <row r="315" spans="2:8" x14ac:dyDescent="0.2">
      <c r="B315" s="1851" t="s">
        <v>1998</v>
      </c>
      <c r="C315" s="1852" t="s">
        <v>1999</v>
      </c>
      <c r="D315" s="1853" t="s">
        <v>123</v>
      </c>
      <c r="E315" s="1853">
        <v>12</v>
      </c>
      <c r="F315" s="2011">
        <v>0</v>
      </c>
      <c r="G315" s="1854">
        <f t="shared" si="17"/>
        <v>0</v>
      </c>
      <c r="H315" s="1514"/>
    </row>
    <row r="316" spans="2:8" s="147" customFormat="1" x14ac:dyDescent="0.2">
      <c r="B316" s="1851" t="s">
        <v>2000</v>
      </c>
      <c r="C316" s="1852" t="s">
        <v>2001</v>
      </c>
      <c r="D316" s="1853" t="s">
        <v>123</v>
      </c>
      <c r="E316" s="1853">
        <v>4</v>
      </c>
      <c r="F316" s="2011">
        <v>0</v>
      </c>
      <c r="G316" s="1854">
        <f t="shared" si="17"/>
        <v>0</v>
      </c>
      <c r="H316" s="1552"/>
    </row>
    <row r="317" spans="2:8" x14ac:dyDescent="0.2">
      <c r="B317" s="1851" t="s">
        <v>2002</v>
      </c>
      <c r="C317" s="1852" t="s">
        <v>2003</v>
      </c>
      <c r="D317" s="1853" t="s">
        <v>123</v>
      </c>
      <c r="E317" s="1853">
        <v>4</v>
      </c>
      <c r="F317" s="2011">
        <v>0</v>
      </c>
      <c r="G317" s="1854">
        <f t="shared" si="17"/>
        <v>0</v>
      </c>
      <c r="H317" s="1554"/>
    </row>
    <row r="318" spans="2:8" s="147" customFormat="1" ht="25.5" x14ac:dyDescent="0.2">
      <c r="B318" s="1851" t="s">
        <v>2004</v>
      </c>
      <c r="C318" s="1852" t="s">
        <v>2005</v>
      </c>
      <c r="D318" s="1853" t="s">
        <v>123</v>
      </c>
      <c r="E318" s="1853">
        <v>4</v>
      </c>
      <c r="F318" s="2011">
        <v>0</v>
      </c>
      <c r="G318" s="1854">
        <f t="shared" si="17"/>
        <v>0</v>
      </c>
      <c r="H318" s="1552"/>
    </row>
    <row r="319" spans="2:8" x14ac:dyDescent="0.2">
      <c r="B319" s="1851" t="s">
        <v>2006</v>
      </c>
      <c r="C319" s="1852" t="s">
        <v>2007</v>
      </c>
      <c r="D319" s="1853" t="s">
        <v>123</v>
      </c>
      <c r="E319" s="1853">
        <v>20</v>
      </c>
      <c r="F319" s="2011">
        <v>0</v>
      </c>
      <c r="G319" s="1854">
        <f t="shared" si="17"/>
        <v>0</v>
      </c>
      <c r="H319" s="1514"/>
    </row>
    <row r="320" spans="2:8" x14ac:dyDescent="0.2">
      <c r="B320" s="1851" t="s">
        <v>2008</v>
      </c>
      <c r="C320" s="1852" t="s">
        <v>2009</v>
      </c>
      <c r="D320" s="1853" t="s">
        <v>123</v>
      </c>
      <c r="E320" s="1853">
        <v>20</v>
      </c>
      <c r="F320" s="2011">
        <v>0</v>
      </c>
      <c r="G320" s="1854">
        <f t="shared" si="17"/>
        <v>0</v>
      </c>
      <c r="H320" s="1514"/>
    </row>
    <row r="321" spans="1:8" ht="25.5" x14ac:dyDescent="0.2">
      <c r="B321" s="1851" t="s">
        <v>2010</v>
      </c>
      <c r="C321" s="1852" t="s">
        <v>2011</v>
      </c>
      <c r="D321" s="1853" t="s">
        <v>98</v>
      </c>
      <c r="E321" s="1853">
        <v>1</v>
      </c>
      <c r="F321" s="2011">
        <v>0</v>
      </c>
      <c r="G321" s="1854">
        <f t="shared" si="17"/>
        <v>0</v>
      </c>
      <c r="H321" s="1514"/>
    </row>
    <row r="322" spans="1:8" ht="63.75" x14ac:dyDescent="0.2">
      <c r="B322" s="1851" t="s">
        <v>2012</v>
      </c>
      <c r="C322" s="1852" t="s">
        <v>2013</v>
      </c>
      <c r="D322" s="1853" t="s">
        <v>98</v>
      </c>
      <c r="E322" s="1853">
        <v>1</v>
      </c>
      <c r="F322" s="2011">
        <v>0</v>
      </c>
      <c r="G322" s="1854">
        <f t="shared" si="17"/>
        <v>0</v>
      </c>
      <c r="H322" s="1514"/>
    </row>
    <row r="323" spans="1:8" ht="26.25" thickBot="1" x14ac:dyDescent="0.25">
      <c r="B323" s="1851" t="s">
        <v>2014</v>
      </c>
      <c r="C323" s="1852" t="s">
        <v>2015</v>
      </c>
      <c r="D323" s="1853" t="s">
        <v>98</v>
      </c>
      <c r="E323" s="1853">
        <v>1</v>
      </c>
      <c r="F323" s="2011">
        <v>0</v>
      </c>
      <c r="G323" s="1854">
        <f t="shared" si="17"/>
        <v>0</v>
      </c>
      <c r="H323" s="1514"/>
    </row>
    <row r="324" spans="1:8" ht="24" customHeight="1" thickBot="1" x14ac:dyDescent="0.25">
      <c r="B324" s="2955" t="s">
        <v>15</v>
      </c>
      <c r="C324" s="2961" t="str">
        <f>C266</f>
        <v>Omara POLJE 1 (moč)</v>
      </c>
      <c r="D324" s="2962"/>
      <c r="E324" s="2963"/>
      <c r="F324" s="2964"/>
      <c r="G324" s="2965">
        <f>SUM(G269:G323)</f>
        <v>0</v>
      </c>
      <c r="H324" s="1514"/>
    </row>
    <row r="325" spans="1:8" x14ac:dyDescent="0.2">
      <c r="B325" s="1555"/>
      <c r="C325" s="1556"/>
      <c r="D325" s="1557"/>
      <c r="E325" s="1558"/>
      <c r="F325" s="1559"/>
      <c r="G325" s="1560"/>
      <c r="H325" s="1532"/>
    </row>
    <row r="326" spans="1:8" x14ac:dyDescent="0.2">
      <c r="B326" s="1229"/>
      <c r="C326" s="1228"/>
      <c r="D326" s="1230"/>
      <c r="E326" s="1231"/>
      <c r="F326" s="1561"/>
      <c r="G326" s="1562"/>
      <c r="H326" s="1532"/>
    </row>
    <row r="327" spans="1:8" s="147" customFormat="1" x14ac:dyDescent="0.2">
      <c r="B327" s="1542"/>
      <c r="C327" s="1543"/>
      <c r="D327" s="1544"/>
      <c r="E327" s="1545"/>
      <c r="F327" s="1546"/>
      <c r="G327" s="1547"/>
      <c r="H327" s="1553"/>
    </row>
    <row r="328" spans="1:8" x14ac:dyDescent="0.2">
      <c r="B328" s="1868" t="s">
        <v>20</v>
      </c>
      <c r="C328" s="1869" t="s">
        <v>2016</v>
      </c>
      <c r="D328" s="1870"/>
      <c r="E328" s="1870"/>
      <c r="F328" s="2013"/>
      <c r="G328" s="1872"/>
      <c r="H328" s="1554"/>
    </row>
    <row r="329" spans="1:8" s="147" customFormat="1" x14ac:dyDescent="0.25">
      <c r="B329" s="1563"/>
      <c r="C329" s="1564"/>
      <c r="D329" s="1528"/>
      <c r="E329" s="1529"/>
      <c r="F329" s="1565"/>
      <c r="G329" s="1566"/>
      <c r="H329" s="1567"/>
    </row>
    <row r="330" spans="1:8" x14ac:dyDescent="0.2">
      <c r="B330" s="1877" t="s">
        <v>83</v>
      </c>
      <c r="C330" s="1878" t="s">
        <v>84</v>
      </c>
      <c r="D330" s="1878" t="s">
        <v>1929</v>
      </c>
      <c r="E330" s="1878" t="s">
        <v>547</v>
      </c>
      <c r="F330" s="2015" t="s">
        <v>1873</v>
      </c>
      <c r="G330" s="1878" t="s">
        <v>1874</v>
      </c>
      <c r="H330" s="1568"/>
    </row>
    <row r="331" spans="1:8" ht="89.25" x14ac:dyDescent="0.2">
      <c r="B331" s="1879" t="s">
        <v>180</v>
      </c>
      <c r="C331" s="1880" t="s">
        <v>2017</v>
      </c>
      <c r="D331" s="1881" t="s">
        <v>98</v>
      </c>
      <c r="E331" s="1881">
        <v>1</v>
      </c>
      <c r="F331" s="2016">
        <v>0</v>
      </c>
      <c r="G331" s="1882">
        <f t="shared" ref="G331:G379" si="18">E331*F331</f>
        <v>0</v>
      </c>
      <c r="H331" s="1569"/>
    </row>
    <row r="332" spans="1:8" ht="38.25" x14ac:dyDescent="0.2">
      <c r="B332" s="1879" t="s">
        <v>188</v>
      </c>
      <c r="C332" s="1880" t="s">
        <v>2018</v>
      </c>
      <c r="D332" s="1881" t="s">
        <v>149</v>
      </c>
      <c r="E332" s="1881">
        <v>1</v>
      </c>
      <c r="F332" s="2016">
        <v>0</v>
      </c>
      <c r="G332" s="1882">
        <f t="shared" si="18"/>
        <v>0</v>
      </c>
      <c r="H332" s="1570"/>
    </row>
    <row r="333" spans="1:8" ht="25.5" x14ac:dyDescent="0.2">
      <c r="A333" s="3288"/>
      <c r="B333" s="1879" t="s">
        <v>199</v>
      </c>
      <c r="C333" s="1880" t="s">
        <v>1935</v>
      </c>
      <c r="D333" s="1881" t="s">
        <v>123</v>
      </c>
      <c r="E333" s="1881">
        <v>1</v>
      </c>
      <c r="F333" s="2016">
        <v>0</v>
      </c>
      <c r="G333" s="1882">
        <f t="shared" si="18"/>
        <v>0</v>
      </c>
      <c r="H333" s="1569"/>
    </row>
    <row r="334" spans="1:8" x14ac:dyDescent="0.2">
      <c r="A334" s="3288"/>
      <c r="B334" s="1879" t="s">
        <v>204</v>
      </c>
      <c r="C334" s="1880" t="s">
        <v>1936</v>
      </c>
      <c r="D334" s="1881" t="s">
        <v>123</v>
      </c>
      <c r="E334" s="1881">
        <v>1</v>
      </c>
      <c r="F334" s="2016">
        <v>0</v>
      </c>
      <c r="G334" s="1882">
        <f t="shared" si="18"/>
        <v>0</v>
      </c>
      <c r="H334" s="1571"/>
    </row>
    <row r="335" spans="1:8" ht="25.5" x14ac:dyDescent="0.2">
      <c r="B335" s="1879" t="s">
        <v>220</v>
      </c>
      <c r="C335" s="1880" t="s">
        <v>1938</v>
      </c>
      <c r="D335" s="1881" t="s">
        <v>123</v>
      </c>
      <c r="E335" s="1881">
        <v>2</v>
      </c>
      <c r="F335" s="2016">
        <v>0</v>
      </c>
      <c r="G335" s="1882">
        <f t="shared" si="18"/>
        <v>0</v>
      </c>
      <c r="H335" s="1572"/>
    </row>
    <row r="336" spans="1:8" x14ac:dyDescent="0.2">
      <c r="B336" s="1879" t="s">
        <v>330</v>
      </c>
      <c r="C336" s="1880" t="s">
        <v>1940</v>
      </c>
      <c r="D336" s="1881" t="s">
        <v>123</v>
      </c>
      <c r="E336" s="1881">
        <v>1</v>
      </c>
      <c r="F336" s="2016">
        <v>0</v>
      </c>
      <c r="G336" s="1882">
        <f t="shared" si="18"/>
        <v>0</v>
      </c>
      <c r="H336" s="1514"/>
    </row>
    <row r="337" spans="1:8" ht="25.5" x14ac:dyDescent="0.2">
      <c r="B337" s="1879" t="s">
        <v>230</v>
      </c>
      <c r="C337" s="1880" t="s">
        <v>1941</v>
      </c>
      <c r="D337" s="1881" t="s">
        <v>123</v>
      </c>
      <c r="E337" s="1881">
        <v>1</v>
      </c>
      <c r="F337" s="2016">
        <v>0</v>
      </c>
      <c r="G337" s="1882">
        <f t="shared" si="18"/>
        <v>0</v>
      </c>
      <c r="H337" s="1554"/>
    </row>
    <row r="338" spans="1:8" ht="40.5" customHeight="1" x14ac:dyDescent="0.2">
      <c r="B338" s="1879" t="s">
        <v>243</v>
      </c>
      <c r="C338" s="1880" t="s">
        <v>1942</v>
      </c>
      <c r="D338" s="1881" t="s">
        <v>560</v>
      </c>
      <c r="E338" s="1881">
        <v>1</v>
      </c>
      <c r="F338" s="2016">
        <v>0</v>
      </c>
      <c r="G338" s="1882">
        <f t="shared" si="18"/>
        <v>0</v>
      </c>
      <c r="H338" s="1573"/>
    </row>
    <row r="339" spans="1:8" ht="25.5" x14ac:dyDescent="0.2">
      <c r="B339" s="1879" t="s">
        <v>251</v>
      </c>
      <c r="C339" s="1883" t="s">
        <v>2019</v>
      </c>
      <c r="D339" s="1881" t="s">
        <v>123</v>
      </c>
      <c r="E339" s="1881">
        <v>1</v>
      </c>
      <c r="F339" s="2016">
        <v>0</v>
      </c>
      <c r="G339" s="1882">
        <f t="shared" si="18"/>
        <v>0</v>
      </c>
      <c r="H339" s="1574"/>
    </row>
    <row r="340" spans="1:8" x14ac:dyDescent="0.2">
      <c r="B340" s="1879" t="s">
        <v>270</v>
      </c>
      <c r="C340" s="1880" t="s">
        <v>2020</v>
      </c>
      <c r="D340" s="1881" t="s">
        <v>123</v>
      </c>
      <c r="E340" s="1881">
        <v>1</v>
      </c>
      <c r="F340" s="2016">
        <v>0</v>
      </c>
      <c r="G340" s="1882">
        <f t="shared" si="18"/>
        <v>0</v>
      </c>
      <c r="H340" s="1514"/>
    </row>
    <row r="341" spans="1:8" ht="63.75" x14ac:dyDescent="0.2">
      <c r="B341" s="1879" t="s">
        <v>299</v>
      </c>
      <c r="C341" s="1880" t="s">
        <v>603</v>
      </c>
      <c r="D341" s="1881" t="s">
        <v>553</v>
      </c>
      <c r="E341" s="1881">
        <v>1</v>
      </c>
      <c r="F341" s="2016">
        <v>0</v>
      </c>
      <c r="G341" s="1882">
        <f t="shared" si="18"/>
        <v>0</v>
      </c>
      <c r="H341" s="1514"/>
    </row>
    <row r="342" spans="1:8" x14ac:dyDescent="0.2">
      <c r="B342" s="1879" t="s">
        <v>897</v>
      </c>
      <c r="C342" s="1880" t="s">
        <v>2021</v>
      </c>
      <c r="D342" s="1881" t="s">
        <v>123</v>
      </c>
      <c r="E342" s="1881">
        <v>12</v>
      </c>
      <c r="F342" s="2016">
        <v>0</v>
      </c>
      <c r="G342" s="1882">
        <f t="shared" si="18"/>
        <v>0</v>
      </c>
      <c r="H342" s="1514"/>
    </row>
    <row r="343" spans="1:8" x14ac:dyDescent="0.2">
      <c r="B343" s="1879" t="s">
        <v>917</v>
      </c>
      <c r="C343" s="1880" t="s">
        <v>2022</v>
      </c>
      <c r="D343" s="1881" t="s">
        <v>123</v>
      </c>
      <c r="E343" s="1881">
        <v>1</v>
      </c>
      <c r="F343" s="2016">
        <v>0</v>
      </c>
      <c r="G343" s="1882">
        <f t="shared" si="18"/>
        <v>0</v>
      </c>
      <c r="H343" s="1514"/>
    </row>
    <row r="344" spans="1:8" ht="25.5" x14ac:dyDescent="0.2">
      <c r="B344" s="1879" t="s">
        <v>989</v>
      </c>
      <c r="C344" s="1880" t="s">
        <v>2023</v>
      </c>
      <c r="D344" s="1881" t="s">
        <v>123</v>
      </c>
      <c r="E344" s="1881">
        <v>3</v>
      </c>
      <c r="F344" s="2016">
        <v>0</v>
      </c>
      <c r="G344" s="1882">
        <f t="shared" si="18"/>
        <v>0</v>
      </c>
      <c r="H344" s="1514"/>
    </row>
    <row r="345" spans="1:8" ht="25.5" x14ac:dyDescent="0.2">
      <c r="B345" s="1879" t="s">
        <v>1009</v>
      </c>
      <c r="C345" s="1880" t="s">
        <v>2024</v>
      </c>
      <c r="D345" s="1881" t="s">
        <v>123</v>
      </c>
      <c r="E345" s="1881">
        <v>24</v>
      </c>
      <c r="F345" s="2016">
        <v>0</v>
      </c>
      <c r="G345" s="1882">
        <f t="shared" si="18"/>
        <v>0</v>
      </c>
      <c r="H345" s="1514"/>
    </row>
    <row r="346" spans="1:8" ht="25.5" x14ac:dyDescent="0.2">
      <c r="A346" s="147"/>
      <c r="B346" s="1879" t="s">
        <v>2025</v>
      </c>
      <c r="C346" s="1880" t="s">
        <v>2026</v>
      </c>
      <c r="D346" s="1881" t="s">
        <v>123</v>
      </c>
      <c r="E346" s="1881">
        <v>4</v>
      </c>
      <c r="F346" s="2016">
        <v>0</v>
      </c>
      <c r="G346" s="1882">
        <f t="shared" si="18"/>
        <v>0</v>
      </c>
      <c r="H346" s="1514"/>
    </row>
    <row r="347" spans="1:8" x14ac:dyDescent="0.2">
      <c r="B347" s="1879" t="s">
        <v>2027</v>
      </c>
      <c r="C347" s="1880" t="s">
        <v>621</v>
      </c>
      <c r="D347" s="1881" t="s">
        <v>123</v>
      </c>
      <c r="E347" s="1881">
        <v>2</v>
      </c>
      <c r="F347" s="2016">
        <v>0</v>
      </c>
      <c r="G347" s="1882">
        <f t="shared" si="18"/>
        <v>0</v>
      </c>
      <c r="H347" s="1514"/>
    </row>
    <row r="348" spans="1:8" ht="38.25" x14ac:dyDescent="0.2">
      <c r="A348" s="147"/>
      <c r="B348" s="1879" t="s">
        <v>2028</v>
      </c>
      <c r="C348" s="1880" t="s">
        <v>2029</v>
      </c>
      <c r="D348" s="1881" t="s">
        <v>123</v>
      </c>
      <c r="E348" s="1881">
        <v>14</v>
      </c>
      <c r="F348" s="2016">
        <v>0</v>
      </c>
      <c r="G348" s="1882">
        <f t="shared" si="18"/>
        <v>0</v>
      </c>
      <c r="H348" s="1514"/>
    </row>
    <row r="349" spans="1:8" ht="25.5" x14ac:dyDescent="0.2">
      <c r="A349" s="147"/>
      <c r="B349" s="1879" t="s">
        <v>2030</v>
      </c>
      <c r="C349" s="1880" t="s">
        <v>2031</v>
      </c>
      <c r="D349" s="1881" t="s">
        <v>123</v>
      </c>
      <c r="E349" s="1881">
        <v>2</v>
      </c>
      <c r="F349" s="2016">
        <v>0</v>
      </c>
      <c r="G349" s="1882">
        <f t="shared" si="18"/>
        <v>0</v>
      </c>
      <c r="H349" s="1514"/>
    </row>
    <row r="350" spans="1:8" ht="25.5" x14ac:dyDescent="0.2">
      <c r="A350" s="147"/>
      <c r="B350" s="1879" t="s">
        <v>2032</v>
      </c>
      <c r="C350" s="1880" t="s">
        <v>2033</v>
      </c>
      <c r="D350" s="1881" t="s">
        <v>123</v>
      </c>
      <c r="E350" s="1881">
        <v>1</v>
      </c>
      <c r="F350" s="2016">
        <v>0</v>
      </c>
      <c r="G350" s="1882">
        <f t="shared" si="18"/>
        <v>0</v>
      </c>
      <c r="H350" s="1514"/>
    </row>
    <row r="351" spans="1:8" ht="25.5" x14ac:dyDescent="0.2">
      <c r="B351" s="1879" t="s">
        <v>2034</v>
      </c>
      <c r="C351" s="1880" t="s">
        <v>2035</v>
      </c>
      <c r="D351" s="1881" t="s">
        <v>123</v>
      </c>
      <c r="E351" s="1881">
        <v>1</v>
      </c>
      <c r="F351" s="2016">
        <v>0</v>
      </c>
      <c r="G351" s="1882">
        <f t="shared" si="18"/>
        <v>0</v>
      </c>
      <c r="H351" s="1514"/>
    </row>
    <row r="352" spans="1:8" ht="25.5" x14ac:dyDescent="0.2">
      <c r="B352" s="1879" t="s">
        <v>2036</v>
      </c>
      <c r="C352" s="1880" t="s">
        <v>2037</v>
      </c>
      <c r="D352" s="1881" t="s">
        <v>123</v>
      </c>
      <c r="E352" s="1881">
        <v>1</v>
      </c>
      <c r="F352" s="2016">
        <v>0</v>
      </c>
      <c r="G352" s="1882">
        <f t="shared" si="18"/>
        <v>0</v>
      </c>
      <c r="H352" s="1514"/>
    </row>
    <row r="353" spans="2:8" ht="25.5" x14ac:dyDescent="0.2">
      <c r="B353" s="1879" t="s">
        <v>2038</v>
      </c>
      <c r="C353" s="1880" t="s">
        <v>2039</v>
      </c>
      <c r="D353" s="1881" t="s">
        <v>123</v>
      </c>
      <c r="E353" s="1881">
        <v>4</v>
      </c>
      <c r="F353" s="2016">
        <v>0</v>
      </c>
      <c r="G353" s="1882">
        <f t="shared" si="18"/>
        <v>0</v>
      </c>
      <c r="H353" s="1514"/>
    </row>
    <row r="354" spans="2:8" ht="25.5" x14ac:dyDescent="0.2">
      <c r="B354" s="1879" t="s">
        <v>2040</v>
      </c>
      <c r="C354" s="1880" t="s">
        <v>2041</v>
      </c>
      <c r="D354" s="1881" t="s">
        <v>553</v>
      </c>
      <c r="E354" s="1881">
        <v>1</v>
      </c>
      <c r="F354" s="2016">
        <v>0</v>
      </c>
      <c r="G354" s="1882">
        <f t="shared" si="18"/>
        <v>0</v>
      </c>
      <c r="H354" s="1514"/>
    </row>
    <row r="355" spans="2:8" x14ac:dyDescent="0.2">
      <c r="B355" s="1879" t="s">
        <v>2042</v>
      </c>
      <c r="C355" s="1880" t="s">
        <v>1971</v>
      </c>
      <c r="D355" s="1881" t="s">
        <v>123</v>
      </c>
      <c r="E355" s="1881">
        <v>12</v>
      </c>
      <c r="F355" s="2016">
        <v>0</v>
      </c>
      <c r="G355" s="1882">
        <f t="shared" si="18"/>
        <v>0</v>
      </c>
      <c r="H355" s="1514"/>
    </row>
    <row r="356" spans="2:8" ht="25.5" x14ac:dyDescent="0.2">
      <c r="B356" s="1879" t="s">
        <v>2043</v>
      </c>
      <c r="C356" s="1880" t="s">
        <v>1973</v>
      </c>
      <c r="D356" s="1881" t="s">
        <v>123</v>
      </c>
      <c r="E356" s="1881">
        <v>2</v>
      </c>
      <c r="F356" s="2016">
        <v>0</v>
      </c>
      <c r="G356" s="1882">
        <f t="shared" si="18"/>
        <v>0</v>
      </c>
      <c r="H356" s="1514"/>
    </row>
    <row r="357" spans="2:8" x14ac:dyDescent="0.2">
      <c r="B357" s="1879" t="s">
        <v>2044</v>
      </c>
      <c r="C357" s="1880" t="s">
        <v>1975</v>
      </c>
      <c r="D357" s="1881" t="s">
        <v>644</v>
      </c>
      <c r="E357" s="1881">
        <v>2</v>
      </c>
      <c r="F357" s="2016">
        <v>0</v>
      </c>
      <c r="G357" s="1882">
        <f t="shared" si="18"/>
        <v>0</v>
      </c>
      <c r="H357" s="1514"/>
    </row>
    <row r="358" spans="2:8" x14ac:dyDescent="0.2">
      <c r="B358" s="1879" t="s">
        <v>2045</v>
      </c>
      <c r="C358" s="1880" t="s">
        <v>1977</v>
      </c>
      <c r="D358" s="1881" t="s">
        <v>644</v>
      </c>
      <c r="E358" s="1881">
        <v>2</v>
      </c>
      <c r="F358" s="2016">
        <v>0</v>
      </c>
      <c r="G358" s="1882">
        <f t="shared" si="18"/>
        <v>0</v>
      </c>
      <c r="H358" s="1514"/>
    </row>
    <row r="359" spans="2:8" x14ac:dyDescent="0.2">
      <c r="B359" s="1879" t="s">
        <v>2046</v>
      </c>
      <c r="C359" s="1880" t="s">
        <v>1979</v>
      </c>
      <c r="D359" s="1881" t="s">
        <v>644</v>
      </c>
      <c r="E359" s="1881">
        <v>2</v>
      </c>
      <c r="F359" s="2016">
        <v>0</v>
      </c>
      <c r="G359" s="1882">
        <f t="shared" si="18"/>
        <v>0</v>
      </c>
      <c r="H359" s="1514"/>
    </row>
    <row r="360" spans="2:8" x14ac:dyDescent="0.2">
      <c r="B360" s="1879" t="s">
        <v>2047</v>
      </c>
      <c r="C360" s="1880" t="s">
        <v>1981</v>
      </c>
      <c r="D360" s="1881" t="s">
        <v>123</v>
      </c>
      <c r="E360" s="1881">
        <v>80</v>
      </c>
      <c r="F360" s="2016">
        <v>0</v>
      </c>
      <c r="G360" s="1882">
        <f t="shared" si="18"/>
        <v>0</v>
      </c>
      <c r="H360" s="1514"/>
    </row>
    <row r="361" spans="2:8" ht="25.5" x14ac:dyDescent="0.2">
      <c r="B361" s="1879" t="s">
        <v>2048</v>
      </c>
      <c r="C361" s="1880" t="s">
        <v>1983</v>
      </c>
      <c r="D361" s="1881" t="s">
        <v>123</v>
      </c>
      <c r="E361" s="1881">
        <v>6</v>
      </c>
      <c r="F361" s="2016">
        <v>0</v>
      </c>
      <c r="G361" s="1882">
        <f t="shared" si="18"/>
        <v>0</v>
      </c>
      <c r="H361" s="1514"/>
    </row>
    <row r="362" spans="2:8" x14ac:dyDescent="0.2">
      <c r="B362" s="1879" t="s">
        <v>2049</v>
      </c>
      <c r="C362" s="1880" t="s">
        <v>1985</v>
      </c>
      <c r="D362" s="1881" t="s">
        <v>123</v>
      </c>
      <c r="E362" s="1881">
        <v>2</v>
      </c>
      <c r="F362" s="2016">
        <v>0</v>
      </c>
      <c r="G362" s="1882">
        <f t="shared" si="18"/>
        <v>0</v>
      </c>
      <c r="H362" s="1514"/>
    </row>
    <row r="363" spans="2:8" x14ac:dyDescent="0.2">
      <c r="B363" s="1879" t="s">
        <v>2050</v>
      </c>
      <c r="C363" s="1880" t="s">
        <v>1987</v>
      </c>
      <c r="D363" s="1881" t="s">
        <v>123</v>
      </c>
      <c r="E363" s="1881">
        <v>20</v>
      </c>
      <c r="F363" s="2016">
        <v>0</v>
      </c>
      <c r="G363" s="1882">
        <f t="shared" si="18"/>
        <v>0</v>
      </c>
      <c r="H363" s="1514"/>
    </row>
    <row r="364" spans="2:8" x14ac:dyDescent="0.2">
      <c r="B364" s="1879" t="s">
        <v>2051</v>
      </c>
      <c r="C364" s="1880" t="s">
        <v>1989</v>
      </c>
      <c r="D364" s="1881" t="s">
        <v>123</v>
      </c>
      <c r="E364" s="1881">
        <v>3</v>
      </c>
      <c r="F364" s="2016">
        <v>0</v>
      </c>
      <c r="G364" s="1882">
        <f t="shared" si="18"/>
        <v>0</v>
      </c>
      <c r="H364" s="1514"/>
    </row>
    <row r="365" spans="2:8" x14ac:dyDescent="0.2">
      <c r="B365" s="1879" t="s">
        <v>2052</v>
      </c>
      <c r="C365" s="1880" t="s">
        <v>1991</v>
      </c>
      <c r="D365" s="1881" t="s">
        <v>123</v>
      </c>
      <c r="E365" s="1881">
        <v>3</v>
      </c>
      <c r="F365" s="2016">
        <v>0</v>
      </c>
      <c r="G365" s="1882">
        <f t="shared" si="18"/>
        <v>0</v>
      </c>
      <c r="H365" s="1514"/>
    </row>
    <row r="366" spans="2:8" ht="25.5" x14ac:dyDescent="0.2">
      <c r="B366" s="1879" t="s">
        <v>2053</v>
      </c>
      <c r="C366" s="1880" t="s">
        <v>1993</v>
      </c>
      <c r="D366" s="1881" t="s">
        <v>123</v>
      </c>
      <c r="E366" s="1881">
        <v>2</v>
      </c>
      <c r="F366" s="2016">
        <v>0</v>
      </c>
      <c r="G366" s="1882">
        <f t="shared" si="18"/>
        <v>0</v>
      </c>
      <c r="H366" s="1514"/>
    </row>
    <row r="367" spans="2:8" ht="25.5" x14ac:dyDescent="0.2">
      <c r="B367" s="1879" t="s">
        <v>2054</v>
      </c>
      <c r="C367" s="1880" t="s">
        <v>1995</v>
      </c>
      <c r="D367" s="1881" t="s">
        <v>123</v>
      </c>
      <c r="E367" s="1881">
        <v>2</v>
      </c>
      <c r="F367" s="2016">
        <v>0</v>
      </c>
      <c r="G367" s="1882">
        <f t="shared" si="18"/>
        <v>0</v>
      </c>
      <c r="H367" s="1514"/>
    </row>
    <row r="368" spans="2:8" x14ac:dyDescent="0.2">
      <c r="B368" s="1879" t="s">
        <v>2055</v>
      </c>
      <c r="C368" s="1880" t="s">
        <v>1997</v>
      </c>
      <c r="D368" s="1881" t="s">
        <v>123</v>
      </c>
      <c r="E368" s="1881">
        <v>2</v>
      </c>
      <c r="F368" s="2016">
        <v>0</v>
      </c>
      <c r="G368" s="1882">
        <f t="shared" si="18"/>
        <v>0</v>
      </c>
      <c r="H368" s="1514"/>
    </row>
    <row r="369" spans="2:8" x14ac:dyDescent="0.2">
      <c r="B369" s="1879" t="s">
        <v>2056</v>
      </c>
      <c r="C369" s="1880" t="s">
        <v>1999</v>
      </c>
      <c r="D369" s="1881" t="s">
        <v>123</v>
      </c>
      <c r="E369" s="1881">
        <v>12</v>
      </c>
      <c r="F369" s="2016">
        <v>0</v>
      </c>
      <c r="G369" s="1882">
        <f t="shared" si="18"/>
        <v>0</v>
      </c>
      <c r="H369" s="1514"/>
    </row>
    <row r="370" spans="2:8" x14ac:dyDescent="0.2">
      <c r="B370" s="1879" t="s">
        <v>2057</v>
      </c>
      <c r="C370" s="1880" t="s">
        <v>2001</v>
      </c>
      <c r="D370" s="1881" t="s">
        <v>123</v>
      </c>
      <c r="E370" s="1881">
        <v>4</v>
      </c>
      <c r="F370" s="2016">
        <v>0</v>
      </c>
      <c r="G370" s="1882">
        <f t="shared" si="18"/>
        <v>0</v>
      </c>
      <c r="H370" s="1514"/>
    </row>
    <row r="371" spans="2:8" x14ac:dyDescent="0.2">
      <c r="B371" s="1879" t="s">
        <v>2058</v>
      </c>
      <c r="C371" s="1880" t="s">
        <v>2003</v>
      </c>
      <c r="D371" s="1881" t="s">
        <v>123</v>
      </c>
      <c r="E371" s="1881">
        <v>8</v>
      </c>
      <c r="F371" s="2016">
        <v>0</v>
      </c>
      <c r="G371" s="1882">
        <f t="shared" si="18"/>
        <v>0</v>
      </c>
      <c r="H371" s="1514"/>
    </row>
    <row r="372" spans="2:8" ht="25.5" x14ac:dyDescent="0.2">
      <c r="B372" s="1879" t="s">
        <v>2059</v>
      </c>
      <c r="C372" s="1880" t="s">
        <v>2005</v>
      </c>
      <c r="D372" s="1881" t="s">
        <v>123</v>
      </c>
      <c r="E372" s="1881">
        <v>2</v>
      </c>
      <c r="F372" s="2016">
        <v>0</v>
      </c>
      <c r="G372" s="1882">
        <f t="shared" si="18"/>
        <v>0</v>
      </c>
      <c r="H372" s="1514"/>
    </row>
    <row r="373" spans="2:8" x14ac:dyDescent="0.2">
      <c r="B373" s="1879" t="s">
        <v>2060</v>
      </c>
      <c r="C373" s="1880" t="s">
        <v>2007</v>
      </c>
      <c r="D373" s="1881" t="s">
        <v>123</v>
      </c>
      <c r="E373" s="1881">
        <v>20</v>
      </c>
      <c r="F373" s="2016">
        <v>0</v>
      </c>
      <c r="G373" s="1882">
        <f t="shared" si="18"/>
        <v>0</v>
      </c>
      <c r="H373" s="1514"/>
    </row>
    <row r="374" spans="2:8" x14ac:dyDescent="0.2">
      <c r="B374" s="1879" t="s">
        <v>2061</v>
      </c>
      <c r="C374" s="1880" t="s">
        <v>2009</v>
      </c>
      <c r="D374" s="1881" t="s">
        <v>123</v>
      </c>
      <c r="E374" s="1881">
        <v>20</v>
      </c>
      <c r="F374" s="2016">
        <v>0</v>
      </c>
      <c r="G374" s="1882">
        <f t="shared" si="18"/>
        <v>0</v>
      </c>
      <c r="H374" s="1514"/>
    </row>
    <row r="375" spans="2:8" ht="25.5" x14ac:dyDescent="0.2">
      <c r="B375" s="1879" t="s">
        <v>2062</v>
      </c>
      <c r="C375" s="1880" t="s">
        <v>2011</v>
      </c>
      <c r="D375" s="1881" t="s">
        <v>98</v>
      </c>
      <c r="E375" s="1881">
        <v>1</v>
      </c>
      <c r="F375" s="2016">
        <v>0</v>
      </c>
      <c r="G375" s="1882">
        <f t="shared" si="18"/>
        <v>0</v>
      </c>
      <c r="H375" s="1514"/>
    </row>
    <row r="376" spans="2:8" ht="63.75" x14ac:dyDescent="0.2">
      <c r="B376" s="1879" t="s">
        <v>2063</v>
      </c>
      <c r="C376" s="1880" t="s">
        <v>617</v>
      </c>
      <c r="D376" s="1881" t="s">
        <v>98</v>
      </c>
      <c r="E376" s="1881">
        <v>1</v>
      </c>
      <c r="F376" s="2016">
        <v>0</v>
      </c>
      <c r="G376" s="1882">
        <f t="shared" si="18"/>
        <v>0</v>
      </c>
      <c r="H376" s="1514"/>
    </row>
    <row r="377" spans="2:8" ht="127.5" x14ac:dyDescent="0.2">
      <c r="B377" s="1879" t="s">
        <v>2064</v>
      </c>
      <c r="C377" s="1880" t="s">
        <v>619</v>
      </c>
      <c r="D377" s="1884" t="s">
        <v>123</v>
      </c>
      <c r="E377" s="1884">
        <v>2</v>
      </c>
      <c r="F377" s="2016">
        <v>0</v>
      </c>
      <c r="G377" s="1885">
        <f>E377*F377</f>
        <v>0</v>
      </c>
      <c r="H377" s="1514"/>
    </row>
    <row r="378" spans="2:8" ht="102" x14ac:dyDescent="0.2">
      <c r="B378" s="1879" t="s">
        <v>2065</v>
      </c>
      <c r="C378" s="1880" t="s">
        <v>620</v>
      </c>
      <c r="D378" s="1881" t="s">
        <v>123</v>
      </c>
      <c r="E378" s="1881">
        <v>1</v>
      </c>
      <c r="F378" s="2016">
        <v>0</v>
      </c>
      <c r="G378" s="1882">
        <f t="shared" si="18"/>
        <v>0</v>
      </c>
      <c r="H378" s="1514"/>
    </row>
    <row r="379" spans="2:8" ht="26.25" thickBot="1" x14ac:dyDescent="0.25">
      <c r="B379" s="1879" t="s">
        <v>2066</v>
      </c>
      <c r="C379" s="1883" t="s">
        <v>2067</v>
      </c>
      <c r="D379" s="1881" t="s">
        <v>123</v>
      </c>
      <c r="E379" s="1881">
        <v>1</v>
      </c>
      <c r="F379" s="2016">
        <v>0</v>
      </c>
      <c r="G379" s="1882">
        <f t="shared" si="18"/>
        <v>0</v>
      </c>
      <c r="H379" s="1532"/>
    </row>
    <row r="380" spans="2:8" ht="25.5" customHeight="1" thickBot="1" x14ac:dyDescent="0.25">
      <c r="B380" s="2966" t="s">
        <v>20</v>
      </c>
      <c r="C380" s="2967" t="s">
        <v>2016</v>
      </c>
      <c r="D380" s="2962"/>
      <c r="E380" s="2963"/>
      <c r="F380" s="2968"/>
      <c r="G380" s="2969">
        <f>SUM(G331:G379)</f>
        <v>0</v>
      </c>
      <c r="H380" s="1532"/>
    </row>
    <row r="381" spans="2:8" x14ac:dyDescent="0.2">
      <c r="B381" s="1229"/>
      <c r="C381" s="1575"/>
      <c r="D381" s="1528"/>
      <c r="E381" s="1529"/>
      <c r="F381" s="1530"/>
      <c r="G381" s="1531"/>
      <c r="H381" s="1532"/>
    </row>
    <row r="382" spans="2:8" x14ac:dyDescent="0.2">
      <c r="B382" s="1533"/>
      <c r="C382" s="1576"/>
      <c r="D382" s="1577"/>
      <c r="E382" s="1578"/>
      <c r="F382" s="1579"/>
      <c r="G382" s="1580"/>
      <c r="H382" s="1532"/>
    </row>
    <row r="383" spans="2:8" x14ac:dyDescent="0.2">
      <c r="B383" s="1542"/>
      <c r="C383" s="1543"/>
      <c r="D383" s="1544"/>
      <c r="E383" s="1545"/>
      <c r="F383" s="1546"/>
      <c r="G383" s="1547"/>
      <c r="H383" s="1532"/>
    </row>
    <row r="384" spans="2:8" x14ac:dyDescent="0.2">
      <c r="B384" s="1868" t="s">
        <v>24</v>
      </c>
      <c r="C384" s="1869" t="s">
        <v>769</v>
      </c>
      <c r="D384" s="1870"/>
      <c r="E384" s="1870"/>
      <c r="F384" s="2013"/>
      <c r="G384" s="1872"/>
      <c r="H384" s="1532"/>
    </row>
    <row r="385" spans="2:8" x14ac:dyDescent="0.2">
      <c r="B385" s="1581"/>
      <c r="C385" s="1582"/>
      <c r="D385" s="1583"/>
      <c r="E385" s="1584"/>
      <c r="F385" s="1585"/>
      <c r="G385" s="1586"/>
      <c r="H385" s="1532"/>
    </row>
    <row r="386" spans="2:8" x14ac:dyDescent="0.2">
      <c r="B386" s="1877" t="s">
        <v>83</v>
      </c>
      <c r="C386" s="1878" t="s">
        <v>84</v>
      </c>
      <c r="D386" s="1878" t="s">
        <v>1929</v>
      </c>
      <c r="E386" s="1878" t="s">
        <v>547</v>
      </c>
      <c r="F386" s="2015" t="s">
        <v>1873</v>
      </c>
      <c r="G386" s="1878" t="s">
        <v>1874</v>
      </c>
    </row>
    <row r="387" spans="2:8" ht="387.75" customHeight="1" x14ac:dyDescent="0.2">
      <c r="B387" s="2743"/>
      <c r="C387" s="2744"/>
      <c r="D387" s="2745"/>
      <c r="E387" s="2746"/>
      <c r="F387" s="2747"/>
      <c r="G387" s="2736"/>
      <c r="H387" s="122"/>
    </row>
    <row r="388" spans="2:8" ht="24.75" customHeight="1" x14ac:dyDescent="0.2">
      <c r="B388" s="2749">
        <v>4.0999999999999996</v>
      </c>
      <c r="C388" s="2744" t="s">
        <v>2465</v>
      </c>
      <c r="D388" s="2748" t="s">
        <v>98</v>
      </c>
      <c r="E388" s="2746">
        <v>1</v>
      </c>
      <c r="F388" s="2747">
        <v>0</v>
      </c>
      <c r="G388" s="2736">
        <f t="shared" ref="G388" si="19">E388*F388</f>
        <v>0</v>
      </c>
      <c r="H388" s="122"/>
    </row>
    <row r="389" spans="2:8" ht="51" x14ac:dyDescent="0.2">
      <c r="B389" s="1886" t="s">
        <v>907</v>
      </c>
      <c r="C389" s="1880" t="s">
        <v>771</v>
      </c>
      <c r="D389" s="1881" t="s">
        <v>123</v>
      </c>
      <c r="E389" s="1881">
        <v>2</v>
      </c>
      <c r="F389" s="2017">
        <v>0</v>
      </c>
      <c r="G389" s="1888">
        <f>F389*E389</f>
        <v>0</v>
      </c>
    </row>
    <row r="390" spans="2:8" ht="51" x14ac:dyDescent="0.2">
      <c r="B390" s="1886" t="s">
        <v>908</v>
      </c>
      <c r="C390" s="1880" t="s">
        <v>625</v>
      </c>
      <c r="D390" s="1881" t="s">
        <v>123</v>
      </c>
      <c r="E390" s="1881">
        <v>2</v>
      </c>
      <c r="F390" s="2017">
        <v>0</v>
      </c>
      <c r="G390" s="1888">
        <f>F390*E390</f>
        <v>0</v>
      </c>
    </row>
    <row r="391" spans="2:8" ht="76.5" x14ac:dyDescent="0.2">
      <c r="B391" s="1886" t="s">
        <v>2068</v>
      </c>
      <c r="C391" s="1880" t="s">
        <v>772</v>
      </c>
      <c r="D391" s="1881" t="s">
        <v>123</v>
      </c>
      <c r="E391" s="1881">
        <v>1</v>
      </c>
      <c r="F391" s="2017">
        <v>0</v>
      </c>
      <c r="G391" s="1888">
        <f>F391*E391</f>
        <v>0</v>
      </c>
    </row>
    <row r="392" spans="2:8" ht="76.5" x14ac:dyDescent="0.2">
      <c r="B392" s="1886" t="s">
        <v>2069</v>
      </c>
      <c r="C392" s="1880" t="s">
        <v>2070</v>
      </c>
      <c r="D392" s="1881" t="s">
        <v>123</v>
      </c>
      <c r="E392" s="1881">
        <v>1</v>
      </c>
      <c r="F392" s="2017">
        <v>0</v>
      </c>
      <c r="G392" s="1888">
        <f>F392*E392</f>
        <v>0</v>
      </c>
    </row>
    <row r="393" spans="2:8" ht="89.25" x14ac:dyDescent="0.2">
      <c r="B393" s="1886" t="s">
        <v>2071</v>
      </c>
      <c r="C393" s="1880" t="s">
        <v>943</v>
      </c>
      <c r="D393" s="1881" t="s">
        <v>123</v>
      </c>
      <c r="E393" s="1881">
        <v>1</v>
      </c>
      <c r="F393" s="2017">
        <v>0</v>
      </c>
      <c r="G393" s="1889">
        <f t="shared" ref="G393:G398" si="20">E393*F393</f>
        <v>0</v>
      </c>
    </row>
    <row r="394" spans="2:8" ht="357" x14ac:dyDescent="0.2">
      <c r="B394" s="1886" t="s">
        <v>2072</v>
      </c>
      <c r="C394" s="1890" t="s">
        <v>816</v>
      </c>
      <c r="D394" s="1887" t="s">
        <v>98</v>
      </c>
      <c r="E394" s="1887">
        <v>1</v>
      </c>
      <c r="F394" s="2017">
        <v>0</v>
      </c>
      <c r="G394" s="1888">
        <f t="shared" si="20"/>
        <v>0</v>
      </c>
    </row>
    <row r="395" spans="2:8" ht="255" x14ac:dyDescent="0.2">
      <c r="B395" s="1886" t="s">
        <v>2073</v>
      </c>
      <c r="C395" s="1880" t="s">
        <v>773</v>
      </c>
      <c r="D395" s="1881" t="s">
        <v>98</v>
      </c>
      <c r="E395" s="1881">
        <v>1</v>
      </c>
      <c r="F395" s="2017">
        <v>0</v>
      </c>
      <c r="G395" s="1889">
        <f t="shared" si="20"/>
        <v>0</v>
      </c>
    </row>
    <row r="396" spans="2:8" ht="89.25" x14ac:dyDescent="0.2">
      <c r="B396" s="1886" t="s">
        <v>2074</v>
      </c>
      <c r="C396" s="1880" t="s">
        <v>944</v>
      </c>
      <c r="D396" s="1881" t="s">
        <v>123</v>
      </c>
      <c r="E396" s="1881">
        <v>1</v>
      </c>
      <c r="F396" s="2017">
        <v>0</v>
      </c>
      <c r="G396" s="1889">
        <f t="shared" si="20"/>
        <v>0</v>
      </c>
    </row>
    <row r="397" spans="2:8" ht="369.75" x14ac:dyDescent="0.2">
      <c r="B397" s="1886" t="s">
        <v>2075</v>
      </c>
      <c r="C397" s="1890" t="s">
        <v>630</v>
      </c>
      <c r="D397" s="1881" t="s">
        <v>98</v>
      </c>
      <c r="E397" s="1881">
        <v>2</v>
      </c>
      <c r="F397" s="2017">
        <v>0</v>
      </c>
      <c r="G397" s="1889">
        <f t="shared" si="20"/>
        <v>0</v>
      </c>
    </row>
    <row r="398" spans="2:8" ht="13.5" thickBot="1" x14ac:dyDescent="0.25">
      <c r="B398" s="1886" t="s">
        <v>2076</v>
      </c>
      <c r="C398" s="1890" t="s">
        <v>632</v>
      </c>
      <c r="D398" s="1881" t="s">
        <v>98</v>
      </c>
      <c r="E398" s="1881">
        <v>1</v>
      </c>
      <c r="F398" s="2017">
        <v>0</v>
      </c>
      <c r="G398" s="1889">
        <f t="shared" si="20"/>
        <v>0</v>
      </c>
      <c r="H398" s="1514"/>
    </row>
    <row r="399" spans="2:8" ht="23.25" customHeight="1" thickBot="1" x14ac:dyDescent="0.25">
      <c r="B399" s="2966" t="s">
        <v>24</v>
      </c>
      <c r="C399" s="2967" t="s">
        <v>2077</v>
      </c>
      <c r="D399" s="2962"/>
      <c r="E399" s="2963"/>
      <c r="F399" s="2968"/>
      <c r="G399" s="2985">
        <f>SUM(G387:G398)</f>
        <v>0</v>
      </c>
      <c r="H399" s="1514"/>
    </row>
    <row r="400" spans="2:8" x14ac:dyDescent="0.2">
      <c r="B400" s="1229"/>
      <c r="C400" s="1575"/>
      <c r="D400" s="1528"/>
      <c r="E400" s="1529"/>
      <c r="F400" s="1530"/>
      <c r="G400" s="1531"/>
      <c r="H400" s="1532"/>
    </row>
    <row r="401" spans="2:8" x14ac:dyDescent="0.2">
      <c r="B401" s="1533"/>
      <c r="C401" s="1587"/>
      <c r="D401" s="1535"/>
      <c r="E401" s="1536"/>
      <c r="F401" s="1537"/>
      <c r="G401" s="1538"/>
      <c r="H401" s="1532"/>
    </row>
    <row r="402" spans="2:8" x14ac:dyDescent="0.2">
      <c r="B402" s="1542"/>
      <c r="C402" s="1543"/>
      <c r="D402" s="1544"/>
      <c r="E402" s="1588"/>
      <c r="F402" s="1589"/>
      <c r="G402" s="1590"/>
    </row>
    <row r="403" spans="2:8" x14ac:dyDescent="0.2">
      <c r="B403" s="1868" t="s">
        <v>29</v>
      </c>
      <c r="C403" s="1869" t="s">
        <v>779</v>
      </c>
      <c r="D403" s="1891"/>
      <c r="E403" s="1891"/>
      <c r="F403" s="2019"/>
      <c r="G403" s="1892"/>
    </row>
    <row r="404" spans="2:8" x14ac:dyDescent="0.2">
      <c r="B404" s="555"/>
      <c r="C404" s="1073"/>
      <c r="D404" s="556"/>
      <c r="E404" s="1591"/>
      <c r="F404" s="561"/>
      <c r="G404" s="1592"/>
      <c r="H404" s="1514"/>
    </row>
    <row r="405" spans="2:8" x14ac:dyDescent="0.2">
      <c r="B405" s="1877" t="s">
        <v>83</v>
      </c>
      <c r="C405" s="1878" t="s">
        <v>84</v>
      </c>
      <c r="D405" s="1893" t="s">
        <v>1929</v>
      </c>
      <c r="E405" s="1893" t="s">
        <v>547</v>
      </c>
      <c r="F405" s="2020" t="s">
        <v>1873</v>
      </c>
      <c r="G405" s="1893" t="s">
        <v>1874</v>
      </c>
      <c r="H405" s="1514"/>
    </row>
    <row r="406" spans="2:8" ht="76.5" x14ac:dyDescent="0.2">
      <c r="B406" s="1851" t="s">
        <v>2078</v>
      </c>
      <c r="C406" s="1880" t="s">
        <v>781</v>
      </c>
      <c r="D406" s="1881" t="s">
        <v>123</v>
      </c>
      <c r="E406" s="1881">
        <v>2</v>
      </c>
      <c r="F406" s="2018">
        <v>0</v>
      </c>
      <c r="G406" s="1889">
        <f t="shared" ref="G406:G414" si="21">E406*F406</f>
        <v>0</v>
      </c>
      <c r="H406" s="1514"/>
    </row>
    <row r="407" spans="2:8" ht="78.75" customHeight="1" x14ac:dyDescent="0.2">
      <c r="B407" s="1851" t="s">
        <v>2079</v>
      </c>
      <c r="C407" s="1880" t="s">
        <v>780</v>
      </c>
      <c r="D407" s="1881" t="s">
        <v>123</v>
      </c>
      <c r="E407" s="1881">
        <v>2</v>
      </c>
      <c r="F407" s="2018">
        <v>0</v>
      </c>
      <c r="G407" s="1889">
        <f t="shared" si="21"/>
        <v>0</v>
      </c>
      <c r="H407" s="1514"/>
    </row>
    <row r="408" spans="2:8" ht="25.5" x14ac:dyDescent="0.2">
      <c r="B408" s="1851" t="s">
        <v>2080</v>
      </c>
      <c r="C408" s="1880" t="s">
        <v>2081</v>
      </c>
      <c r="D408" s="1881" t="s">
        <v>123</v>
      </c>
      <c r="E408" s="1881">
        <v>2</v>
      </c>
      <c r="F408" s="2018">
        <v>0</v>
      </c>
      <c r="G408" s="1889">
        <f t="shared" si="21"/>
        <v>0</v>
      </c>
      <c r="H408" s="1514"/>
    </row>
    <row r="409" spans="2:8" ht="38.25" x14ac:dyDescent="0.2">
      <c r="B409" s="1851" t="s">
        <v>2082</v>
      </c>
      <c r="C409" s="1880" t="s">
        <v>638</v>
      </c>
      <c r="D409" s="1881" t="s">
        <v>123</v>
      </c>
      <c r="E409" s="1881">
        <v>2</v>
      </c>
      <c r="F409" s="2018">
        <v>0</v>
      </c>
      <c r="G409" s="1889">
        <f t="shared" si="21"/>
        <v>0</v>
      </c>
      <c r="H409" s="1514"/>
    </row>
    <row r="410" spans="2:8" x14ac:dyDescent="0.2">
      <c r="B410" s="1851" t="s">
        <v>2083</v>
      </c>
      <c r="C410" s="1880" t="s">
        <v>2084</v>
      </c>
      <c r="D410" s="1881" t="s">
        <v>123</v>
      </c>
      <c r="E410" s="1881">
        <v>1</v>
      </c>
      <c r="F410" s="2018">
        <v>0</v>
      </c>
      <c r="G410" s="1889">
        <f t="shared" si="21"/>
        <v>0</v>
      </c>
      <c r="H410" s="1514"/>
    </row>
    <row r="411" spans="2:8" ht="78.75" customHeight="1" x14ac:dyDescent="0.2">
      <c r="B411" s="1851" t="s">
        <v>2085</v>
      </c>
      <c r="C411" s="1880" t="s">
        <v>945</v>
      </c>
      <c r="D411" s="1881" t="s">
        <v>123</v>
      </c>
      <c r="E411" s="1881">
        <v>2</v>
      </c>
      <c r="F411" s="2018">
        <v>0</v>
      </c>
      <c r="G411" s="1889">
        <f t="shared" si="21"/>
        <v>0</v>
      </c>
      <c r="H411" s="1514"/>
    </row>
    <row r="412" spans="2:8" ht="38.25" x14ac:dyDescent="0.2">
      <c r="B412" s="1851" t="s">
        <v>2086</v>
      </c>
      <c r="C412" s="1880" t="s">
        <v>639</v>
      </c>
      <c r="D412" s="1881" t="s">
        <v>123</v>
      </c>
      <c r="E412" s="1881">
        <v>3</v>
      </c>
      <c r="F412" s="2018">
        <v>0</v>
      </c>
      <c r="G412" s="1889">
        <f t="shared" si="21"/>
        <v>0</v>
      </c>
      <c r="H412" s="1514"/>
    </row>
    <row r="413" spans="2:8" ht="36" x14ac:dyDescent="0.2">
      <c r="B413" s="1851" t="s">
        <v>2087</v>
      </c>
      <c r="C413" s="1593" t="s">
        <v>640</v>
      </c>
      <c r="D413" s="1881" t="s">
        <v>123</v>
      </c>
      <c r="E413" s="1881">
        <v>1</v>
      </c>
      <c r="F413" s="2018">
        <v>0</v>
      </c>
      <c r="G413" s="1889">
        <f t="shared" si="21"/>
        <v>0</v>
      </c>
      <c r="H413" s="1514"/>
    </row>
    <row r="414" spans="2:8" ht="13.5" thickBot="1" x14ac:dyDescent="0.25">
      <c r="B414" s="1851" t="s">
        <v>2088</v>
      </c>
      <c r="C414" s="1890" t="s">
        <v>632</v>
      </c>
      <c r="D414" s="1881" t="s">
        <v>98</v>
      </c>
      <c r="E414" s="1881">
        <v>1</v>
      </c>
      <c r="F414" s="2018">
        <v>0</v>
      </c>
      <c r="G414" s="1889">
        <f t="shared" si="21"/>
        <v>0</v>
      </c>
      <c r="H414" s="1514"/>
    </row>
    <row r="415" spans="2:8" ht="22.5" customHeight="1" thickBot="1" x14ac:dyDescent="0.25">
      <c r="B415" s="2970" t="s">
        <v>29</v>
      </c>
      <c r="C415" s="2971" t="s">
        <v>779</v>
      </c>
      <c r="D415" s="2962"/>
      <c r="E415" s="2963"/>
      <c r="F415" s="2968"/>
      <c r="G415" s="2969">
        <f>SUM(G406:G414)</f>
        <v>0</v>
      </c>
      <c r="H415" s="1514"/>
    </row>
    <row r="416" spans="2:8" ht="13.5" thickBot="1" x14ac:dyDescent="0.25">
      <c r="B416" s="1542"/>
      <c r="C416" s="1543"/>
      <c r="D416" s="1544"/>
      <c r="E416" s="1545"/>
      <c r="F416" s="1546"/>
      <c r="G416" s="1547"/>
      <c r="H416" s="1532"/>
    </row>
    <row r="417" spans="2:8" x14ac:dyDescent="0.2">
      <c r="B417" s="1594"/>
      <c r="C417" s="1595"/>
      <c r="D417" s="1596"/>
      <c r="E417" s="1597"/>
      <c r="F417" s="1598"/>
      <c r="G417" s="1599"/>
      <c r="H417" s="1532"/>
    </row>
    <row r="418" spans="2:8" x14ac:dyDescent="0.2">
      <c r="B418" s="555"/>
      <c r="C418" s="1600"/>
      <c r="D418" s="556"/>
      <c r="E418" s="557"/>
      <c r="F418" s="562"/>
      <c r="G418" s="559"/>
      <c r="H418" s="1532"/>
    </row>
    <row r="419" spans="2:8" x14ac:dyDescent="0.2">
      <c r="B419" s="1542"/>
      <c r="C419" s="1543"/>
      <c r="D419" s="1544"/>
      <c r="E419" s="1545"/>
      <c r="F419" s="1546"/>
      <c r="G419" s="1547"/>
      <c r="H419" s="1514"/>
    </row>
    <row r="420" spans="2:8" x14ac:dyDescent="0.2">
      <c r="B420" s="1868" t="s">
        <v>33</v>
      </c>
      <c r="C420" s="1869" t="s">
        <v>679</v>
      </c>
      <c r="D420" s="1870"/>
      <c r="E420" s="1870"/>
      <c r="F420" s="2013"/>
      <c r="G420" s="1872"/>
    </row>
    <row r="421" spans="2:8" x14ac:dyDescent="0.2">
      <c r="B421" s="555"/>
      <c r="C421" s="1073"/>
      <c r="D421" s="556"/>
      <c r="E421" s="557"/>
      <c r="F421" s="562"/>
      <c r="G421" s="559"/>
    </row>
    <row r="422" spans="2:8" x14ac:dyDescent="0.2">
      <c r="B422" s="1894" t="s">
        <v>83</v>
      </c>
      <c r="C422" s="1895" t="s">
        <v>84</v>
      </c>
      <c r="D422" s="1895" t="s">
        <v>1929</v>
      </c>
      <c r="E422" s="1895" t="s">
        <v>547</v>
      </c>
      <c r="F422" s="2021" t="s">
        <v>1873</v>
      </c>
      <c r="G422" s="1895" t="s">
        <v>1874</v>
      </c>
    </row>
    <row r="423" spans="2:8" ht="76.5" x14ac:dyDescent="0.2">
      <c r="B423" s="1879" t="s">
        <v>2089</v>
      </c>
      <c r="C423" s="1880" t="s">
        <v>777</v>
      </c>
      <c r="D423" s="1881" t="s">
        <v>553</v>
      </c>
      <c r="E423" s="1881">
        <v>1</v>
      </c>
      <c r="F423" s="2016">
        <v>0</v>
      </c>
      <c r="G423" s="1882">
        <f t="shared" ref="G423:G428" si="22">E423*F423</f>
        <v>0</v>
      </c>
    </row>
    <row r="424" spans="2:8" ht="127.5" x14ac:dyDescent="0.2">
      <c r="B424" s="1879" t="s">
        <v>2090</v>
      </c>
      <c r="C424" s="1880" t="s">
        <v>778</v>
      </c>
      <c r="D424" s="1881" t="s">
        <v>553</v>
      </c>
      <c r="E424" s="1881">
        <v>1</v>
      </c>
      <c r="F424" s="2016">
        <v>0</v>
      </c>
      <c r="G424" s="1882">
        <f t="shared" si="22"/>
        <v>0</v>
      </c>
    </row>
    <row r="425" spans="2:8" ht="76.5" x14ac:dyDescent="0.2">
      <c r="B425" s="1879" t="s">
        <v>2091</v>
      </c>
      <c r="C425" s="1880" t="s">
        <v>2092</v>
      </c>
      <c r="D425" s="1881" t="s">
        <v>553</v>
      </c>
      <c r="E425" s="1881">
        <v>1</v>
      </c>
      <c r="F425" s="2016">
        <v>0</v>
      </c>
      <c r="G425" s="1882">
        <f t="shared" si="22"/>
        <v>0</v>
      </c>
    </row>
    <row r="426" spans="2:8" ht="38.25" x14ac:dyDescent="0.2">
      <c r="B426" s="1879" t="s">
        <v>2093</v>
      </c>
      <c r="C426" s="1880" t="s">
        <v>790</v>
      </c>
      <c r="D426" s="1881" t="s">
        <v>98</v>
      </c>
      <c r="E426" s="1881">
        <v>1</v>
      </c>
      <c r="F426" s="2016">
        <v>0</v>
      </c>
      <c r="G426" s="1882">
        <f t="shared" si="22"/>
        <v>0</v>
      </c>
    </row>
    <row r="427" spans="2:8" ht="51" x14ac:dyDescent="0.2">
      <c r="B427" s="1879" t="s">
        <v>2094</v>
      </c>
      <c r="C427" s="1880" t="s">
        <v>791</v>
      </c>
      <c r="D427" s="1881" t="s">
        <v>98</v>
      </c>
      <c r="E427" s="1881">
        <v>1</v>
      </c>
      <c r="F427" s="2016">
        <v>0</v>
      </c>
      <c r="G427" s="1882">
        <f t="shared" si="22"/>
        <v>0</v>
      </c>
    </row>
    <row r="428" spans="2:8" ht="51.75" thickBot="1" x14ac:dyDescent="0.25">
      <c r="B428" s="1879" t="s">
        <v>2095</v>
      </c>
      <c r="C428" s="1880" t="s">
        <v>792</v>
      </c>
      <c r="D428" s="1881" t="s">
        <v>98</v>
      </c>
      <c r="E428" s="1881">
        <v>1</v>
      </c>
      <c r="F428" s="2016">
        <v>0</v>
      </c>
      <c r="G428" s="1882">
        <f t="shared" si="22"/>
        <v>0</v>
      </c>
    </row>
    <row r="429" spans="2:8" ht="24" customHeight="1" thickBot="1" x14ac:dyDescent="0.25">
      <c r="B429" s="2955" t="s">
        <v>33</v>
      </c>
      <c r="C429" s="2972" t="s">
        <v>679</v>
      </c>
      <c r="D429" s="2962"/>
      <c r="E429" s="2963"/>
      <c r="F429" s="2968"/>
      <c r="G429" s="2973">
        <f>SUM(G423:G428)</f>
        <v>0</v>
      </c>
    </row>
    <row r="430" spans="2:8" ht="10.5" customHeight="1" thickBot="1" x14ac:dyDescent="0.25">
      <c r="B430" s="2974"/>
      <c r="C430" s="2975"/>
      <c r="D430" s="2976"/>
      <c r="E430" s="2977"/>
      <c r="F430" s="2978"/>
      <c r="G430" s="2979"/>
    </row>
    <row r="431" spans="2:8" ht="23.25" customHeight="1" thickBot="1" x14ac:dyDescent="0.25">
      <c r="B431" s="2980" t="s">
        <v>18</v>
      </c>
      <c r="C431" s="2981" t="s">
        <v>2536</v>
      </c>
      <c r="D431" s="2982"/>
      <c r="E431" s="2982"/>
      <c r="F431" s="2983"/>
      <c r="G431" s="2984">
        <f>G429+G415+G399+G380+G324+G260</f>
        <v>0</v>
      </c>
    </row>
    <row r="432" spans="2:8" x14ac:dyDescent="0.2">
      <c r="B432" s="555"/>
      <c r="C432" s="1600"/>
      <c r="D432" s="556"/>
      <c r="E432" s="557"/>
      <c r="F432" s="562"/>
      <c r="G432" s="559"/>
      <c r="H432" s="1532"/>
    </row>
    <row r="433" spans="2:8" x14ac:dyDescent="0.2">
      <c r="B433" s="555"/>
      <c r="C433" s="1600"/>
      <c r="D433" s="556"/>
      <c r="E433" s="557"/>
      <c r="F433" s="562"/>
      <c r="G433" s="559"/>
      <c r="H433" s="1532"/>
    </row>
    <row r="434" spans="2:8" ht="23.25" customHeight="1" x14ac:dyDescent="0.2">
      <c r="B434" s="303" t="s">
        <v>22</v>
      </c>
      <c r="C434" s="3294" t="s">
        <v>2534</v>
      </c>
      <c r="D434" s="3295"/>
      <c r="E434" s="3295"/>
      <c r="F434" s="3295"/>
      <c r="G434" s="3296"/>
    </row>
    <row r="435" spans="2:8" x14ac:dyDescent="0.2">
      <c r="B435" s="555"/>
      <c r="C435" s="1600"/>
      <c r="D435" s="556"/>
      <c r="E435" s="557"/>
      <c r="F435" s="562"/>
      <c r="G435" s="559"/>
      <c r="H435" s="1532"/>
    </row>
    <row r="436" spans="2:8" x14ac:dyDescent="0.2">
      <c r="B436" s="526" t="s">
        <v>368</v>
      </c>
      <c r="C436" s="527" t="s">
        <v>84</v>
      </c>
      <c r="D436" s="527" t="s">
        <v>546</v>
      </c>
      <c r="E436" s="528" t="s">
        <v>547</v>
      </c>
      <c r="F436" s="529" t="s">
        <v>1873</v>
      </c>
      <c r="G436" s="527" t="s">
        <v>1874</v>
      </c>
      <c r="H436" s="1532"/>
    </row>
    <row r="437" spans="2:8" x14ac:dyDescent="0.2">
      <c r="B437" s="530"/>
      <c r="C437" s="1073"/>
      <c r="D437" s="1203"/>
      <c r="E437" s="1204"/>
      <c r="F437" s="1522"/>
      <c r="G437" s="1523"/>
      <c r="H437" s="1532"/>
    </row>
    <row r="438" spans="2:8" x14ac:dyDescent="0.2">
      <c r="B438" s="1224" t="s">
        <v>8</v>
      </c>
      <c r="C438" s="1071" t="s">
        <v>1871</v>
      </c>
      <c r="D438" s="1199" t="s">
        <v>551</v>
      </c>
      <c r="E438" s="1200" t="s">
        <v>551</v>
      </c>
      <c r="F438" s="1524"/>
      <c r="G438" s="1524"/>
      <c r="H438" s="1532"/>
    </row>
    <row r="439" spans="2:8" x14ac:dyDescent="0.2">
      <c r="B439" s="1601"/>
      <c r="C439" s="1602"/>
      <c r="D439" s="1603"/>
      <c r="E439" s="1604"/>
      <c r="F439" s="1605"/>
      <c r="G439" s="1606"/>
      <c r="H439" s="1532"/>
    </row>
    <row r="440" spans="2:8" ht="38.25" x14ac:dyDescent="0.2">
      <c r="B440" s="1896" t="s">
        <v>167</v>
      </c>
      <c r="C440" s="1852" t="s">
        <v>2096</v>
      </c>
      <c r="D440" s="1853" t="s">
        <v>644</v>
      </c>
      <c r="E440" s="1853">
        <v>100</v>
      </c>
      <c r="F440" s="2022">
        <v>0</v>
      </c>
      <c r="G440" s="1854">
        <f t="shared" ref="G440:G449" si="23">E440*F440</f>
        <v>0</v>
      </c>
      <c r="H440" s="1532"/>
    </row>
    <row r="441" spans="2:8" ht="51" x14ac:dyDescent="0.2">
      <c r="B441" s="1896" t="s">
        <v>622</v>
      </c>
      <c r="C441" s="1852" t="s">
        <v>2097</v>
      </c>
      <c r="D441" s="1853" t="s">
        <v>98</v>
      </c>
      <c r="E441" s="1853">
        <v>1</v>
      </c>
      <c r="F441" s="2022">
        <v>0</v>
      </c>
      <c r="G441" s="1854">
        <f t="shared" si="23"/>
        <v>0</v>
      </c>
      <c r="H441" s="1532"/>
    </row>
    <row r="442" spans="2:8" ht="51" x14ac:dyDescent="0.2">
      <c r="B442" s="1896" t="s">
        <v>641</v>
      </c>
      <c r="C442" s="1852" t="s">
        <v>2098</v>
      </c>
      <c r="D442" s="1853" t="s">
        <v>112</v>
      </c>
      <c r="E442" s="1897">
        <f>100*0.4*1.2</f>
        <v>48</v>
      </c>
      <c r="F442" s="2022">
        <v>0</v>
      </c>
      <c r="G442" s="1854">
        <f t="shared" si="23"/>
        <v>0</v>
      </c>
      <c r="H442" s="1532"/>
    </row>
    <row r="443" spans="2:8" ht="51" x14ac:dyDescent="0.2">
      <c r="B443" s="1896" t="s">
        <v>653</v>
      </c>
      <c r="C443" s="1852" t="s">
        <v>2099</v>
      </c>
      <c r="D443" s="1853" t="s">
        <v>98</v>
      </c>
      <c r="E443" s="1897">
        <v>1</v>
      </c>
      <c r="F443" s="2022">
        <v>0</v>
      </c>
      <c r="G443" s="1854">
        <f t="shared" si="23"/>
        <v>0</v>
      </c>
      <c r="H443" s="1532"/>
    </row>
    <row r="444" spans="2:8" ht="51" x14ac:dyDescent="0.2">
      <c r="B444" s="1896" t="s">
        <v>664</v>
      </c>
      <c r="C444" s="1852" t="s">
        <v>2100</v>
      </c>
      <c r="D444" s="1853" t="s">
        <v>112</v>
      </c>
      <c r="E444" s="1897">
        <f>100*0.4*0.2</f>
        <v>8</v>
      </c>
      <c r="F444" s="2022">
        <v>0</v>
      </c>
      <c r="G444" s="1854">
        <f t="shared" si="23"/>
        <v>0</v>
      </c>
      <c r="H444" s="1532"/>
    </row>
    <row r="445" spans="2:8" ht="51" x14ac:dyDescent="0.2">
      <c r="B445" s="1896" t="s">
        <v>678</v>
      </c>
      <c r="C445" s="1852" t="s">
        <v>2101</v>
      </c>
      <c r="D445" s="1853" t="s">
        <v>112</v>
      </c>
      <c r="E445" s="1897">
        <f>100*0.4*1.2</f>
        <v>48</v>
      </c>
      <c r="F445" s="2022">
        <v>0</v>
      </c>
      <c r="G445" s="1854">
        <f t="shared" si="23"/>
        <v>0</v>
      </c>
      <c r="H445" s="1532"/>
    </row>
    <row r="446" spans="2:8" ht="38.25" x14ac:dyDescent="0.2">
      <c r="B446" s="1896" t="s">
        <v>688</v>
      </c>
      <c r="C446" s="1852" t="s">
        <v>2102</v>
      </c>
      <c r="D446" s="1853" t="s">
        <v>112</v>
      </c>
      <c r="E446" s="1897">
        <f>100*0.4*0.005</f>
        <v>0.2</v>
      </c>
      <c r="F446" s="2022">
        <v>0</v>
      </c>
      <c r="G446" s="1854">
        <f t="shared" si="23"/>
        <v>0</v>
      </c>
      <c r="H446" s="1532"/>
    </row>
    <row r="447" spans="2:8" ht="38.25" x14ac:dyDescent="0.2">
      <c r="B447" s="1896" t="s">
        <v>1199</v>
      </c>
      <c r="C447" s="1852" t="s">
        <v>2103</v>
      </c>
      <c r="D447" s="1853" t="s">
        <v>98</v>
      </c>
      <c r="E447" s="1897">
        <v>1</v>
      </c>
      <c r="F447" s="2022">
        <v>0</v>
      </c>
      <c r="G447" s="1854">
        <f t="shared" si="23"/>
        <v>0</v>
      </c>
      <c r="H447" s="1532"/>
    </row>
    <row r="448" spans="2:8" ht="38.25" x14ac:dyDescent="0.2">
      <c r="B448" s="1896" t="s">
        <v>1200</v>
      </c>
      <c r="C448" s="1852" t="s">
        <v>2104</v>
      </c>
      <c r="D448" s="1853" t="s">
        <v>98</v>
      </c>
      <c r="E448" s="1897">
        <v>1</v>
      </c>
      <c r="F448" s="2022">
        <v>0</v>
      </c>
      <c r="G448" s="1854">
        <f t="shared" si="23"/>
        <v>0</v>
      </c>
      <c r="H448" s="1532"/>
    </row>
    <row r="449" spans="2:8" ht="26.25" thickBot="1" x14ac:dyDescent="0.25">
      <c r="B449" s="1896" t="s">
        <v>1888</v>
      </c>
      <c r="C449" s="1852" t="s">
        <v>2105</v>
      </c>
      <c r="D449" s="1853" t="s">
        <v>98</v>
      </c>
      <c r="E449" s="1897">
        <v>1</v>
      </c>
      <c r="F449" s="2022">
        <v>0</v>
      </c>
      <c r="G449" s="1854">
        <f t="shared" si="23"/>
        <v>0</v>
      </c>
      <c r="H449" s="1532"/>
    </row>
    <row r="450" spans="2:8" ht="22.5" customHeight="1" thickBot="1" x14ac:dyDescent="0.25">
      <c r="B450" s="2955" t="s">
        <v>8</v>
      </c>
      <c r="C450" s="2961" t="s">
        <v>1871</v>
      </c>
      <c r="D450" s="2962"/>
      <c r="E450" s="2963"/>
      <c r="F450" s="2964"/>
      <c r="G450" s="2986">
        <f>SUM(G440:G449)</f>
        <v>0</v>
      </c>
      <c r="H450" s="1532"/>
    </row>
    <row r="451" spans="2:8" x14ac:dyDescent="0.2">
      <c r="B451" s="1898"/>
      <c r="C451" s="1899"/>
      <c r="D451" s="1900"/>
      <c r="E451" s="1901"/>
      <c r="F451" s="2023"/>
      <c r="G451" s="1903"/>
      <c r="H451" s="1532"/>
    </row>
    <row r="452" spans="2:8" x14ac:dyDescent="0.2">
      <c r="B452" s="1904"/>
      <c r="C452" s="1905"/>
      <c r="D452" s="1906"/>
      <c r="E452" s="1907"/>
      <c r="F452" s="2024"/>
      <c r="G452" s="1909"/>
      <c r="H452" s="1532"/>
    </row>
    <row r="453" spans="2:8" x14ac:dyDescent="0.2">
      <c r="B453" s="1542"/>
      <c r="C453" s="1543"/>
      <c r="D453" s="1544"/>
      <c r="E453" s="1545"/>
      <c r="F453" s="1546"/>
      <c r="G453" s="1547"/>
      <c r="H453" s="1532"/>
    </row>
    <row r="454" spans="2:8" x14ac:dyDescent="0.2">
      <c r="B454" s="1868" t="s">
        <v>15</v>
      </c>
      <c r="C454" s="1869" t="s">
        <v>1872</v>
      </c>
      <c r="D454" s="1870"/>
      <c r="E454" s="1870"/>
      <c r="F454" s="2013"/>
      <c r="G454" s="1872"/>
      <c r="H454" s="1532"/>
    </row>
    <row r="455" spans="2:8" x14ac:dyDescent="0.2">
      <c r="B455" s="555"/>
      <c r="C455" s="1600"/>
      <c r="D455" s="556"/>
      <c r="E455" s="557"/>
      <c r="F455" s="562"/>
      <c r="G455" s="559"/>
      <c r="H455" s="1532"/>
    </row>
    <row r="456" spans="2:8" x14ac:dyDescent="0.2">
      <c r="B456" s="1877" t="s">
        <v>83</v>
      </c>
      <c r="C456" s="1878" t="s">
        <v>84</v>
      </c>
      <c r="D456" s="1878" t="s">
        <v>1929</v>
      </c>
      <c r="E456" s="1878" t="s">
        <v>547</v>
      </c>
      <c r="F456" s="2015" t="s">
        <v>1873</v>
      </c>
      <c r="G456" s="1878" t="s">
        <v>1874</v>
      </c>
      <c r="H456" s="1532"/>
    </row>
    <row r="457" spans="2:8" ht="63.75" x14ac:dyDescent="0.2">
      <c r="B457" s="1896"/>
      <c r="C457" s="1852" t="s">
        <v>2106</v>
      </c>
      <c r="D457" s="1910"/>
      <c r="E457" s="1911"/>
      <c r="F457" s="2025"/>
      <c r="G457" s="1912"/>
      <c r="H457" s="1532"/>
    </row>
    <row r="458" spans="2:8" ht="76.5" x14ac:dyDescent="0.2">
      <c r="B458" s="1896" t="s">
        <v>173</v>
      </c>
      <c r="C458" s="1852" t="s">
        <v>2107</v>
      </c>
      <c r="D458" s="1853" t="s">
        <v>98</v>
      </c>
      <c r="E458" s="1897">
        <v>1</v>
      </c>
      <c r="F458" s="2022">
        <v>0</v>
      </c>
      <c r="G458" s="1854">
        <f t="shared" ref="G458:G469" si="24">E458*F458</f>
        <v>0</v>
      </c>
      <c r="H458" s="1532"/>
    </row>
    <row r="459" spans="2:8" ht="63.75" x14ac:dyDescent="0.2">
      <c r="B459" s="1896" t="s">
        <v>175</v>
      </c>
      <c r="C459" s="1852" t="s">
        <v>2108</v>
      </c>
      <c r="D459" s="1853" t="s">
        <v>98</v>
      </c>
      <c r="E459" s="1897">
        <v>1</v>
      </c>
      <c r="F459" s="2022">
        <v>0</v>
      </c>
      <c r="G459" s="1854">
        <f t="shared" si="24"/>
        <v>0</v>
      </c>
      <c r="H459" s="1532"/>
    </row>
    <row r="460" spans="2:8" ht="63.75" x14ac:dyDescent="0.2">
      <c r="B460" s="1896" t="s">
        <v>177</v>
      </c>
      <c r="C460" s="1852" t="s">
        <v>2109</v>
      </c>
      <c r="D460" s="1853" t="s">
        <v>98</v>
      </c>
      <c r="E460" s="1897">
        <v>1</v>
      </c>
      <c r="F460" s="2022">
        <v>0</v>
      </c>
      <c r="G460" s="1854">
        <f t="shared" si="24"/>
        <v>0</v>
      </c>
      <c r="H460" s="1532"/>
    </row>
    <row r="461" spans="2:8" ht="25.5" x14ac:dyDescent="0.2">
      <c r="B461" s="1896" t="s">
        <v>1210</v>
      </c>
      <c r="C461" s="1852" t="s">
        <v>2110</v>
      </c>
      <c r="D461" s="1853" t="s">
        <v>644</v>
      </c>
      <c r="E461" s="1897">
        <v>5</v>
      </c>
      <c r="F461" s="2022">
        <v>0</v>
      </c>
      <c r="G461" s="1854">
        <f t="shared" si="24"/>
        <v>0</v>
      </c>
      <c r="H461" s="1532"/>
    </row>
    <row r="462" spans="2:8" ht="51" x14ac:dyDescent="0.2">
      <c r="B462" s="1896" t="s">
        <v>1933</v>
      </c>
      <c r="C462" s="1852" t="s">
        <v>2111</v>
      </c>
      <c r="D462" s="1853" t="s">
        <v>98</v>
      </c>
      <c r="E462" s="1897">
        <v>1</v>
      </c>
      <c r="F462" s="2022">
        <v>0</v>
      </c>
      <c r="G462" s="1854">
        <f t="shared" si="24"/>
        <v>0</v>
      </c>
      <c r="H462" s="1532"/>
    </row>
    <row r="463" spans="2:8" ht="76.5" x14ac:dyDescent="0.2">
      <c r="B463" s="1896" t="s">
        <v>1214</v>
      </c>
      <c r="C463" s="1852" t="s">
        <v>2112</v>
      </c>
      <c r="D463" s="1853" t="s">
        <v>644</v>
      </c>
      <c r="E463" s="1853">
        <v>110</v>
      </c>
      <c r="F463" s="2022">
        <v>0</v>
      </c>
      <c r="G463" s="1854">
        <f t="shared" si="24"/>
        <v>0</v>
      </c>
      <c r="H463" s="1532"/>
    </row>
    <row r="464" spans="2:8" ht="63.75" x14ac:dyDescent="0.2">
      <c r="B464" s="1896" t="s">
        <v>1315</v>
      </c>
      <c r="C464" s="1852" t="s">
        <v>2113</v>
      </c>
      <c r="D464" s="1853" t="s">
        <v>123</v>
      </c>
      <c r="E464" s="1897">
        <f>102/6</f>
        <v>17</v>
      </c>
      <c r="F464" s="2022">
        <v>0</v>
      </c>
      <c r="G464" s="1854">
        <f t="shared" si="24"/>
        <v>0</v>
      </c>
      <c r="H464" s="1532"/>
    </row>
    <row r="465" spans="2:8" ht="25.5" x14ac:dyDescent="0.2">
      <c r="B465" s="1896" t="s">
        <v>1937</v>
      </c>
      <c r="C465" s="1852" t="s">
        <v>2114</v>
      </c>
      <c r="D465" s="1853" t="s">
        <v>644</v>
      </c>
      <c r="E465" s="1897">
        <v>110</v>
      </c>
      <c r="F465" s="2022">
        <v>0</v>
      </c>
      <c r="G465" s="1854">
        <f t="shared" si="24"/>
        <v>0</v>
      </c>
      <c r="H465" s="1532"/>
    </row>
    <row r="466" spans="2:8" ht="216.75" x14ac:dyDescent="0.2">
      <c r="B466" s="1896" t="s">
        <v>1939</v>
      </c>
      <c r="C466" s="1852" t="s">
        <v>2115</v>
      </c>
      <c r="D466" s="1853" t="s">
        <v>98</v>
      </c>
      <c r="E466" s="1897">
        <v>1</v>
      </c>
      <c r="F466" s="2022">
        <v>0</v>
      </c>
      <c r="G466" s="1854">
        <f t="shared" si="24"/>
        <v>0</v>
      </c>
      <c r="H466" s="1532"/>
    </row>
    <row r="467" spans="2:8" ht="38.25" x14ac:dyDescent="0.2">
      <c r="B467" s="1896" t="s">
        <v>1220</v>
      </c>
      <c r="C467" s="1852" t="s">
        <v>692</v>
      </c>
      <c r="D467" s="1853" t="s">
        <v>98</v>
      </c>
      <c r="E467" s="1897">
        <v>1</v>
      </c>
      <c r="F467" s="2022">
        <v>0</v>
      </c>
      <c r="G467" s="1854">
        <f t="shared" si="24"/>
        <v>0</v>
      </c>
      <c r="H467" s="1532"/>
    </row>
    <row r="468" spans="2:8" ht="102" x14ac:dyDescent="0.2">
      <c r="B468" s="1896" t="s">
        <v>1222</v>
      </c>
      <c r="C468" s="1852" t="s">
        <v>2116</v>
      </c>
      <c r="D468" s="1853" t="s">
        <v>98</v>
      </c>
      <c r="E468" s="1897">
        <v>1</v>
      </c>
      <c r="F468" s="2022">
        <v>0</v>
      </c>
      <c r="G468" s="1854">
        <f t="shared" si="24"/>
        <v>0</v>
      </c>
      <c r="H468" s="1532"/>
    </row>
    <row r="469" spans="2:8" ht="51.75" thickBot="1" x14ac:dyDescent="0.25">
      <c r="B469" s="1896" t="s">
        <v>1224</v>
      </c>
      <c r="C469" s="1852" t="s">
        <v>2117</v>
      </c>
      <c r="D469" s="1853" t="s">
        <v>98</v>
      </c>
      <c r="E469" s="1897">
        <v>1</v>
      </c>
      <c r="F469" s="2022">
        <v>0</v>
      </c>
      <c r="G469" s="1854">
        <f t="shared" si="24"/>
        <v>0</v>
      </c>
      <c r="H469" s="1532"/>
    </row>
    <row r="470" spans="2:8" ht="21" customHeight="1" thickBot="1" x14ac:dyDescent="0.25">
      <c r="B470" s="2955" t="s">
        <v>15</v>
      </c>
      <c r="C470" s="2961" t="s">
        <v>1872</v>
      </c>
      <c r="D470" s="2962"/>
      <c r="E470" s="2963"/>
      <c r="F470" s="2964"/>
      <c r="G470" s="2986">
        <f>SUM(G458:G469)</f>
        <v>0</v>
      </c>
      <c r="H470" s="1532"/>
    </row>
    <row r="471" spans="2:8" ht="13.5" thickBot="1" x14ac:dyDescent="0.25">
      <c r="B471" s="1555"/>
      <c r="C471" s="1607"/>
      <c r="D471" s="1608"/>
      <c r="E471" s="1609"/>
      <c r="F471" s="1610"/>
      <c r="G471" s="1611"/>
      <c r="H471" s="1532"/>
    </row>
    <row r="472" spans="2:8" ht="23.25" customHeight="1" thickBot="1" x14ac:dyDescent="0.25">
      <c r="B472" s="2980" t="s">
        <v>22</v>
      </c>
      <c r="C472" s="2981" t="s">
        <v>2537</v>
      </c>
      <c r="D472" s="2982"/>
      <c r="E472" s="2982"/>
      <c r="F472" s="2983"/>
      <c r="G472" s="2984">
        <f>G470+G450</f>
        <v>0</v>
      </c>
    </row>
    <row r="473" spans="2:8" x14ac:dyDescent="0.2">
      <c r="B473" s="555"/>
      <c r="C473" s="1600"/>
      <c r="D473" s="556"/>
      <c r="E473" s="557"/>
      <c r="F473" s="562"/>
      <c r="G473" s="559"/>
      <c r="H473" s="1532"/>
    </row>
    <row r="474" spans="2:8" x14ac:dyDescent="0.2">
      <c r="G474" s="1612"/>
      <c r="H474" s="1532"/>
    </row>
    <row r="475" spans="2:8" x14ac:dyDescent="0.2">
      <c r="G475" s="1612"/>
      <c r="H475" s="1532"/>
    </row>
    <row r="476" spans="2:8" x14ac:dyDescent="0.2">
      <c r="B476" s="121"/>
      <c r="C476" s="121"/>
      <c r="D476" s="121"/>
      <c r="E476" s="121"/>
      <c r="F476" s="2026"/>
      <c r="G476" s="121"/>
      <c r="H476" s="1532"/>
    </row>
    <row r="477" spans="2:8" x14ac:dyDescent="0.2">
      <c r="B477" s="121"/>
      <c r="C477" s="121"/>
      <c r="D477" s="121"/>
      <c r="E477" s="121"/>
      <c r="F477" s="2026"/>
      <c r="G477" s="121"/>
      <c r="H477" s="1532"/>
    </row>
    <row r="478" spans="2:8" x14ac:dyDescent="0.2">
      <c r="B478" s="121"/>
      <c r="C478" s="121"/>
      <c r="D478" s="121"/>
      <c r="E478" s="121"/>
      <c r="F478" s="2026"/>
      <c r="G478" s="121"/>
      <c r="H478" s="1532"/>
    </row>
    <row r="479" spans="2:8" x14ac:dyDescent="0.2">
      <c r="B479" s="121"/>
      <c r="C479" s="121"/>
      <c r="D479" s="121"/>
      <c r="E479" s="121"/>
      <c r="F479" s="2026"/>
      <c r="G479" s="121"/>
      <c r="H479" s="1532"/>
    </row>
    <row r="480" spans="2:8" x14ac:dyDescent="0.2">
      <c r="B480" s="121"/>
      <c r="C480" s="121"/>
      <c r="D480" s="121"/>
      <c r="E480" s="121"/>
      <c r="F480" s="2026"/>
      <c r="G480" s="121"/>
      <c r="H480" s="1532"/>
    </row>
    <row r="481" spans="2:8" x14ac:dyDescent="0.2">
      <c r="B481" s="121"/>
      <c r="C481" s="121"/>
      <c r="D481" s="121"/>
      <c r="E481" s="121"/>
      <c r="F481" s="2026"/>
      <c r="G481" s="121"/>
      <c r="H481" s="1532"/>
    </row>
    <row r="482" spans="2:8" x14ac:dyDescent="0.2">
      <c r="B482" s="121"/>
      <c r="C482" s="121"/>
      <c r="D482" s="121"/>
      <c r="E482" s="121"/>
      <c r="F482" s="2026"/>
      <c r="G482" s="121"/>
      <c r="H482" s="1532"/>
    </row>
    <row r="483" spans="2:8" x14ac:dyDescent="0.2">
      <c r="B483" s="121"/>
      <c r="C483" s="121"/>
      <c r="D483" s="121"/>
      <c r="E483" s="121"/>
      <c r="F483" s="2026"/>
      <c r="G483" s="121"/>
      <c r="H483" s="1532"/>
    </row>
    <row r="484" spans="2:8" x14ac:dyDescent="0.2">
      <c r="B484" s="121"/>
      <c r="C484" s="121"/>
      <c r="D484" s="121"/>
      <c r="E484" s="121"/>
      <c r="F484" s="2026"/>
      <c r="G484" s="121"/>
      <c r="H484" s="1532"/>
    </row>
    <row r="485" spans="2:8" x14ac:dyDescent="0.2">
      <c r="B485" s="121"/>
      <c r="C485" s="121"/>
      <c r="D485" s="121"/>
      <c r="E485" s="121"/>
      <c r="F485" s="2026"/>
      <c r="G485" s="121"/>
      <c r="H485" s="1532"/>
    </row>
    <row r="486" spans="2:8" x14ac:dyDescent="0.2">
      <c r="B486" s="121"/>
      <c r="C486" s="121"/>
      <c r="D486" s="121"/>
      <c r="E486" s="121"/>
      <c r="F486" s="2026"/>
      <c r="G486" s="121"/>
      <c r="H486" s="1532"/>
    </row>
    <row r="487" spans="2:8" x14ac:dyDescent="0.2">
      <c r="B487" s="121"/>
      <c r="C487" s="121"/>
      <c r="D487" s="121"/>
      <c r="E487" s="121"/>
      <c r="F487" s="2026"/>
      <c r="G487" s="121"/>
      <c r="H487" s="1532"/>
    </row>
    <row r="488" spans="2:8" x14ac:dyDescent="0.2">
      <c r="B488" s="121"/>
      <c r="C488" s="121"/>
      <c r="D488" s="121"/>
      <c r="E488" s="121"/>
      <c r="F488" s="2026"/>
      <c r="G488" s="121"/>
      <c r="H488" s="1532"/>
    </row>
    <row r="489" spans="2:8" x14ac:dyDescent="0.2">
      <c r="B489" s="121"/>
      <c r="C489" s="121"/>
      <c r="D489" s="121"/>
      <c r="E489" s="121"/>
      <c r="F489" s="2026"/>
      <c r="G489" s="121"/>
      <c r="H489" s="1532"/>
    </row>
    <row r="490" spans="2:8" x14ac:dyDescent="0.2">
      <c r="B490" s="121"/>
      <c r="C490" s="121"/>
      <c r="D490" s="121"/>
      <c r="E490" s="121"/>
      <c r="F490" s="2026"/>
      <c r="G490" s="121"/>
      <c r="H490" s="1532"/>
    </row>
    <row r="491" spans="2:8" x14ac:dyDescent="0.2">
      <c r="B491" s="121"/>
      <c r="C491" s="121"/>
      <c r="D491" s="121"/>
      <c r="E491" s="121"/>
      <c r="F491" s="2026"/>
      <c r="G491" s="121"/>
      <c r="H491" s="1532"/>
    </row>
    <row r="492" spans="2:8" x14ac:dyDescent="0.2">
      <c r="B492" s="121"/>
      <c r="C492" s="121"/>
      <c r="D492" s="121"/>
      <c r="E492" s="121"/>
      <c r="F492" s="2026"/>
      <c r="G492" s="121"/>
      <c r="H492" s="1532"/>
    </row>
    <row r="493" spans="2:8" x14ac:dyDescent="0.2">
      <c r="B493" s="121"/>
      <c r="C493" s="121"/>
      <c r="D493" s="121"/>
      <c r="E493" s="121"/>
      <c r="F493" s="2026"/>
      <c r="G493" s="121"/>
      <c r="H493" s="1532"/>
    </row>
    <row r="494" spans="2:8" x14ac:dyDescent="0.2">
      <c r="B494" s="121"/>
      <c r="C494" s="121"/>
      <c r="D494" s="121"/>
      <c r="E494" s="121"/>
      <c r="F494" s="2026"/>
      <c r="G494" s="121"/>
      <c r="H494" s="1532"/>
    </row>
    <row r="495" spans="2:8" x14ac:dyDescent="0.2">
      <c r="B495" s="121"/>
      <c r="C495" s="121"/>
      <c r="D495" s="121"/>
      <c r="E495" s="121"/>
      <c r="F495" s="2026"/>
      <c r="G495" s="121"/>
      <c r="H495" s="1532"/>
    </row>
    <row r="496" spans="2:8" x14ac:dyDescent="0.2">
      <c r="B496" s="121"/>
      <c r="C496" s="121"/>
      <c r="D496" s="121"/>
      <c r="E496" s="121"/>
      <c r="F496" s="2026"/>
      <c r="G496" s="121"/>
      <c r="H496" s="1532"/>
    </row>
    <row r="497" spans="2:8" x14ac:dyDescent="0.2">
      <c r="B497" s="121"/>
      <c r="C497" s="121"/>
      <c r="D497" s="121"/>
      <c r="E497" s="121"/>
      <c r="F497" s="2026"/>
      <c r="G497" s="121"/>
      <c r="H497" s="1532"/>
    </row>
    <row r="498" spans="2:8" x14ac:dyDescent="0.2">
      <c r="B498" s="121"/>
      <c r="C498" s="121"/>
      <c r="D498" s="121"/>
      <c r="E498" s="121"/>
      <c r="F498" s="2026"/>
      <c r="G498" s="121"/>
      <c r="H498" s="1532"/>
    </row>
    <row r="499" spans="2:8" x14ac:dyDescent="0.2">
      <c r="B499" s="121"/>
      <c r="C499" s="121"/>
      <c r="D499" s="121"/>
      <c r="E499" s="121"/>
      <c r="F499" s="2026"/>
      <c r="G499" s="121"/>
      <c r="H499" s="1532"/>
    </row>
    <row r="500" spans="2:8" x14ac:dyDescent="0.2">
      <c r="B500" s="121"/>
      <c r="C500" s="121"/>
      <c r="D500" s="121"/>
      <c r="E500" s="121"/>
      <c r="F500" s="2026"/>
      <c r="G500" s="121"/>
      <c r="H500" s="1532"/>
    </row>
    <row r="501" spans="2:8" x14ac:dyDescent="0.2">
      <c r="B501" s="121"/>
      <c r="C501" s="121"/>
      <c r="D501" s="121"/>
      <c r="E501" s="121"/>
      <c r="F501" s="2026"/>
      <c r="G501" s="121"/>
      <c r="H501" s="1532"/>
    </row>
    <row r="502" spans="2:8" x14ac:dyDescent="0.2">
      <c r="B502" s="121"/>
      <c r="C502" s="121"/>
      <c r="D502" s="121"/>
      <c r="E502" s="121"/>
      <c r="F502" s="2026"/>
      <c r="G502" s="121"/>
      <c r="H502" s="1532"/>
    </row>
    <row r="503" spans="2:8" x14ac:dyDescent="0.2">
      <c r="B503" s="121"/>
      <c r="C503" s="121"/>
      <c r="D503" s="121"/>
      <c r="E503" s="121"/>
      <c r="F503" s="2026"/>
      <c r="G503" s="121"/>
      <c r="H503" s="1532"/>
    </row>
    <row r="504" spans="2:8" x14ac:dyDescent="0.2">
      <c r="B504" s="121"/>
      <c r="C504" s="121"/>
      <c r="D504" s="121"/>
      <c r="E504" s="121"/>
      <c r="F504" s="2026"/>
      <c r="G504" s="121"/>
      <c r="H504" s="1532"/>
    </row>
    <row r="505" spans="2:8" x14ac:dyDescent="0.2">
      <c r="B505" s="121"/>
      <c r="C505" s="121"/>
      <c r="D505" s="121"/>
      <c r="E505" s="121"/>
      <c r="F505" s="2026"/>
      <c r="G505" s="121"/>
      <c r="H505" s="1532"/>
    </row>
    <row r="506" spans="2:8" x14ac:dyDescent="0.2">
      <c r="B506" s="121"/>
      <c r="C506" s="121"/>
      <c r="D506" s="121"/>
      <c r="E506" s="121"/>
      <c r="F506" s="2026"/>
      <c r="G506" s="121"/>
      <c r="H506" s="1532"/>
    </row>
    <row r="507" spans="2:8" x14ac:dyDescent="0.2">
      <c r="B507" s="121"/>
      <c r="C507" s="121"/>
      <c r="D507" s="121"/>
      <c r="E507" s="121"/>
      <c r="F507" s="2026"/>
      <c r="G507" s="121"/>
      <c r="H507" s="1532"/>
    </row>
    <row r="508" spans="2:8" x14ac:dyDescent="0.2">
      <c r="B508" s="121"/>
      <c r="C508" s="121"/>
      <c r="D508" s="121"/>
      <c r="E508" s="121"/>
      <c r="F508" s="2026"/>
      <c r="G508" s="121"/>
      <c r="H508" s="1532"/>
    </row>
    <row r="509" spans="2:8" x14ac:dyDescent="0.2">
      <c r="B509" s="121"/>
      <c r="C509" s="121"/>
      <c r="D509" s="121"/>
      <c r="E509" s="121"/>
      <c r="F509" s="2026"/>
      <c r="G509" s="121"/>
      <c r="H509" s="1532"/>
    </row>
    <row r="510" spans="2:8" x14ac:dyDescent="0.2">
      <c r="B510" s="121"/>
      <c r="C510" s="121"/>
      <c r="D510" s="121"/>
      <c r="E510" s="121"/>
      <c r="F510" s="2026"/>
      <c r="G510" s="121"/>
      <c r="H510" s="1532"/>
    </row>
    <row r="511" spans="2:8" x14ac:dyDescent="0.2">
      <c r="B511" s="121"/>
      <c r="C511" s="121"/>
      <c r="D511" s="121"/>
      <c r="E511" s="121"/>
      <c r="F511" s="2026"/>
      <c r="G511" s="121"/>
      <c r="H511" s="1532"/>
    </row>
    <row r="512" spans="2:8" x14ac:dyDescent="0.2">
      <c r="B512" s="121"/>
      <c r="C512" s="121"/>
      <c r="D512" s="121"/>
      <c r="E512" s="121"/>
      <c r="F512" s="2026"/>
      <c r="G512" s="121"/>
      <c r="H512" s="1532"/>
    </row>
    <row r="513" spans="2:8" x14ac:dyDescent="0.2">
      <c r="B513" s="121"/>
      <c r="C513" s="121"/>
      <c r="D513" s="121"/>
      <c r="E513" s="121"/>
      <c r="F513" s="2026"/>
      <c r="G513" s="121"/>
      <c r="H513" s="1532"/>
    </row>
    <row r="514" spans="2:8" x14ac:dyDescent="0.2">
      <c r="B514" s="121"/>
      <c r="C514" s="121"/>
      <c r="D514" s="121"/>
      <c r="E514" s="121"/>
      <c r="F514" s="2026"/>
      <c r="G514" s="121"/>
      <c r="H514" s="1532"/>
    </row>
    <row r="515" spans="2:8" x14ac:dyDescent="0.2">
      <c r="B515" s="121"/>
      <c r="C515" s="121"/>
      <c r="D515" s="121"/>
      <c r="E515" s="121"/>
      <c r="F515" s="2026"/>
      <c r="G515" s="121"/>
      <c r="H515" s="1532"/>
    </row>
    <row r="516" spans="2:8" x14ac:dyDescent="0.2">
      <c r="B516" s="121"/>
      <c r="C516" s="121"/>
      <c r="D516" s="121"/>
      <c r="E516" s="121"/>
      <c r="F516" s="2026"/>
      <c r="G516" s="121"/>
      <c r="H516" s="1532"/>
    </row>
    <row r="517" spans="2:8" x14ac:dyDescent="0.2">
      <c r="B517" s="121"/>
      <c r="C517" s="121"/>
      <c r="D517" s="121"/>
      <c r="E517" s="121"/>
      <c r="F517" s="2026"/>
      <c r="G517" s="121"/>
      <c r="H517" s="1532"/>
    </row>
    <row r="518" spans="2:8" x14ac:dyDescent="0.2">
      <c r="B518" s="121"/>
      <c r="C518" s="121"/>
      <c r="D518" s="121"/>
      <c r="E518" s="121"/>
      <c r="F518" s="2026"/>
      <c r="G518" s="121"/>
      <c r="H518" s="1532"/>
    </row>
    <row r="519" spans="2:8" x14ac:dyDescent="0.2">
      <c r="B519" s="121"/>
      <c r="C519" s="121"/>
      <c r="D519" s="121"/>
      <c r="E519" s="121"/>
      <c r="F519" s="2026"/>
      <c r="G519" s="121"/>
      <c r="H519" s="1532"/>
    </row>
    <row r="520" spans="2:8" x14ac:dyDescent="0.2">
      <c r="B520" s="121"/>
      <c r="C520" s="121"/>
      <c r="D520" s="121"/>
      <c r="E520" s="121"/>
      <c r="F520" s="2026"/>
      <c r="G520" s="121"/>
      <c r="H520" s="1532"/>
    </row>
    <row r="521" spans="2:8" x14ac:dyDescent="0.2">
      <c r="B521" s="121"/>
      <c r="C521" s="121"/>
      <c r="D521" s="121"/>
      <c r="E521" s="121"/>
      <c r="F521" s="2026"/>
      <c r="G521" s="121"/>
      <c r="H521" s="1532"/>
    </row>
    <row r="522" spans="2:8" x14ac:dyDescent="0.2">
      <c r="B522" s="121"/>
      <c r="C522" s="121"/>
      <c r="D522" s="121"/>
      <c r="E522" s="121"/>
      <c r="F522" s="2026"/>
      <c r="G522" s="121"/>
      <c r="H522" s="1532"/>
    </row>
    <row r="523" spans="2:8" x14ac:dyDescent="0.2">
      <c r="B523" s="121"/>
      <c r="C523" s="121"/>
      <c r="D523" s="121"/>
      <c r="E523" s="121"/>
      <c r="F523" s="2026"/>
      <c r="G523" s="121"/>
      <c r="H523" s="1532"/>
    </row>
    <row r="524" spans="2:8" x14ac:dyDescent="0.2">
      <c r="B524" s="121"/>
      <c r="C524" s="121"/>
      <c r="D524" s="121"/>
      <c r="E524" s="121"/>
      <c r="F524" s="2026"/>
      <c r="G524" s="121"/>
      <c r="H524" s="1532"/>
    </row>
    <row r="525" spans="2:8" x14ac:dyDescent="0.2">
      <c r="B525" s="121"/>
      <c r="C525" s="121"/>
      <c r="D525" s="121"/>
      <c r="E525" s="121"/>
      <c r="F525" s="2026"/>
      <c r="G525" s="121"/>
      <c r="H525" s="1532"/>
    </row>
    <row r="526" spans="2:8" x14ac:dyDescent="0.2">
      <c r="B526" s="121"/>
      <c r="C526" s="121"/>
      <c r="D526" s="121"/>
      <c r="E526" s="121"/>
      <c r="F526" s="2026"/>
      <c r="G526" s="121"/>
      <c r="H526" s="1532"/>
    </row>
    <row r="527" spans="2:8" x14ac:dyDescent="0.2">
      <c r="B527" s="121"/>
      <c r="C527" s="121"/>
      <c r="D527" s="121"/>
      <c r="E527" s="121"/>
      <c r="F527" s="2026"/>
      <c r="G527" s="121"/>
      <c r="H527" s="1532"/>
    </row>
    <row r="528" spans="2:8" x14ac:dyDescent="0.2">
      <c r="B528" s="121"/>
      <c r="C528" s="121"/>
      <c r="D528" s="121"/>
      <c r="E528" s="121"/>
      <c r="F528" s="2026"/>
      <c r="G528" s="121"/>
      <c r="H528" s="1532"/>
    </row>
    <row r="529" spans="2:8" x14ac:dyDescent="0.2">
      <c r="B529" s="121"/>
      <c r="C529" s="121"/>
      <c r="D529" s="121"/>
      <c r="E529" s="121"/>
      <c r="F529" s="2026"/>
      <c r="G529" s="121"/>
      <c r="H529" s="1532"/>
    </row>
    <row r="530" spans="2:8" x14ac:dyDescent="0.2">
      <c r="B530" s="121"/>
      <c r="C530" s="121"/>
      <c r="D530" s="121"/>
      <c r="E530" s="121"/>
      <c r="F530" s="2026"/>
      <c r="G530" s="121"/>
      <c r="H530" s="1532"/>
    </row>
    <row r="531" spans="2:8" x14ac:dyDescent="0.2">
      <c r="B531" s="121"/>
      <c r="C531" s="121"/>
      <c r="D531" s="121"/>
      <c r="E531" s="121"/>
      <c r="F531" s="2026"/>
      <c r="G531" s="121"/>
      <c r="H531" s="1532"/>
    </row>
    <row r="532" spans="2:8" x14ac:dyDescent="0.2">
      <c r="B532" s="121"/>
      <c r="C532" s="121"/>
      <c r="D532" s="121"/>
      <c r="E532" s="121"/>
      <c r="F532" s="2026"/>
      <c r="G532" s="121"/>
      <c r="H532" s="1532"/>
    </row>
    <row r="533" spans="2:8" x14ac:dyDescent="0.2">
      <c r="B533" s="121"/>
      <c r="C533" s="121"/>
      <c r="D533" s="121"/>
      <c r="E533" s="121"/>
      <c r="F533" s="2026"/>
      <c r="G533" s="121"/>
      <c r="H533" s="1532"/>
    </row>
    <row r="534" spans="2:8" x14ac:dyDescent="0.2">
      <c r="B534" s="121"/>
      <c r="C534" s="121"/>
      <c r="D534" s="121"/>
      <c r="E534" s="121"/>
      <c r="F534" s="2026"/>
      <c r="G534" s="121"/>
      <c r="H534" s="1532"/>
    </row>
    <row r="535" spans="2:8" x14ac:dyDescent="0.2">
      <c r="B535" s="121"/>
      <c r="C535" s="121"/>
      <c r="D535" s="121"/>
      <c r="E535" s="121"/>
      <c r="F535" s="2026"/>
      <c r="G535" s="121"/>
      <c r="H535" s="1532"/>
    </row>
    <row r="536" spans="2:8" x14ac:dyDescent="0.2">
      <c r="B536" s="121"/>
      <c r="C536" s="121"/>
      <c r="D536" s="121"/>
      <c r="E536" s="121"/>
      <c r="F536" s="2026"/>
      <c r="G536" s="121"/>
      <c r="H536" s="1532"/>
    </row>
    <row r="537" spans="2:8" x14ac:dyDescent="0.2">
      <c r="B537" s="121"/>
      <c r="C537" s="121"/>
      <c r="D537" s="121"/>
      <c r="E537" s="121"/>
      <c r="F537" s="2026"/>
      <c r="G537" s="121"/>
      <c r="H537" s="1532"/>
    </row>
    <row r="538" spans="2:8" x14ac:dyDescent="0.2">
      <c r="B538" s="121"/>
      <c r="C538" s="121"/>
      <c r="D538" s="121"/>
      <c r="E538" s="121"/>
      <c r="F538" s="2026"/>
      <c r="G538" s="121"/>
      <c r="H538" s="1532"/>
    </row>
    <row r="539" spans="2:8" x14ac:dyDescent="0.2">
      <c r="B539" s="121"/>
      <c r="C539" s="121"/>
      <c r="D539" s="121"/>
      <c r="E539" s="121"/>
      <c r="F539" s="2026"/>
      <c r="G539" s="121"/>
      <c r="H539" s="1532"/>
    </row>
    <row r="540" spans="2:8" x14ac:dyDescent="0.2">
      <c r="B540" s="121"/>
      <c r="C540" s="121"/>
      <c r="D540" s="121"/>
      <c r="E540" s="121"/>
      <c r="F540" s="2026"/>
      <c r="G540" s="121"/>
      <c r="H540" s="1532"/>
    </row>
    <row r="541" spans="2:8" x14ac:dyDescent="0.2">
      <c r="B541" s="121"/>
      <c r="C541" s="121"/>
      <c r="D541" s="121"/>
      <c r="E541" s="121"/>
      <c r="F541" s="2026"/>
      <c r="G541" s="121"/>
      <c r="H541" s="1532"/>
    </row>
    <row r="542" spans="2:8" x14ac:dyDescent="0.2">
      <c r="B542" s="121"/>
      <c r="C542" s="121"/>
      <c r="D542" s="121"/>
      <c r="E542" s="121"/>
      <c r="F542" s="2026"/>
      <c r="G542" s="121"/>
      <c r="H542" s="1532"/>
    </row>
    <row r="543" spans="2:8" x14ac:dyDescent="0.2">
      <c r="B543" s="121"/>
      <c r="C543" s="121"/>
      <c r="D543" s="121"/>
      <c r="E543" s="121"/>
      <c r="F543" s="2026"/>
      <c r="G543" s="121"/>
      <c r="H543" s="1532"/>
    </row>
    <row r="544" spans="2:8" x14ac:dyDescent="0.2">
      <c r="B544" s="121"/>
      <c r="C544" s="121"/>
      <c r="D544" s="121"/>
      <c r="E544" s="121"/>
      <c r="F544" s="2026"/>
      <c r="G544" s="121"/>
      <c r="H544" s="1532"/>
    </row>
    <row r="545" spans="2:8" x14ac:dyDescent="0.2">
      <c r="B545" s="121"/>
      <c r="C545" s="121"/>
      <c r="D545" s="121"/>
      <c r="E545" s="121"/>
      <c r="F545" s="2026"/>
      <c r="G545" s="121"/>
      <c r="H545" s="1532"/>
    </row>
    <row r="546" spans="2:8" x14ac:dyDescent="0.2">
      <c r="B546" s="121"/>
      <c r="C546" s="121"/>
      <c r="D546" s="121"/>
      <c r="E546" s="121"/>
      <c r="F546" s="2026"/>
      <c r="G546" s="121"/>
      <c r="H546" s="1532"/>
    </row>
    <row r="547" spans="2:8" x14ac:dyDescent="0.2">
      <c r="B547" s="121"/>
      <c r="C547" s="121"/>
      <c r="D547" s="121"/>
      <c r="E547" s="121"/>
      <c r="F547" s="2026"/>
      <c r="G547" s="121"/>
      <c r="H547" s="1532"/>
    </row>
    <row r="548" spans="2:8" x14ac:dyDescent="0.2">
      <c r="B548" s="121"/>
      <c r="C548" s="121"/>
      <c r="D548" s="121"/>
      <c r="E548" s="121"/>
      <c r="F548" s="2026"/>
      <c r="G548" s="121"/>
      <c r="H548" s="1532"/>
    </row>
    <row r="549" spans="2:8" x14ac:dyDescent="0.2">
      <c r="B549" s="121"/>
      <c r="C549" s="121"/>
      <c r="D549" s="121"/>
      <c r="E549" s="121"/>
      <c r="F549" s="2026"/>
      <c r="G549" s="121"/>
      <c r="H549" s="1532"/>
    </row>
    <row r="550" spans="2:8" x14ac:dyDescent="0.2">
      <c r="B550" s="121"/>
      <c r="C550" s="121"/>
      <c r="D550" s="121"/>
      <c r="E550" s="121"/>
      <c r="F550" s="2026"/>
      <c r="G550" s="121"/>
      <c r="H550" s="1532"/>
    </row>
    <row r="551" spans="2:8" x14ac:dyDescent="0.2">
      <c r="B551" s="121"/>
      <c r="C551" s="121"/>
      <c r="D551" s="121"/>
      <c r="E551" s="121"/>
      <c r="F551" s="2026"/>
      <c r="G551" s="121"/>
      <c r="H551" s="1532"/>
    </row>
    <row r="552" spans="2:8" x14ac:dyDescent="0.2">
      <c r="B552" s="121"/>
      <c r="C552" s="121"/>
      <c r="D552" s="121"/>
      <c r="E552" s="121"/>
      <c r="F552" s="2026"/>
      <c r="G552" s="121"/>
      <c r="H552" s="1532"/>
    </row>
    <row r="553" spans="2:8" x14ac:dyDescent="0.2">
      <c r="B553" s="121"/>
      <c r="C553" s="121"/>
      <c r="D553" s="121"/>
      <c r="E553" s="121"/>
      <c r="F553" s="2026"/>
      <c r="G553" s="121"/>
      <c r="H553" s="1532"/>
    </row>
    <row r="554" spans="2:8" x14ac:dyDescent="0.2">
      <c r="B554" s="121"/>
      <c r="C554" s="121"/>
      <c r="D554" s="121"/>
      <c r="E554" s="121"/>
      <c r="F554" s="2026"/>
      <c r="G554" s="121"/>
      <c r="H554" s="1532"/>
    </row>
    <row r="555" spans="2:8" x14ac:dyDescent="0.2">
      <c r="B555" s="121"/>
      <c r="C555" s="121"/>
      <c r="D555" s="121"/>
      <c r="E555" s="121"/>
      <c r="F555" s="2026"/>
      <c r="G555" s="121"/>
      <c r="H555" s="1532"/>
    </row>
    <row r="556" spans="2:8" x14ac:dyDescent="0.2">
      <c r="B556" s="121"/>
      <c r="C556" s="121"/>
      <c r="D556" s="121"/>
      <c r="E556" s="121"/>
      <c r="F556" s="2026"/>
      <c r="G556" s="121"/>
      <c r="H556" s="1532"/>
    </row>
    <row r="557" spans="2:8" x14ac:dyDescent="0.2">
      <c r="B557" s="121"/>
      <c r="C557" s="121"/>
      <c r="D557" s="121"/>
      <c r="E557" s="121"/>
      <c r="F557" s="2026"/>
      <c r="G557" s="121"/>
      <c r="H557" s="1532"/>
    </row>
    <row r="558" spans="2:8" x14ac:dyDescent="0.2">
      <c r="B558" s="121"/>
      <c r="C558" s="121"/>
      <c r="D558" s="121"/>
      <c r="E558" s="121"/>
      <c r="F558" s="2026"/>
      <c r="G558" s="121"/>
      <c r="H558" s="1532"/>
    </row>
    <row r="559" spans="2:8" x14ac:dyDescent="0.2">
      <c r="B559" s="121"/>
      <c r="C559" s="121"/>
      <c r="D559" s="121"/>
      <c r="E559" s="121"/>
      <c r="F559" s="2026"/>
      <c r="G559" s="121"/>
      <c r="H559" s="1532"/>
    </row>
    <row r="560" spans="2:8" x14ac:dyDescent="0.2">
      <c r="B560" s="121"/>
      <c r="C560" s="121"/>
      <c r="D560" s="121"/>
      <c r="E560" s="121"/>
      <c r="F560" s="2026"/>
      <c r="G560" s="121"/>
      <c r="H560" s="1532"/>
    </row>
    <row r="561" spans="2:8" x14ac:dyDescent="0.2">
      <c r="B561" s="121"/>
      <c r="C561" s="121"/>
      <c r="D561" s="121"/>
      <c r="E561" s="121"/>
      <c r="F561" s="2026"/>
      <c r="G561" s="121"/>
      <c r="H561" s="1532"/>
    </row>
    <row r="562" spans="2:8" x14ac:dyDescent="0.2">
      <c r="B562" s="121"/>
      <c r="C562" s="121"/>
      <c r="D562" s="121"/>
      <c r="E562" s="121"/>
      <c r="F562" s="2026"/>
      <c r="G562" s="121"/>
      <c r="H562" s="1532"/>
    </row>
    <row r="563" spans="2:8" x14ac:dyDescent="0.2">
      <c r="B563" s="121"/>
      <c r="C563" s="121"/>
      <c r="D563" s="121"/>
      <c r="E563" s="121"/>
      <c r="F563" s="2026"/>
      <c r="G563" s="121"/>
      <c r="H563" s="1532"/>
    </row>
    <row r="564" spans="2:8" x14ac:dyDescent="0.2">
      <c r="B564" s="121"/>
      <c r="C564" s="121"/>
      <c r="D564" s="121"/>
      <c r="E564" s="121"/>
      <c r="F564" s="2026"/>
      <c r="G564" s="121"/>
      <c r="H564" s="1532"/>
    </row>
    <row r="565" spans="2:8" x14ac:dyDescent="0.2">
      <c r="B565" s="121"/>
      <c r="C565" s="121"/>
      <c r="D565" s="121"/>
      <c r="E565" s="121"/>
      <c r="F565" s="2026"/>
      <c r="G565" s="121"/>
      <c r="H565" s="1532"/>
    </row>
    <row r="566" spans="2:8" x14ac:dyDescent="0.2">
      <c r="B566" s="121"/>
      <c r="C566" s="121"/>
      <c r="D566" s="121"/>
      <c r="E566" s="121"/>
      <c r="F566" s="2026"/>
      <c r="G566" s="121"/>
      <c r="H566" s="1532"/>
    </row>
    <row r="567" spans="2:8" x14ac:dyDescent="0.2">
      <c r="B567" s="121"/>
      <c r="C567" s="121"/>
      <c r="D567" s="121"/>
      <c r="E567" s="121"/>
      <c r="F567" s="2026"/>
      <c r="G567" s="121"/>
      <c r="H567" s="1532"/>
    </row>
    <row r="568" spans="2:8" x14ac:dyDescent="0.2">
      <c r="B568" s="121"/>
      <c r="C568" s="121"/>
      <c r="D568" s="121"/>
      <c r="E568" s="121"/>
      <c r="F568" s="2026"/>
      <c r="G568" s="121"/>
      <c r="H568" s="1532"/>
    </row>
    <row r="569" spans="2:8" x14ac:dyDescent="0.2">
      <c r="B569" s="121"/>
      <c r="C569" s="121"/>
      <c r="D569" s="121"/>
      <c r="E569" s="121"/>
      <c r="F569" s="2026"/>
      <c r="G569" s="121"/>
      <c r="H569" s="1532"/>
    </row>
    <row r="570" spans="2:8" x14ac:dyDescent="0.2">
      <c r="B570" s="121"/>
      <c r="C570" s="121"/>
      <c r="D570" s="121"/>
      <c r="E570" s="121"/>
      <c r="F570" s="2026"/>
      <c r="G570" s="121"/>
      <c r="H570" s="1532"/>
    </row>
    <row r="571" spans="2:8" x14ac:dyDescent="0.2">
      <c r="B571" s="121"/>
      <c r="C571" s="121"/>
      <c r="D571" s="121"/>
      <c r="E571" s="121"/>
      <c r="F571" s="2026"/>
      <c r="G571" s="121"/>
      <c r="H571" s="1532"/>
    </row>
    <row r="572" spans="2:8" x14ac:dyDescent="0.2">
      <c r="B572" s="121"/>
      <c r="C572" s="121"/>
      <c r="D572" s="121"/>
      <c r="E572" s="121"/>
      <c r="F572" s="2026"/>
      <c r="G572" s="121"/>
      <c r="H572" s="1532"/>
    </row>
    <row r="573" spans="2:8" x14ac:dyDescent="0.2">
      <c r="B573" s="121"/>
      <c r="C573" s="121"/>
      <c r="D573" s="121"/>
      <c r="E573" s="121"/>
      <c r="F573" s="2026"/>
      <c r="G573" s="121"/>
      <c r="H573" s="1532"/>
    </row>
    <row r="574" spans="2:8" x14ac:dyDescent="0.2">
      <c r="B574" s="121"/>
      <c r="C574" s="121"/>
      <c r="D574" s="121"/>
      <c r="E574" s="121"/>
      <c r="F574" s="2026"/>
      <c r="G574" s="121"/>
      <c r="H574" s="1532"/>
    </row>
    <row r="575" spans="2:8" x14ac:dyDescent="0.2">
      <c r="B575" s="121"/>
      <c r="C575" s="121"/>
      <c r="D575" s="121"/>
      <c r="E575" s="121"/>
      <c r="F575" s="2026"/>
      <c r="G575" s="121"/>
      <c r="H575" s="1532"/>
    </row>
    <row r="576" spans="2:8" x14ac:dyDescent="0.2">
      <c r="B576" s="121"/>
      <c r="C576" s="121"/>
      <c r="D576" s="121"/>
      <c r="E576" s="121"/>
      <c r="F576" s="2026"/>
      <c r="G576" s="121"/>
      <c r="H576" s="1532"/>
    </row>
    <row r="577" spans="2:8" x14ac:dyDescent="0.2">
      <c r="B577" s="121"/>
      <c r="C577" s="121"/>
      <c r="D577" s="121"/>
      <c r="E577" s="121"/>
      <c r="F577" s="2026"/>
      <c r="G577" s="121"/>
      <c r="H577" s="1532"/>
    </row>
    <row r="578" spans="2:8" x14ac:dyDescent="0.2">
      <c r="B578" s="121"/>
      <c r="C578" s="121"/>
      <c r="D578" s="121"/>
      <c r="E578" s="121"/>
      <c r="F578" s="2026"/>
      <c r="G578" s="121"/>
      <c r="H578" s="1532"/>
    </row>
    <row r="579" spans="2:8" x14ac:dyDescent="0.2">
      <c r="B579" s="121"/>
      <c r="C579" s="121"/>
      <c r="D579" s="121"/>
      <c r="E579" s="121"/>
      <c r="F579" s="2026"/>
      <c r="G579" s="121"/>
      <c r="H579" s="1532"/>
    </row>
    <row r="580" spans="2:8" x14ac:dyDescent="0.2">
      <c r="B580" s="121"/>
      <c r="C580" s="121"/>
      <c r="D580" s="121"/>
      <c r="E580" s="121"/>
      <c r="F580" s="2026"/>
      <c r="G580" s="121"/>
      <c r="H580" s="1532"/>
    </row>
    <row r="581" spans="2:8" x14ac:dyDescent="0.2">
      <c r="B581" s="121"/>
      <c r="C581" s="121"/>
      <c r="D581" s="121"/>
      <c r="E581" s="121"/>
      <c r="F581" s="2026"/>
      <c r="G581" s="121"/>
      <c r="H581" s="1532"/>
    </row>
    <row r="582" spans="2:8" x14ac:dyDescent="0.2">
      <c r="B582" s="121"/>
      <c r="C582" s="121"/>
      <c r="D582" s="121"/>
      <c r="E582" s="121"/>
      <c r="F582" s="2026"/>
      <c r="G582" s="121"/>
      <c r="H582" s="1532"/>
    </row>
    <row r="583" spans="2:8" x14ac:dyDescent="0.2">
      <c r="B583" s="121"/>
      <c r="C583" s="121"/>
      <c r="D583" s="121"/>
      <c r="E583" s="121"/>
      <c r="F583" s="2026"/>
      <c r="G583" s="121"/>
      <c r="H583" s="1532"/>
    </row>
    <row r="584" spans="2:8" x14ac:dyDescent="0.2">
      <c r="B584" s="121"/>
      <c r="C584" s="121"/>
      <c r="D584" s="121"/>
      <c r="E584" s="121"/>
      <c r="F584" s="2026"/>
      <c r="G584" s="121"/>
      <c r="H584" s="1532"/>
    </row>
    <row r="585" spans="2:8" x14ac:dyDescent="0.2">
      <c r="B585" s="121"/>
      <c r="C585" s="121"/>
      <c r="D585" s="121"/>
      <c r="E585" s="121"/>
      <c r="F585" s="2026"/>
      <c r="G585" s="121"/>
      <c r="H585" s="1532"/>
    </row>
    <row r="586" spans="2:8" x14ac:dyDescent="0.2">
      <c r="B586" s="121"/>
      <c r="C586" s="121"/>
      <c r="D586" s="121"/>
      <c r="E586" s="121"/>
      <c r="F586" s="2026"/>
      <c r="G586" s="121"/>
      <c r="H586" s="1532"/>
    </row>
    <row r="587" spans="2:8" x14ac:dyDescent="0.2">
      <c r="B587" s="121"/>
      <c r="C587" s="121"/>
      <c r="D587" s="121"/>
      <c r="E587" s="121"/>
      <c r="F587" s="2026"/>
      <c r="G587" s="121"/>
      <c r="H587" s="1532"/>
    </row>
    <row r="588" spans="2:8" x14ac:dyDescent="0.2">
      <c r="B588" s="121"/>
      <c r="C588" s="121"/>
      <c r="D588" s="121"/>
      <c r="E588" s="121"/>
      <c r="F588" s="2026"/>
      <c r="G588" s="121"/>
      <c r="H588" s="1532"/>
    </row>
    <row r="589" spans="2:8" x14ac:dyDescent="0.2">
      <c r="B589" s="121"/>
      <c r="C589" s="121"/>
      <c r="D589" s="121"/>
      <c r="E589" s="121"/>
      <c r="F589" s="2026"/>
      <c r="G589" s="121"/>
      <c r="H589" s="1532"/>
    </row>
    <row r="590" spans="2:8" x14ac:dyDescent="0.2">
      <c r="B590" s="121"/>
      <c r="C590" s="121"/>
      <c r="D590" s="121"/>
      <c r="E590" s="121"/>
      <c r="F590" s="2026"/>
      <c r="G590" s="121"/>
      <c r="H590" s="1532"/>
    </row>
    <row r="591" spans="2:8" x14ac:dyDescent="0.2">
      <c r="B591" s="121"/>
      <c r="C591" s="121"/>
      <c r="D591" s="121"/>
      <c r="E591" s="121"/>
      <c r="F591" s="2026"/>
      <c r="G591" s="121"/>
      <c r="H591" s="1532"/>
    </row>
    <row r="592" spans="2:8" x14ac:dyDescent="0.2">
      <c r="B592" s="121"/>
      <c r="C592" s="121"/>
      <c r="D592" s="121"/>
      <c r="E592" s="121"/>
      <c r="F592" s="2026"/>
      <c r="G592" s="121"/>
      <c r="H592" s="1532"/>
    </row>
    <row r="593" spans="2:8" x14ac:dyDescent="0.2">
      <c r="B593" s="121"/>
      <c r="C593" s="121"/>
      <c r="D593" s="121"/>
      <c r="E593" s="121"/>
      <c r="F593" s="2026"/>
      <c r="G593" s="121"/>
      <c r="H593" s="1532"/>
    </row>
    <row r="594" spans="2:8" x14ac:dyDescent="0.2">
      <c r="B594" s="121"/>
      <c r="C594" s="121"/>
      <c r="D594" s="121"/>
      <c r="E594" s="121"/>
      <c r="F594" s="2026"/>
      <c r="G594" s="121"/>
      <c r="H594" s="1532"/>
    </row>
    <row r="595" spans="2:8" x14ac:dyDescent="0.2">
      <c r="B595" s="121"/>
      <c r="C595" s="121"/>
      <c r="D595" s="121"/>
      <c r="E595" s="121"/>
      <c r="F595" s="2026"/>
      <c r="G595" s="121"/>
      <c r="H595" s="1532"/>
    </row>
    <row r="596" spans="2:8" x14ac:dyDescent="0.2">
      <c r="B596" s="121"/>
      <c r="C596" s="121"/>
      <c r="D596" s="121"/>
      <c r="E596" s="121"/>
      <c r="F596" s="2026"/>
      <c r="G596" s="121"/>
      <c r="H596" s="1532"/>
    </row>
    <row r="597" spans="2:8" x14ac:dyDescent="0.2">
      <c r="B597" s="121"/>
      <c r="C597" s="121"/>
      <c r="D597" s="121"/>
      <c r="E597" s="121"/>
      <c r="F597" s="2026"/>
      <c r="G597" s="121"/>
      <c r="H597" s="1532"/>
    </row>
    <row r="598" spans="2:8" x14ac:dyDescent="0.2">
      <c r="B598" s="121"/>
      <c r="C598" s="121"/>
      <c r="D598" s="121"/>
      <c r="E598" s="121"/>
      <c r="F598" s="2026"/>
      <c r="G598" s="121"/>
      <c r="H598" s="1532"/>
    </row>
    <row r="599" spans="2:8" x14ac:dyDescent="0.2">
      <c r="B599" s="121"/>
      <c r="C599" s="121"/>
      <c r="D599" s="121"/>
      <c r="E599" s="121"/>
      <c r="F599" s="2026"/>
      <c r="G599" s="121"/>
      <c r="H599" s="1532"/>
    </row>
    <row r="600" spans="2:8" x14ac:dyDescent="0.2">
      <c r="B600" s="121"/>
      <c r="C600" s="121"/>
      <c r="D600" s="121"/>
      <c r="E600" s="121"/>
      <c r="F600" s="2026"/>
      <c r="G600" s="121"/>
      <c r="H600" s="1532"/>
    </row>
    <row r="601" spans="2:8" x14ac:dyDescent="0.2">
      <c r="B601" s="121"/>
      <c r="C601" s="121"/>
      <c r="D601" s="121"/>
      <c r="E601" s="121"/>
      <c r="F601" s="2026"/>
      <c r="G601" s="121"/>
      <c r="H601" s="1532"/>
    </row>
    <row r="602" spans="2:8" x14ac:dyDescent="0.2">
      <c r="B602" s="121"/>
      <c r="C602" s="121"/>
      <c r="D602" s="121"/>
      <c r="E602" s="121"/>
      <c r="F602" s="2026"/>
      <c r="G602" s="121"/>
      <c r="H602" s="1532"/>
    </row>
    <row r="603" spans="2:8" x14ac:dyDescent="0.2">
      <c r="B603" s="121"/>
      <c r="C603" s="121"/>
      <c r="D603" s="121"/>
      <c r="E603" s="121"/>
      <c r="F603" s="2026"/>
      <c r="G603" s="121"/>
      <c r="H603" s="1532"/>
    </row>
    <row r="604" spans="2:8" x14ac:dyDescent="0.2">
      <c r="B604" s="121"/>
      <c r="C604" s="121"/>
      <c r="D604" s="121"/>
      <c r="E604" s="121"/>
      <c r="F604" s="2026"/>
      <c r="G604" s="121"/>
      <c r="H604" s="1532"/>
    </row>
    <row r="605" spans="2:8" x14ac:dyDescent="0.2">
      <c r="B605" s="121"/>
      <c r="C605" s="121"/>
      <c r="D605" s="121"/>
      <c r="E605" s="121"/>
      <c r="F605" s="2026"/>
      <c r="G605" s="121"/>
      <c r="H605" s="1532"/>
    </row>
    <row r="606" spans="2:8" x14ac:dyDescent="0.2">
      <c r="B606" s="121"/>
      <c r="C606" s="121"/>
      <c r="D606" s="121"/>
      <c r="E606" s="121"/>
      <c r="F606" s="2026"/>
      <c r="G606" s="121"/>
      <c r="H606" s="1532"/>
    </row>
    <row r="607" spans="2:8" x14ac:dyDescent="0.2">
      <c r="B607" s="121"/>
      <c r="C607" s="121"/>
      <c r="D607" s="121"/>
      <c r="E607" s="121"/>
      <c r="F607" s="2026"/>
      <c r="G607" s="121"/>
      <c r="H607" s="1532"/>
    </row>
    <row r="608" spans="2:8" x14ac:dyDescent="0.2">
      <c r="B608" s="121"/>
      <c r="C608" s="121"/>
      <c r="D608" s="121"/>
      <c r="E608" s="121"/>
      <c r="F608" s="2026"/>
      <c r="G608" s="121"/>
      <c r="H608" s="1532"/>
    </row>
    <row r="609" spans="2:8" x14ac:dyDescent="0.2">
      <c r="B609" s="121"/>
      <c r="C609" s="121"/>
      <c r="D609" s="121"/>
      <c r="E609" s="121"/>
      <c r="F609" s="2026"/>
      <c r="G609" s="121"/>
      <c r="H609" s="1532"/>
    </row>
    <row r="610" spans="2:8" x14ac:dyDescent="0.2">
      <c r="B610" s="121"/>
      <c r="C610" s="121"/>
      <c r="D610" s="121"/>
      <c r="E610" s="121"/>
      <c r="F610" s="2026"/>
      <c r="G610" s="121"/>
      <c r="H610" s="1532"/>
    </row>
    <row r="611" spans="2:8" x14ac:dyDescent="0.2">
      <c r="B611" s="121"/>
      <c r="C611" s="121"/>
      <c r="D611" s="121"/>
      <c r="E611" s="121"/>
      <c r="F611" s="2026"/>
      <c r="G611" s="121"/>
      <c r="H611" s="1532"/>
    </row>
    <row r="612" spans="2:8" x14ac:dyDescent="0.2">
      <c r="B612" s="121"/>
      <c r="C612" s="121"/>
      <c r="D612" s="121"/>
      <c r="E612" s="121"/>
      <c r="F612" s="2026"/>
      <c r="G612" s="121"/>
      <c r="H612" s="1532"/>
    </row>
    <row r="613" spans="2:8" x14ac:dyDescent="0.2">
      <c r="B613" s="121"/>
      <c r="C613" s="121"/>
      <c r="D613" s="121"/>
      <c r="E613" s="121"/>
      <c r="F613" s="2026"/>
      <c r="G613" s="121"/>
      <c r="H613" s="1532"/>
    </row>
    <row r="614" spans="2:8" x14ac:dyDescent="0.2">
      <c r="B614" s="121"/>
      <c r="C614" s="121"/>
      <c r="D614" s="121"/>
      <c r="E614" s="121"/>
      <c r="F614" s="2026"/>
      <c r="G614" s="121"/>
      <c r="H614" s="1532"/>
    </row>
    <row r="615" spans="2:8" x14ac:dyDescent="0.2">
      <c r="B615" s="121"/>
      <c r="C615" s="121"/>
      <c r="D615" s="121"/>
      <c r="E615" s="121"/>
      <c r="F615" s="2026"/>
      <c r="G615" s="121"/>
      <c r="H615" s="1532"/>
    </row>
    <row r="616" spans="2:8" x14ac:dyDescent="0.2">
      <c r="B616" s="121"/>
      <c r="C616" s="121"/>
      <c r="D616" s="121"/>
      <c r="E616" s="121"/>
      <c r="F616" s="2026"/>
      <c r="G616" s="121"/>
      <c r="H616" s="1532"/>
    </row>
    <row r="617" spans="2:8" x14ac:dyDescent="0.2">
      <c r="B617" s="121"/>
      <c r="C617" s="121"/>
      <c r="D617" s="121"/>
      <c r="E617" s="121"/>
      <c r="F617" s="2026"/>
      <c r="G617" s="121"/>
      <c r="H617" s="1532"/>
    </row>
    <row r="618" spans="2:8" x14ac:dyDescent="0.2">
      <c r="B618" s="121"/>
      <c r="C618" s="121"/>
      <c r="D618" s="121"/>
      <c r="E618" s="121"/>
      <c r="F618" s="2026"/>
      <c r="G618" s="121"/>
    </row>
    <row r="619" spans="2:8" x14ac:dyDescent="0.2">
      <c r="B619" s="121"/>
      <c r="C619" s="121"/>
      <c r="D619" s="121"/>
      <c r="E619" s="121"/>
      <c r="F619" s="2026"/>
      <c r="G619" s="121"/>
    </row>
    <row r="620" spans="2:8" x14ac:dyDescent="0.2">
      <c r="B620" s="121"/>
      <c r="C620" s="121"/>
      <c r="D620" s="121"/>
      <c r="E620" s="121"/>
      <c r="F620" s="2026"/>
      <c r="G620" s="121"/>
    </row>
    <row r="621" spans="2:8" x14ac:dyDescent="0.2">
      <c r="B621" s="121"/>
      <c r="C621" s="121"/>
      <c r="D621" s="121"/>
      <c r="E621" s="121"/>
      <c r="F621" s="2026"/>
      <c r="G621" s="121"/>
    </row>
    <row r="622" spans="2:8" x14ac:dyDescent="0.2">
      <c r="B622" s="121"/>
      <c r="C622" s="121"/>
      <c r="D622" s="121"/>
      <c r="E622" s="121"/>
      <c r="F622" s="2026"/>
      <c r="G622" s="121"/>
    </row>
    <row r="623" spans="2:8" x14ac:dyDescent="0.2">
      <c r="B623" s="121"/>
      <c r="C623" s="121"/>
      <c r="D623" s="121"/>
      <c r="E623" s="121"/>
      <c r="F623" s="2026"/>
      <c r="G623" s="121"/>
    </row>
    <row r="624" spans="2:8" x14ac:dyDescent="0.2">
      <c r="B624" s="121"/>
      <c r="C624" s="121"/>
      <c r="D624" s="121"/>
      <c r="E624" s="121"/>
      <c r="F624" s="2026"/>
      <c r="G624" s="121"/>
    </row>
    <row r="625" spans="2:7" x14ac:dyDescent="0.2">
      <c r="B625" s="121"/>
      <c r="C625" s="121"/>
      <c r="D625" s="121"/>
      <c r="E625" s="121"/>
      <c r="F625" s="2026"/>
      <c r="G625" s="121"/>
    </row>
    <row r="626" spans="2:7" x14ac:dyDescent="0.2">
      <c r="B626" s="121"/>
      <c r="C626" s="121"/>
      <c r="D626" s="121"/>
      <c r="E626" s="121"/>
      <c r="F626" s="2026"/>
      <c r="G626" s="121"/>
    </row>
    <row r="627" spans="2:7" x14ac:dyDescent="0.2">
      <c r="B627" s="121"/>
      <c r="C627" s="121"/>
      <c r="D627" s="121"/>
      <c r="E627" s="121"/>
      <c r="F627" s="2026"/>
      <c r="G627" s="121"/>
    </row>
    <row r="628" spans="2:7" x14ac:dyDescent="0.2">
      <c r="B628" s="121"/>
      <c r="C628" s="121"/>
      <c r="D628" s="121"/>
      <c r="E628" s="121"/>
      <c r="F628" s="2026"/>
      <c r="G628" s="121"/>
    </row>
    <row r="629" spans="2:7" x14ac:dyDescent="0.2">
      <c r="B629" s="121"/>
      <c r="C629" s="121"/>
      <c r="D629" s="121"/>
      <c r="E629" s="121"/>
      <c r="F629" s="2026"/>
      <c r="G629" s="121"/>
    </row>
    <row r="630" spans="2:7" x14ac:dyDescent="0.2">
      <c r="B630" s="121"/>
      <c r="C630" s="121"/>
      <c r="D630" s="121"/>
      <c r="E630" s="121"/>
      <c r="F630" s="2026"/>
      <c r="G630" s="121"/>
    </row>
    <row r="631" spans="2:7" x14ac:dyDescent="0.2">
      <c r="B631" s="121"/>
      <c r="C631" s="121"/>
      <c r="D631" s="121"/>
      <c r="E631" s="121"/>
      <c r="F631" s="2026"/>
      <c r="G631" s="121"/>
    </row>
    <row r="632" spans="2:7" x14ac:dyDescent="0.2">
      <c r="B632" s="121"/>
      <c r="C632" s="121"/>
      <c r="D632" s="121"/>
      <c r="E632" s="121"/>
      <c r="F632" s="2026"/>
      <c r="G632" s="121"/>
    </row>
    <row r="633" spans="2:7" x14ac:dyDescent="0.2">
      <c r="B633" s="121"/>
      <c r="C633" s="121"/>
      <c r="D633" s="121"/>
      <c r="E633" s="121"/>
      <c r="F633" s="2026"/>
      <c r="G633" s="121"/>
    </row>
    <row r="634" spans="2:7" x14ac:dyDescent="0.2">
      <c r="B634" s="121"/>
      <c r="C634" s="121"/>
      <c r="D634" s="121"/>
      <c r="E634" s="121"/>
      <c r="F634" s="2026"/>
      <c r="G634" s="121"/>
    </row>
    <row r="635" spans="2:7" x14ac:dyDescent="0.2">
      <c r="B635" s="121"/>
      <c r="C635" s="121"/>
      <c r="D635" s="121"/>
      <c r="E635" s="121"/>
      <c r="F635" s="2026"/>
      <c r="G635" s="121"/>
    </row>
    <row r="636" spans="2:7" x14ac:dyDescent="0.2">
      <c r="B636" s="121"/>
      <c r="C636" s="121"/>
      <c r="D636" s="121"/>
      <c r="E636" s="121"/>
      <c r="F636" s="2026"/>
      <c r="G636" s="121"/>
    </row>
    <row r="637" spans="2:7" x14ac:dyDescent="0.2">
      <c r="B637" s="121"/>
      <c r="C637" s="121"/>
      <c r="D637" s="121"/>
      <c r="E637" s="121"/>
      <c r="F637" s="2026"/>
      <c r="G637" s="121"/>
    </row>
    <row r="638" spans="2:7" x14ac:dyDescent="0.2">
      <c r="B638" s="121"/>
      <c r="C638" s="121"/>
      <c r="D638" s="121"/>
      <c r="E638" s="121"/>
      <c r="F638" s="2026"/>
      <c r="G638" s="121"/>
    </row>
    <row r="639" spans="2:7" x14ac:dyDescent="0.2">
      <c r="B639" s="121"/>
      <c r="C639" s="121"/>
      <c r="D639" s="121"/>
      <c r="E639" s="121"/>
      <c r="F639" s="2026"/>
      <c r="G639" s="121"/>
    </row>
    <row r="640" spans="2:7" x14ac:dyDescent="0.2">
      <c r="B640" s="121"/>
      <c r="C640" s="121"/>
      <c r="D640" s="121"/>
      <c r="E640" s="121"/>
      <c r="F640" s="2026"/>
      <c r="G640" s="121"/>
    </row>
    <row r="641" spans="2:7" x14ac:dyDescent="0.2">
      <c r="B641" s="121"/>
      <c r="C641" s="121"/>
      <c r="D641" s="121"/>
      <c r="E641" s="121"/>
      <c r="F641" s="2026"/>
      <c r="G641" s="121"/>
    </row>
    <row r="642" spans="2:7" x14ac:dyDescent="0.2">
      <c r="B642" s="121"/>
      <c r="C642" s="121"/>
      <c r="D642" s="121"/>
      <c r="E642" s="121"/>
      <c r="F642" s="2026"/>
      <c r="G642" s="121"/>
    </row>
    <row r="643" spans="2:7" x14ac:dyDescent="0.2">
      <c r="B643" s="121"/>
      <c r="C643" s="121"/>
      <c r="D643" s="121"/>
      <c r="E643" s="121"/>
      <c r="F643" s="2026"/>
      <c r="G643" s="121"/>
    </row>
    <row r="644" spans="2:7" x14ac:dyDescent="0.2">
      <c r="B644" s="121"/>
      <c r="C644" s="121"/>
      <c r="D644" s="121"/>
      <c r="E644" s="121"/>
      <c r="F644" s="2026"/>
      <c r="G644" s="121"/>
    </row>
    <row r="645" spans="2:7" x14ac:dyDescent="0.2">
      <c r="B645" s="121"/>
      <c r="C645" s="121"/>
      <c r="D645" s="121"/>
      <c r="E645" s="121"/>
      <c r="F645" s="2026"/>
      <c r="G645" s="121"/>
    </row>
    <row r="646" spans="2:7" x14ac:dyDescent="0.2">
      <c r="B646" s="121"/>
      <c r="C646" s="121"/>
      <c r="D646" s="121"/>
      <c r="E646" s="121"/>
      <c r="F646" s="2026"/>
      <c r="G646" s="121"/>
    </row>
    <row r="647" spans="2:7" x14ac:dyDescent="0.2">
      <c r="B647" s="121"/>
      <c r="C647" s="121"/>
      <c r="D647" s="121"/>
      <c r="E647" s="121"/>
      <c r="F647" s="2026"/>
      <c r="G647" s="121"/>
    </row>
    <row r="648" spans="2:7" x14ac:dyDescent="0.2">
      <c r="B648" s="121"/>
      <c r="C648" s="121"/>
      <c r="D648" s="121"/>
      <c r="E648" s="121"/>
      <c r="F648" s="2026"/>
      <c r="G648" s="121"/>
    </row>
    <row r="649" spans="2:7" x14ac:dyDescent="0.2">
      <c r="B649" s="121"/>
      <c r="C649" s="121"/>
      <c r="D649" s="121"/>
      <c r="E649" s="121"/>
      <c r="F649" s="2026"/>
      <c r="G649" s="121"/>
    </row>
    <row r="650" spans="2:7" x14ac:dyDescent="0.2">
      <c r="B650" s="121"/>
      <c r="C650" s="121"/>
      <c r="D650" s="121"/>
      <c r="E650" s="121"/>
      <c r="F650" s="2026"/>
      <c r="G650" s="121"/>
    </row>
    <row r="651" spans="2:7" x14ac:dyDescent="0.2">
      <c r="B651" s="121"/>
      <c r="C651" s="121"/>
      <c r="D651" s="121"/>
      <c r="E651" s="121"/>
      <c r="F651" s="2026"/>
      <c r="G651" s="121"/>
    </row>
    <row r="652" spans="2:7" x14ac:dyDescent="0.2">
      <c r="B652" s="121"/>
      <c r="C652" s="121"/>
      <c r="D652" s="121"/>
      <c r="E652" s="121"/>
      <c r="F652" s="2026"/>
      <c r="G652" s="121"/>
    </row>
    <row r="653" spans="2:7" x14ac:dyDescent="0.2">
      <c r="B653" s="121"/>
      <c r="C653" s="121"/>
      <c r="D653" s="121"/>
      <c r="E653" s="121"/>
      <c r="F653" s="2026"/>
      <c r="G653" s="121"/>
    </row>
    <row r="654" spans="2:7" x14ac:dyDescent="0.2">
      <c r="B654" s="121"/>
      <c r="C654" s="121"/>
      <c r="D654" s="121"/>
      <c r="E654" s="121"/>
      <c r="F654" s="2026"/>
      <c r="G654" s="121"/>
    </row>
    <row r="655" spans="2:7" x14ac:dyDescent="0.2">
      <c r="B655" s="121"/>
      <c r="C655" s="121"/>
      <c r="D655" s="121"/>
      <c r="E655" s="121"/>
      <c r="F655" s="2026"/>
      <c r="G655" s="121"/>
    </row>
    <row r="656" spans="2:7" x14ac:dyDescent="0.2">
      <c r="B656" s="121"/>
      <c r="C656" s="121"/>
      <c r="D656" s="121"/>
      <c r="E656" s="121"/>
      <c r="F656" s="2026"/>
      <c r="G656" s="121"/>
    </row>
    <row r="657" spans="2:7" x14ac:dyDescent="0.2">
      <c r="B657" s="121"/>
      <c r="C657" s="121"/>
      <c r="D657" s="121"/>
      <c r="E657" s="121"/>
      <c r="F657" s="2026"/>
      <c r="G657" s="121"/>
    </row>
    <row r="658" spans="2:7" x14ac:dyDescent="0.2">
      <c r="B658" s="121"/>
      <c r="C658" s="121"/>
      <c r="D658" s="121"/>
      <c r="E658" s="121"/>
      <c r="F658" s="2026"/>
      <c r="G658" s="121"/>
    </row>
    <row r="659" spans="2:7" x14ac:dyDescent="0.2">
      <c r="B659" s="121"/>
      <c r="C659" s="121"/>
      <c r="D659" s="121"/>
      <c r="E659" s="121"/>
      <c r="F659" s="2026"/>
      <c r="G659" s="121"/>
    </row>
    <row r="660" spans="2:7" x14ac:dyDescent="0.2">
      <c r="B660" s="121"/>
      <c r="C660" s="121"/>
      <c r="D660" s="121"/>
      <c r="E660" s="121"/>
      <c r="F660" s="2026"/>
      <c r="G660" s="121"/>
    </row>
    <row r="661" spans="2:7" x14ac:dyDescent="0.2">
      <c r="B661" s="121"/>
      <c r="C661" s="121"/>
      <c r="D661" s="121"/>
      <c r="E661" s="121"/>
      <c r="F661" s="2026"/>
      <c r="G661" s="121"/>
    </row>
    <row r="662" spans="2:7" x14ac:dyDescent="0.2">
      <c r="B662" s="121"/>
      <c r="C662" s="121"/>
      <c r="D662" s="121"/>
      <c r="E662" s="121"/>
      <c r="F662" s="2026"/>
      <c r="G662" s="121"/>
    </row>
    <row r="663" spans="2:7" x14ac:dyDescent="0.2">
      <c r="B663" s="121"/>
      <c r="C663" s="121"/>
      <c r="D663" s="121"/>
      <c r="E663" s="121"/>
      <c r="F663" s="121"/>
      <c r="G663" s="121"/>
    </row>
    <row r="664" spans="2:7" x14ac:dyDescent="0.2">
      <c r="B664" s="121"/>
      <c r="C664" s="121"/>
      <c r="D664" s="121"/>
      <c r="E664" s="121"/>
      <c r="F664" s="121"/>
      <c r="G664" s="121"/>
    </row>
    <row r="665" spans="2:7" x14ac:dyDescent="0.2">
      <c r="B665" s="121"/>
      <c r="C665" s="121"/>
      <c r="D665" s="121"/>
      <c r="E665" s="121"/>
      <c r="F665" s="121"/>
      <c r="G665" s="121"/>
    </row>
    <row r="666" spans="2:7" x14ac:dyDescent="0.2">
      <c r="B666" s="121"/>
      <c r="C666" s="121"/>
      <c r="D666" s="121"/>
      <c r="E666" s="121"/>
      <c r="F666" s="121"/>
      <c r="G666" s="121"/>
    </row>
    <row r="667" spans="2:7" x14ac:dyDescent="0.2">
      <c r="B667" s="121"/>
      <c r="C667" s="121"/>
      <c r="D667" s="121"/>
      <c r="E667" s="121"/>
      <c r="F667" s="121"/>
      <c r="G667" s="121"/>
    </row>
    <row r="668" spans="2:7" x14ac:dyDescent="0.2">
      <c r="B668" s="121"/>
      <c r="C668" s="121"/>
      <c r="D668" s="121"/>
      <c r="E668" s="121"/>
      <c r="F668" s="121"/>
      <c r="G668" s="121"/>
    </row>
    <row r="669" spans="2:7" x14ac:dyDescent="0.2">
      <c r="B669" s="121"/>
      <c r="C669" s="121"/>
      <c r="D669" s="121"/>
      <c r="E669" s="121"/>
      <c r="F669" s="121"/>
      <c r="G669" s="121"/>
    </row>
    <row r="670" spans="2:7" x14ac:dyDescent="0.2">
      <c r="B670" s="121"/>
      <c r="C670" s="121"/>
      <c r="D670" s="121"/>
      <c r="E670" s="121"/>
      <c r="F670" s="121"/>
      <c r="G670" s="121"/>
    </row>
    <row r="671" spans="2:7" x14ac:dyDescent="0.2">
      <c r="B671" s="121"/>
      <c r="C671" s="121"/>
      <c r="D671" s="121"/>
      <c r="E671" s="121"/>
      <c r="F671" s="121"/>
      <c r="G671" s="121"/>
    </row>
    <row r="672" spans="2:7" x14ac:dyDescent="0.2">
      <c r="B672" s="121"/>
      <c r="C672" s="121"/>
      <c r="D672" s="121"/>
      <c r="E672" s="121"/>
      <c r="F672" s="121"/>
      <c r="G672" s="121"/>
    </row>
    <row r="673" spans="2:7" x14ac:dyDescent="0.2">
      <c r="B673" s="121"/>
      <c r="C673" s="121"/>
      <c r="D673" s="121"/>
      <c r="E673" s="121"/>
      <c r="F673" s="121"/>
      <c r="G673" s="121"/>
    </row>
    <row r="674" spans="2:7" x14ac:dyDescent="0.2">
      <c r="B674" s="121"/>
      <c r="C674" s="121"/>
      <c r="D674" s="121"/>
      <c r="E674" s="121"/>
      <c r="F674" s="121"/>
      <c r="G674" s="121"/>
    </row>
    <row r="675" spans="2:7" x14ac:dyDescent="0.2">
      <c r="B675" s="121"/>
      <c r="C675" s="121"/>
      <c r="D675" s="121"/>
      <c r="E675" s="121"/>
      <c r="F675" s="121"/>
      <c r="G675" s="121"/>
    </row>
    <row r="676" spans="2:7" x14ac:dyDescent="0.2">
      <c r="B676" s="121"/>
      <c r="C676" s="121"/>
      <c r="D676" s="121"/>
      <c r="E676" s="121"/>
      <c r="F676" s="121"/>
      <c r="G676" s="121"/>
    </row>
    <row r="677" spans="2:7" x14ac:dyDescent="0.2">
      <c r="B677" s="121"/>
      <c r="C677" s="121"/>
      <c r="D677" s="121"/>
      <c r="E677" s="121"/>
      <c r="F677" s="121"/>
      <c r="G677" s="121"/>
    </row>
    <row r="678" spans="2:7" x14ac:dyDescent="0.2">
      <c r="B678" s="121"/>
      <c r="C678" s="121"/>
      <c r="D678" s="121"/>
      <c r="E678" s="121"/>
      <c r="F678" s="121"/>
      <c r="G678" s="121"/>
    </row>
    <row r="679" spans="2:7" x14ac:dyDescent="0.2">
      <c r="B679" s="121"/>
      <c r="C679" s="121"/>
      <c r="D679" s="121"/>
      <c r="E679" s="121"/>
      <c r="F679" s="121"/>
      <c r="G679" s="121"/>
    </row>
    <row r="680" spans="2:7" x14ac:dyDescent="0.2">
      <c r="B680" s="121"/>
      <c r="C680" s="121"/>
      <c r="D680" s="121"/>
      <c r="E680" s="121"/>
      <c r="F680" s="121"/>
      <c r="G680" s="121"/>
    </row>
    <row r="681" spans="2:7" x14ac:dyDescent="0.2">
      <c r="B681" s="121"/>
      <c r="C681" s="121"/>
      <c r="D681" s="121"/>
      <c r="E681" s="121"/>
      <c r="F681" s="121"/>
      <c r="G681" s="121"/>
    </row>
    <row r="682" spans="2:7" x14ac:dyDescent="0.2">
      <c r="B682" s="121"/>
      <c r="C682" s="121"/>
      <c r="D682" s="121"/>
      <c r="E682" s="121"/>
      <c r="F682" s="121"/>
      <c r="G682" s="121"/>
    </row>
    <row r="683" spans="2:7" x14ac:dyDescent="0.2">
      <c r="B683" s="121"/>
      <c r="C683" s="121"/>
      <c r="D683" s="121"/>
      <c r="E683" s="121"/>
      <c r="F683" s="121"/>
      <c r="G683" s="121"/>
    </row>
    <row r="684" spans="2:7" x14ac:dyDescent="0.2">
      <c r="B684" s="121"/>
      <c r="C684" s="121"/>
      <c r="D684" s="121"/>
      <c r="E684" s="121"/>
      <c r="F684" s="121"/>
    </row>
    <row r="685" spans="2:7" x14ac:dyDescent="0.2">
      <c r="B685" s="121"/>
      <c r="C685" s="121"/>
      <c r="D685" s="121"/>
      <c r="E685" s="121"/>
      <c r="F685" s="121"/>
    </row>
    <row r="686" spans="2:7" x14ac:dyDescent="0.2">
      <c r="B686" s="121"/>
      <c r="C686" s="121"/>
      <c r="D686" s="121"/>
      <c r="E686" s="121"/>
      <c r="F686" s="121"/>
    </row>
    <row r="687" spans="2:7" x14ac:dyDescent="0.2">
      <c r="B687" s="121"/>
      <c r="C687" s="121"/>
      <c r="D687" s="121"/>
      <c r="E687" s="121"/>
      <c r="F687" s="121"/>
    </row>
    <row r="688" spans="2:7" x14ac:dyDescent="0.2">
      <c r="B688" s="121"/>
      <c r="C688" s="121"/>
      <c r="D688" s="121"/>
      <c r="E688" s="121"/>
      <c r="F688" s="121"/>
    </row>
    <row r="689" spans="2:6" x14ac:dyDescent="0.2">
      <c r="B689" s="121"/>
      <c r="C689" s="121"/>
      <c r="D689" s="121"/>
      <c r="E689" s="121"/>
      <c r="F689" s="121"/>
    </row>
    <row r="690" spans="2:6" x14ac:dyDescent="0.2">
      <c r="B690" s="121"/>
      <c r="C690" s="121"/>
      <c r="D690" s="121"/>
      <c r="E690" s="121"/>
      <c r="F690" s="121"/>
    </row>
    <row r="691" spans="2:6" x14ac:dyDescent="0.2">
      <c r="B691" s="121"/>
      <c r="C691" s="121"/>
      <c r="D691" s="121"/>
      <c r="E691" s="121"/>
      <c r="F691" s="121"/>
    </row>
    <row r="692" spans="2:6" x14ac:dyDescent="0.2">
      <c r="B692" s="121"/>
      <c r="C692" s="121"/>
      <c r="D692" s="121"/>
      <c r="E692" s="121"/>
      <c r="F692" s="121"/>
    </row>
    <row r="693" spans="2:6" x14ac:dyDescent="0.2">
      <c r="B693" s="121"/>
      <c r="C693" s="121"/>
      <c r="D693" s="121"/>
      <c r="E693" s="121"/>
      <c r="F693" s="121"/>
    </row>
    <row r="694" spans="2:6" x14ac:dyDescent="0.2">
      <c r="B694" s="121"/>
      <c r="C694" s="121"/>
      <c r="D694" s="121"/>
      <c r="E694" s="121"/>
      <c r="F694" s="121"/>
    </row>
    <row r="695" spans="2:6" x14ac:dyDescent="0.2">
      <c r="B695" s="121"/>
      <c r="C695" s="121"/>
      <c r="D695" s="121"/>
      <c r="E695" s="121"/>
      <c r="F695" s="121"/>
    </row>
    <row r="696" spans="2:6" x14ac:dyDescent="0.2">
      <c r="B696" s="121"/>
      <c r="C696" s="121"/>
      <c r="D696" s="121"/>
      <c r="E696" s="121"/>
      <c r="F696" s="121"/>
    </row>
    <row r="697" spans="2:6" x14ac:dyDescent="0.2">
      <c r="B697" s="121"/>
      <c r="C697" s="121"/>
      <c r="D697" s="121"/>
      <c r="E697" s="121"/>
      <c r="F697" s="121"/>
    </row>
    <row r="698" spans="2:6" x14ac:dyDescent="0.2">
      <c r="B698" s="121"/>
      <c r="C698" s="121"/>
      <c r="D698" s="121"/>
      <c r="E698" s="121"/>
      <c r="F698" s="121"/>
    </row>
    <row r="699" spans="2:6" x14ac:dyDescent="0.2">
      <c r="B699" s="121"/>
      <c r="C699" s="121"/>
      <c r="D699" s="121"/>
      <c r="E699" s="121"/>
      <c r="F699" s="121"/>
    </row>
    <row r="700" spans="2:6" x14ac:dyDescent="0.2">
      <c r="B700" s="121"/>
      <c r="C700" s="121"/>
      <c r="D700" s="121"/>
      <c r="E700" s="121"/>
      <c r="F700" s="121"/>
    </row>
    <row r="701" spans="2:6" x14ac:dyDescent="0.2">
      <c r="B701" s="121"/>
      <c r="C701" s="121"/>
      <c r="D701" s="121"/>
      <c r="E701" s="121"/>
      <c r="F701" s="121"/>
    </row>
    <row r="702" spans="2:6" x14ac:dyDescent="0.2">
      <c r="B702" s="121"/>
      <c r="C702" s="121"/>
      <c r="D702" s="121"/>
      <c r="E702" s="121"/>
      <c r="F702" s="121"/>
    </row>
    <row r="703" spans="2:6" x14ac:dyDescent="0.2">
      <c r="B703" s="121"/>
      <c r="C703" s="121"/>
      <c r="D703" s="121"/>
      <c r="E703" s="121"/>
      <c r="F703" s="121"/>
    </row>
    <row r="704" spans="2:6" x14ac:dyDescent="0.2">
      <c r="B704" s="121"/>
      <c r="C704" s="121"/>
      <c r="D704" s="121"/>
      <c r="E704" s="121"/>
      <c r="F704" s="121"/>
    </row>
    <row r="705" spans="2:6" x14ac:dyDescent="0.2">
      <c r="B705" s="121"/>
      <c r="C705" s="121"/>
      <c r="D705" s="121"/>
      <c r="E705" s="121"/>
      <c r="F705" s="121"/>
    </row>
    <row r="706" spans="2:6" x14ac:dyDescent="0.2">
      <c r="B706" s="121"/>
      <c r="C706" s="121"/>
      <c r="D706" s="121"/>
      <c r="E706" s="121"/>
      <c r="F706" s="121"/>
    </row>
    <row r="707" spans="2:6" x14ac:dyDescent="0.2">
      <c r="B707" s="121"/>
      <c r="C707" s="121"/>
      <c r="D707" s="121"/>
      <c r="E707" s="121"/>
      <c r="F707" s="121"/>
    </row>
    <row r="708" spans="2:6" x14ac:dyDescent="0.2">
      <c r="B708" s="121"/>
      <c r="C708" s="121"/>
      <c r="D708" s="121"/>
      <c r="E708" s="121"/>
      <c r="F708" s="121"/>
    </row>
    <row r="709" spans="2:6" x14ac:dyDescent="0.2">
      <c r="B709" s="121"/>
      <c r="C709" s="121"/>
      <c r="D709" s="121"/>
      <c r="E709" s="121"/>
      <c r="F709" s="121"/>
    </row>
    <row r="710" spans="2:6" x14ac:dyDescent="0.2">
      <c r="B710" s="121"/>
      <c r="C710" s="121"/>
      <c r="D710" s="121"/>
      <c r="E710" s="121"/>
      <c r="F710" s="121"/>
    </row>
    <row r="711" spans="2:6" x14ac:dyDescent="0.2">
      <c r="B711" s="121"/>
      <c r="C711" s="121"/>
      <c r="D711" s="121"/>
      <c r="E711" s="121"/>
      <c r="F711" s="121"/>
    </row>
  </sheetData>
  <mergeCells count="12">
    <mergeCell ref="C434:G434"/>
    <mergeCell ref="B142:G142"/>
    <mergeCell ref="B143:G143"/>
    <mergeCell ref="C215:G215"/>
    <mergeCell ref="B216:G216"/>
    <mergeCell ref="A333:A334"/>
    <mergeCell ref="B141:G141"/>
    <mergeCell ref="C6:F6"/>
    <mergeCell ref="B42:G42"/>
    <mergeCell ref="B64:G64"/>
    <mergeCell ref="B77:G77"/>
    <mergeCell ref="B88:G88"/>
  </mergeCells>
  <pageMargins left="0.7" right="0.7" top="0.75" bottom="0.75" header="0.3" footer="0.3"/>
  <pageSetup paperSize="9" scale="86" orientation="portrait" r:id="rId1"/>
  <rowBreaks count="17" manualBreakCount="17">
    <brk id="22" max="6" man="1"/>
    <brk id="37" max="6" man="1"/>
    <brk id="60" max="6" man="1"/>
    <brk id="73" max="6" man="1"/>
    <brk id="84" max="6" man="1"/>
    <brk id="100" max="6" man="1"/>
    <brk id="133" max="6" man="1"/>
    <brk id="214" max="6" man="1"/>
    <brk id="216" max="6" man="1"/>
    <brk id="260" max="6" man="1"/>
    <brk id="324" max="6" man="1"/>
    <brk id="380" max="6" man="1"/>
    <brk id="399" max="6" man="1"/>
    <brk id="416" max="6" man="1"/>
    <brk id="431" max="6" man="1"/>
    <brk id="450" max="6" man="1"/>
    <brk id="470" max="6" man="1"/>
  </rowBreaks>
  <colBreaks count="1" manualBreakCount="1">
    <brk id="7" min="1" max="695"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8F27-51B6-40AF-9FDC-632B7BBB4791}">
  <sheetPr>
    <tabColor theme="0" tint="-0.14999847407452621"/>
  </sheetPr>
  <dimension ref="A2:N660"/>
  <sheetViews>
    <sheetView topLeftCell="A150" zoomScaleNormal="100" zoomScaleSheetLayoutView="100" workbookViewId="0">
      <selection activeCell="B170" sqref="B170:G170"/>
    </sheetView>
  </sheetViews>
  <sheetFormatPr defaultColWidth="10.42578125" defaultRowHeight="12.75" x14ac:dyDescent="0.2"/>
  <cols>
    <col min="1" max="1" width="2.28515625" style="121" customWidth="1"/>
    <col min="2" max="2" width="6.85546875" style="120" customWidth="1"/>
    <col min="3" max="3" width="42.85546875" style="188" customWidth="1"/>
    <col min="4" max="4" width="10.42578125" style="189" customWidth="1"/>
    <col min="5" max="5" width="9.28515625" style="190" customWidth="1"/>
    <col min="6" max="6" width="13.5703125" style="191" customWidth="1"/>
    <col min="7" max="7" width="16.42578125" style="187" bestFit="1" customWidth="1"/>
    <col min="8" max="8" width="63.140625" style="1423" bestFit="1" customWidth="1"/>
    <col min="9" max="9" width="26.28515625" style="121" customWidth="1"/>
    <col min="10" max="10" width="10.42578125" style="121" customWidth="1"/>
    <col min="11" max="256" width="10.42578125" style="121"/>
    <col min="257" max="257" width="4.42578125" style="121" customWidth="1"/>
    <col min="258" max="258" width="7.42578125" style="121" customWidth="1"/>
    <col min="259" max="259" width="42.85546875" style="121" customWidth="1"/>
    <col min="260" max="260" width="10.42578125" style="121"/>
    <col min="261" max="261" width="9.28515625" style="121" customWidth="1"/>
    <col min="262" max="262" width="15.5703125" style="121" customWidth="1"/>
    <col min="263" max="263" width="16.42578125" style="121" bestFit="1" customWidth="1"/>
    <col min="264" max="264" width="63.140625" style="121" bestFit="1" customWidth="1"/>
    <col min="265" max="265" width="26.28515625" style="121" customWidth="1"/>
    <col min="266" max="512" width="10.42578125" style="121"/>
    <col min="513" max="513" width="4.42578125" style="121" customWidth="1"/>
    <col min="514" max="514" width="7.42578125" style="121" customWidth="1"/>
    <col min="515" max="515" width="42.85546875" style="121" customWidth="1"/>
    <col min="516" max="516" width="10.42578125" style="121"/>
    <col min="517" max="517" width="9.28515625" style="121" customWidth="1"/>
    <col min="518" max="518" width="15.5703125" style="121" customWidth="1"/>
    <col min="519" max="519" width="16.42578125" style="121" bestFit="1" customWidth="1"/>
    <col min="520" max="520" width="63.140625" style="121" bestFit="1" customWidth="1"/>
    <col min="521" max="521" width="26.28515625" style="121" customWidth="1"/>
    <col min="522" max="768" width="10.42578125" style="121"/>
    <col min="769" max="769" width="4.42578125" style="121" customWidth="1"/>
    <col min="770" max="770" width="7.42578125" style="121" customWidth="1"/>
    <col min="771" max="771" width="42.85546875" style="121" customWidth="1"/>
    <col min="772" max="772" width="10.42578125" style="121"/>
    <col min="773" max="773" width="9.28515625" style="121" customWidth="1"/>
    <col min="774" max="774" width="15.5703125" style="121" customWidth="1"/>
    <col min="775" max="775" width="16.42578125" style="121" bestFit="1" customWidth="1"/>
    <col min="776" max="776" width="63.140625" style="121" bestFit="1" customWidth="1"/>
    <col min="777" max="777" width="26.28515625" style="121" customWidth="1"/>
    <col min="778" max="1024" width="10.42578125" style="121"/>
    <col min="1025" max="1025" width="4.42578125" style="121" customWidth="1"/>
    <col min="1026" max="1026" width="7.42578125" style="121" customWidth="1"/>
    <col min="1027" max="1027" width="42.85546875" style="121" customWidth="1"/>
    <col min="1028" max="1028" width="10.42578125" style="121"/>
    <col min="1029" max="1029" width="9.28515625" style="121" customWidth="1"/>
    <col min="1030" max="1030" width="15.5703125" style="121" customWidth="1"/>
    <col min="1031" max="1031" width="16.42578125" style="121" bestFit="1" customWidth="1"/>
    <col min="1032" max="1032" width="63.140625" style="121" bestFit="1" customWidth="1"/>
    <col min="1033" max="1033" width="26.28515625" style="121" customWidth="1"/>
    <col min="1034" max="1280" width="10.42578125" style="121"/>
    <col min="1281" max="1281" width="4.42578125" style="121" customWidth="1"/>
    <col min="1282" max="1282" width="7.42578125" style="121" customWidth="1"/>
    <col min="1283" max="1283" width="42.85546875" style="121" customWidth="1"/>
    <col min="1284" max="1284" width="10.42578125" style="121"/>
    <col min="1285" max="1285" width="9.28515625" style="121" customWidth="1"/>
    <col min="1286" max="1286" width="15.5703125" style="121" customWidth="1"/>
    <col min="1287" max="1287" width="16.42578125" style="121" bestFit="1" customWidth="1"/>
    <col min="1288" max="1288" width="63.140625" style="121" bestFit="1" customWidth="1"/>
    <col min="1289" max="1289" width="26.28515625" style="121" customWidth="1"/>
    <col min="1290" max="1536" width="10.42578125" style="121"/>
    <col min="1537" max="1537" width="4.42578125" style="121" customWidth="1"/>
    <col min="1538" max="1538" width="7.42578125" style="121" customWidth="1"/>
    <col min="1539" max="1539" width="42.85546875" style="121" customWidth="1"/>
    <col min="1540" max="1540" width="10.42578125" style="121"/>
    <col min="1541" max="1541" width="9.28515625" style="121" customWidth="1"/>
    <col min="1542" max="1542" width="15.5703125" style="121" customWidth="1"/>
    <col min="1543" max="1543" width="16.42578125" style="121" bestFit="1" customWidth="1"/>
    <col min="1544" max="1544" width="63.140625" style="121" bestFit="1" customWidth="1"/>
    <col min="1545" max="1545" width="26.28515625" style="121" customWidth="1"/>
    <col min="1546" max="1792" width="10.42578125" style="121"/>
    <col min="1793" max="1793" width="4.42578125" style="121" customWidth="1"/>
    <col min="1794" max="1794" width="7.42578125" style="121" customWidth="1"/>
    <col min="1795" max="1795" width="42.85546875" style="121" customWidth="1"/>
    <col min="1796" max="1796" width="10.42578125" style="121"/>
    <col min="1797" max="1797" width="9.28515625" style="121" customWidth="1"/>
    <col min="1798" max="1798" width="15.5703125" style="121" customWidth="1"/>
    <col min="1799" max="1799" width="16.42578125" style="121" bestFit="1" customWidth="1"/>
    <col min="1800" max="1800" width="63.140625" style="121" bestFit="1" customWidth="1"/>
    <col min="1801" max="1801" width="26.28515625" style="121" customWidth="1"/>
    <col min="1802" max="2048" width="10.42578125" style="121"/>
    <col min="2049" max="2049" width="4.42578125" style="121" customWidth="1"/>
    <col min="2050" max="2050" width="7.42578125" style="121" customWidth="1"/>
    <col min="2051" max="2051" width="42.85546875" style="121" customWidth="1"/>
    <col min="2052" max="2052" width="10.42578125" style="121"/>
    <col min="2053" max="2053" width="9.28515625" style="121" customWidth="1"/>
    <col min="2054" max="2054" width="15.5703125" style="121" customWidth="1"/>
    <col min="2055" max="2055" width="16.42578125" style="121" bestFit="1" customWidth="1"/>
    <col min="2056" max="2056" width="63.140625" style="121" bestFit="1" customWidth="1"/>
    <col min="2057" max="2057" width="26.28515625" style="121" customWidth="1"/>
    <col min="2058" max="2304" width="10.42578125" style="121"/>
    <col min="2305" max="2305" width="4.42578125" style="121" customWidth="1"/>
    <col min="2306" max="2306" width="7.42578125" style="121" customWidth="1"/>
    <col min="2307" max="2307" width="42.85546875" style="121" customWidth="1"/>
    <col min="2308" max="2308" width="10.42578125" style="121"/>
    <col min="2309" max="2309" width="9.28515625" style="121" customWidth="1"/>
    <col min="2310" max="2310" width="15.5703125" style="121" customWidth="1"/>
    <col min="2311" max="2311" width="16.42578125" style="121" bestFit="1" customWidth="1"/>
    <col min="2312" max="2312" width="63.140625" style="121" bestFit="1" customWidth="1"/>
    <col min="2313" max="2313" width="26.28515625" style="121" customWidth="1"/>
    <col min="2314" max="2560" width="10.42578125" style="121"/>
    <col min="2561" max="2561" width="4.42578125" style="121" customWidth="1"/>
    <col min="2562" max="2562" width="7.42578125" style="121" customWidth="1"/>
    <col min="2563" max="2563" width="42.85546875" style="121" customWidth="1"/>
    <col min="2564" max="2564" width="10.42578125" style="121"/>
    <col min="2565" max="2565" width="9.28515625" style="121" customWidth="1"/>
    <col min="2566" max="2566" width="15.5703125" style="121" customWidth="1"/>
    <col min="2567" max="2567" width="16.42578125" style="121" bestFit="1" customWidth="1"/>
    <col min="2568" max="2568" width="63.140625" style="121" bestFit="1" customWidth="1"/>
    <col min="2569" max="2569" width="26.28515625" style="121" customWidth="1"/>
    <col min="2570" max="2816" width="10.42578125" style="121"/>
    <col min="2817" max="2817" width="4.42578125" style="121" customWidth="1"/>
    <col min="2818" max="2818" width="7.42578125" style="121" customWidth="1"/>
    <col min="2819" max="2819" width="42.85546875" style="121" customWidth="1"/>
    <col min="2820" max="2820" width="10.42578125" style="121"/>
    <col min="2821" max="2821" width="9.28515625" style="121" customWidth="1"/>
    <col min="2822" max="2822" width="15.5703125" style="121" customWidth="1"/>
    <col min="2823" max="2823" width="16.42578125" style="121" bestFit="1" customWidth="1"/>
    <col min="2824" max="2824" width="63.140625" style="121" bestFit="1" customWidth="1"/>
    <col min="2825" max="2825" width="26.28515625" style="121" customWidth="1"/>
    <col min="2826" max="3072" width="10.42578125" style="121"/>
    <col min="3073" max="3073" width="4.42578125" style="121" customWidth="1"/>
    <col min="3074" max="3074" width="7.42578125" style="121" customWidth="1"/>
    <col min="3075" max="3075" width="42.85546875" style="121" customWidth="1"/>
    <col min="3076" max="3076" width="10.42578125" style="121"/>
    <col min="3077" max="3077" width="9.28515625" style="121" customWidth="1"/>
    <col min="3078" max="3078" width="15.5703125" style="121" customWidth="1"/>
    <col min="3079" max="3079" width="16.42578125" style="121" bestFit="1" customWidth="1"/>
    <col min="3080" max="3080" width="63.140625" style="121" bestFit="1" customWidth="1"/>
    <col min="3081" max="3081" width="26.28515625" style="121" customWidth="1"/>
    <col min="3082" max="3328" width="10.42578125" style="121"/>
    <col min="3329" max="3329" width="4.42578125" style="121" customWidth="1"/>
    <col min="3330" max="3330" width="7.42578125" style="121" customWidth="1"/>
    <col min="3331" max="3331" width="42.85546875" style="121" customWidth="1"/>
    <col min="3332" max="3332" width="10.42578125" style="121"/>
    <col min="3333" max="3333" width="9.28515625" style="121" customWidth="1"/>
    <col min="3334" max="3334" width="15.5703125" style="121" customWidth="1"/>
    <col min="3335" max="3335" width="16.42578125" style="121" bestFit="1" customWidth="1"/>
    <col min="3336" max="3336" width="63.140625" style="121" bestFit="1" customWidth="1"/>
    <col min="3337" max="3337" width="26.28515625" style="121" customWidth="1"/>
    <col min="3338" max="3584" width="10.42578125" style="121"/>
    <col min="3585" max="3585" width="4.42578125" style="121" customWidth="1"/>
    <col min="3586" max="3586" width="7.42578125" style="121" customWidth="1"/>
    <col min="3587" max="3587" width="42.85546875" style="121" customWidth="1"/>
    <col min="3588" max="3588" width="10.42578125" style="121"/>
    <col min="3589" max="3589" width="9.28515625" style="121" customWidth="1"/>
    <col min="3590" max="3590" width="15.5703125" style="121" customWidth="1"/>
    <col min="3591" max="3591" width="16.42578125" style="121" bestFit="1" customWidth="1"/>
    <col min="3592" max="3592" width="63.140625" style="121" bestFit="1" customWidth="1"/>
    <col min="3593" max="3593" width="26.28515625" style="121" customWidth="1"/>
    <col min="3594" max="3840" width="10.42578125" style="121"/>
    <col min="3841" max="3841" width="4.42578125" style="121" customWidth="1"/>
    <col min="3842" max="3842" width="7.42578125" style="121" customWidth="1"/>
    <col min="3843" max="3843" width="42.85546875" style="121" customWidth="1"/>
    <col min="3844" max="3844" width="10.42578125" style="121"/>
    <col min="3845" max="3845" width="9.28515625" style="121" customWidth="1"/>
    <col min="3846" max="3846" width="15.5703125" style="121" customWidth="1"/>
    <col min="3847" max="3847" width="16.42578125" style="121" bestFit="1" customWidth="1"/>
    <col min="3848" max="3848" width="63.140625" style="121" bestFit="1" customWidth="1"/>
    <col min="3849" max="3849" width="26.28515625" style="121" customWidth="1"/>
    <col min="3850" max="4096" width="10.42578125" style="121"/>
    <col min="4097" max="4097" width="4.42578125" style="121" customWidth="1"/>
    <col min="4098" max="4098" width="7.42578125" style="121" customWidth="1"/>
    <col min="4099" max="4099" width="42.85546875" style="121" customWidth="1"/>
    <col min="4100" max="4100" width="10.42578125" style="121"/>
    <col min="4101" max="4101" width="9.28515625" style="121" customWidth="1"/>
    <col min="4102" max="4102" width="15.5703125" style="121" customWidth="1"/>
    <col min="4103" max="4103" width="16.42578125" style="121" bestFit="1" customWidth="1"/>
    <col min="4104" max="4104" width="63.140625" style="121" bestFit="1" customWidth="1"/>
    <col min="4105" max="4105" width="26.28515625" style="121" customWidth="1"/>
    <col min="4106" max="4352" width="10.42578125" style="121"/>
    <col min="4353" max="4353" width="4.42578125" style="121" customWidth="1"/>
    <col min="4354" max="4354" width="7.42578125" style="121" customWidth="1"/>
    <col min="4355" max="4355" width="42.85546875" style="121" customWidth="1"/>
    <col min="4356" max="4356" width="10.42578125" style="121"/>
    <col min="4357" max="4357" width="9.28515625" style="121" customWidth="1"/>
    <col min="4358" max="4358" width="15.5703125" style="121" customWidth="1"/>
    <col min="4359" max="4359" width="16.42578125" style="121" bestFit="1" customWidth="1"/>
    <col min="4360" max="4360" width="63.140625" style="121" bestFit="1" customWidth="1"/>
    <col min="4361" max="4361" width="26.28515625" style="121" customWidth="1"/>
    <col min="4362" max="4608" width="10.42578125" style="121"/>
    <col min="4609" max="4609" width="4.42578125" style="121" customWidth="1"/>
    <col min="4610" max="4610" width="7.42578125" style="121" customWidth="1"/>
    <col min="4611" max="4611" width="42.85546875" style="121" customWidth="1"/>
    <col min="4612" max="4612" width="10.42578125" style="121"/>
    <col min="4613" max="4613" width="9.28515625" style="121" customWidth="1"/>
    <col min="4614" max="4614" width="15.5703125" style="121" customWidth="1"/>
    <col min="4615" max="4615" width="16.42578125" style="121" bestFit="1" customWidth="1"/>
    <col min="4616" max="4616" width="63.140625" style="121" bestFit="1" customWidth="1"/>
    <col min="4617" max="4617" width="26.28515625" style="121" customWidth="1"/>
    <col min="4618" max="4864" width="10.42578125" style="121"/>
    <col min="4865" max="4865" width="4.42578125" style="121" customWidth="1"/>
    <col min="4866" max="4866" width="7.42578125" style="121" customWidth="1"/>
    <col min="4867" max="4867" width="42.85546875" style="121" customWidth="1"/>
    <col min="4868" max="4868" width="10.42578125" style="121"/>
    <col min="4869" max="4869" width="9.28515625" style="121" customWidth="1"/>
    <col min="4870" max="4870" width="15.5703125" style="121" customWidth="1"/>
    <col min="4871" max="4871" width="16.42578125" style="121" bestFit="1" customWidth="1"/>
    <col min="4872" max="4872" width="63.140625" style="121" bestFit="1" customWidth="1"/>
    <col min="4873" max="4873" width="26.28515625" style="121" customWidth="1"/>
    <col min="4874" max="5120" width="10.42578125" style="121"/>
    <col min="5121" max="5121" width="4.42578125" style="121" customWidth="1"/>
    <col min="5122" max="5122" width="7.42578125" style="121" customWidth="1"/>
    <col min="5123" max="5123" width="42.85546875" style="121" customWidth="1"/>
    <col min="5124" max="5124" width="10.42578125" style="121"/>
    <col min="5125" max="5125" width="9.28515625" style="121" customWidth="1"/>
    <col min="5126" max="5126" width="15.5703125" style="121" customWidth="1"/>
    <col min="5127" max="5127" width="16.42578125" style="121" bestFit="1" customWidth="1"/>
    <col min="5128" max="5128" width="63.140625" style="121" bestFit="1" customWidth="1"/>
    <col min="5129" max="5129" width="26.28515625" style="121" customWidth="1"/>
    <col min="5130" max="5376" width="10.42578125" style="121"/>
    <col min="5377" max="5377" width="4.42578125" style="121" customWidth="1"/>
    <col min="5378" max="5378" width="7.42578125" style="121" customWidth="1"/>
    <col min="5379" max="5379" width="42.85546875" style="121" customWidth="1"/>
    <col min="5380" max="5380" width="10.42578125" style="121"/>
    <col min="5381" max="5381" width="9.28515625" style="121" customWidth="1"/>
    <col min="5382" max="5382" width="15.5703125" style="121" customWidth="1"/>
    <col min="5383" max="5383" width="16.42578125" style="121" bestFit="1" customWidth="1"/>
    <col min="5384" max="5384" width="63.140625" style="121" bestFit="1" customWidth="1"/>
    <col min="5385" max="5385" width="26.28515625" style="121" customWidth="1"/>
    <col min="5386" max="5632" width="10.42578125" style="121"/>
    <col min="5633" max="5633" width="4.42578125" style="121" customWidth="1"/>
    <col min="5634" max="5634" width="7.42578125" style="121" customWidth="1"/>
    <col min="5635" max="5635" width="42.85546875" style="121" customWidth="1"/>
    <col min="5636" max="5636" width="10.42578125" style="121"/>
    <col min="5637" max="5637" width="9.28515625" style="121" customWidth="1"/>
    <col min="5638" max="5638" width="15.5703125" style="121" customWidth="1"/>
    <col min="5639" max="5639" width="16.42578125" style="121" bestFit="1" customWidth="1"/>
    <col min="5640" max="5640" width="63.140625" style="121" bestFit="1" customWidth="1"/>
    <col min="5641" max="5641" width="26.28515625" style="121" customWidth="1"/>
    <col min="5642" max="5888" width="10.42578125" style="121"/>
    <col min="5889" max="5889" width="4.42578125" style="121" customWidth="1"/>
    <col min="5890" max="5890" width="7.42578125" style="121" customWidth="1"/>
    <col min="5891" max="5891" width="42.85546875" style="121" customWidth="1"/>
    <col min="5892" max="5892" width="10.42578125" style="121"/>
    <col min="5893" max="5893" width="9.28515625" style="121" customWidth="1"/>
    <col min="5894" max="5894" width="15.5703125" style="121" customWidth="1"/>
    <col min="5895" max="5895" width="16.42578125" style="121" bestFit="1" customWidth="1"/>
    <col min="5896" max="5896" width="63.140625" style="121" bestFit="1" customWidth="1"/>
    <col min="5897" max="5897" width="26.28515625" style="121" customWidth="1"/>
    <col min="5898" max="6144" width="10.42578125" style="121"/>
    <col min="6145" max="6145" width="4.42578125" style="121" customWidth="1"/>
    <col min="6146" max="6146" width="7.42578125" style="121" customWidth="1"/>
    <col min="6147" max="6147" width="42.85546875" style="121" customWidth="1"/>
    <col min="6148" max="6148" width="10.42578125" style="121"/>
    <col min="6149" max="6149" width="9.28515625" style="121" customWidth="1"/>
    <col min="6150" max="6150" width="15.5703125" style="121" customWidth="1"/>
    <col min="6151" max="6151" width="16.42578125" style="121" bestFit="1" customWidth="1"/>
    <col min="6152" max="6152" width="63.140625" style="121" bestFit="1" customWidth="1"/>
    <col min="6153" max="6153" width="26.28515625" style="121" customWidth="1"/>
    <col min="6154" max="6400" width="10.42578125" style="121"/>
    <col min="6401" max="6401" width="4.42578125" style="121" customWidth="1"/>
    <col min="6402" max="6402" width="7.42578125" style="121" customWidth="1"/>
    <col min="6403" max="6403" width="42.85546875" style="121" customWidth="1"/>
    <col min="6404" max="6404" width="10.42578125" style="121"/>
    <col min="6405" max="6405" width="9.28515625" style="121" customWidth="1"/>
    <col min="6406" max="6406" width="15.5703125" style="121" customWidth="1"/>
    <col min="6407" max="6407" width="16.42578125" style="121" bestFit="1" customWidth="1"/>
    <col min="6408" max="6408" width="63.140625" style="121" bestFit="1" customWidth="1"/>
    <col min="6409" max="6409" width="26.28515625" style="121" customWidth="1"/>
    <col min="6410" max="6656" width="10.42578125" style="121"/>
    <col min="6657" max="6657" width="4.42578125" style="121" customWidth="1"/>
    <col min="6658" max="6658" width="7.42578125" style="121" customWidth="1"/>
    <col min="6659" max="6659" width="42.85546875" style="121" customWidth="1"/>
    <col min="6660" max="6660" width="10.42578125" style="121"/>
    <col min="6661" max="6661" width="9.28515625" style="121" customWidth="1"/>
    <col min="6662" max="6662" width="15.5703125" style="121" customWidth="1"/>
    <col min="6663" max="6663" width="16.42578125" style="121" bestFit="1" customWidth="1"/>
    <col min="6664" max="6664" width="63.140625" style="121" bestFit="1" customWidth="1"/>
    <col min="6665" max="6665" width="26.28515625" style="121" customWidth="1"/>
    <col min="6666" max="6912" width="10.42578125" style="121"/>
    <col min="6913" max="6913" width="4.42578125" style="121" customWidth="1"/>
    <col min="6914" max="6914" width="7.42578125" style="121" customWidth="1"/>
    <col min="6915" max="6915" width="42.85546875" style="121" customWidth="1"/>
    <col min="6916" max="6916" width="10.42578125" style="121"/>
    <col min="6917" max="6917" width="9.28515625" style="121" customWidth="1"/>
    <col min="6918" max="6918" width="15.5703125" style="121" customWidth="1"/>
    <col min="6919" max="6919" width="16.42578125" style="121" bestFit="1" customWidth="1"/>
    <col min="6920" max="6920" width="63.140625" style="121" bestFit="1" customWidth="1"/>
    <col min="6921" max="6921" width="26.28515625" style="121" customWidth="1"/>
    <col min="6922" max="7168" width="10.42578125" style="121"/>
    <col min="7169" max="7169" width="4.42578125" style="121" customWidth="1"/>
    <col min="7170" max="7170" width="7.42578125" style="121" customWidth="1"/>
    <col min="7171" max="7171" width="42.85546875" style="121" customWidth="1"/>
    <col min="7172" max="7172" width="10.42578125" style="121"/>
    <col min="7173" max="7173" width="9.28515625" style="121" customWidth="1"/>
    <col min="7174" max="7174" width="15.5703125" style="121" customWidth="1"/>
    <col min="7175" max="7175" width="16.42578125" style="121" bestFit="1" customWidth="1"/>
    <col min="7176" max="7176" width="63.140625" style="121" bestFit="1" customWidth="1"/>
    <col min="7177" max="7177" width="26.28515625" style="121" customWidth="1"/>
    <col min="7178" max="7424" width="10.42578125" style="121"/>
    <col min="7425" max="7425" width="4.42578125" style="121" customWidth="1"/>
    <col min="7426" max="7426" width="7.42578125" style="121" customWidth="1"/>
    <col min="7427" max="7427" width="42.85546875" style="121" customWidth="1"/>
    <col min="7428" max="7428" width="10.42578125" style="121"/>
    <col min="7429" max="7429" width="9.28515625" style="121" customWidth="1"/>
    <col min="7430" max="7430" width="15.5703125" style="121" customWidth="1"/>
    <col min="7431" max="7431" width="16.42578125" style="121" bestFit="1" customWidth="1"/>
    <col min="7432" max="7432" width="63.140625" style="121" bestFit="1" customWidth="1"/>
    <col min="7433" max="7433" width="26.28515625" style="121" customWidth="1"/>
    <col min="7434" max="7680" width="10.42578125" style="121"/>
    <col min="7681" max="7681" width="4.42578125" style="121" customWidth="1"/>
    <col min="7682" max="7682" width="7.42578125" style="121" customWidth="1"/>
    <col min="7683" max="7683" width="42.85546875" style="121" customWidth="1"/>
    <col min="7684" max="7684" width="10.42578125" style="121"/>
    <col min="7685" max="7685" width="9.28515625" style="121" customWidth="1"/>
    <col min="7686" max="7686" width="15.5703125" style="121" customWidth="1"/>
    <col min="7687" max="7687" width="16.42578125" style="121" bestFit="1" customWidth="1"/>
    <col min="7688" max="7688" width="63.140625" style="121" bestFit="1" customWidth="1"/>
    <col min="7689" max="7689" width="26.28515625" style="121" customWidth="1"/>
    <col min="7690" max="7936" width="10.42578125" style="121"/>
    <col min="7937" max="7937" width="4.42578125" style="121" customWidth="1"/>
    <col min="7938" max="7938" width="7.42578125" style="121" customWidth="1"/>
    <col min="7939" max="7939" width="42.85546875" style="121" customWidth="1"/>
    <col min="7940" max="7940" width="10.42578125" style="121"/>
    <col min="7941" max="7941" width="9.28515625" style="121" customWidth="1"/>
    <col min="7942" max="7942" width="15.5703125" style="121" customWidth="1"/>
    <col min="7943" max="7943" width="16.42578125" style="121" bestFit="1" customWidth="1"/>
    <col min="7944" max="7944" width="63.140625" style="121" bestFit="1" customWidth="1"/>
    <col min="7945" max="7945" width="26.28515625" style="121" customWidth="1"/>
    <col min="7946" max="8192" width="10.42578125" style="121"/>
    <col min="8193" max="8193" width="4.42578125" style="121" customWidth="1"/>
    <col min="8194" max="8194" width="7.42578125" style="121" customWidth="1"/>
    <col min="8195" max="8195" width="42.85546875" style="121" customWidth="1"/>
    <col min="8196" max="8196" width="10.42578125" style="121"/>
    <col min="8197" max="8197" width="9.28515625" style="121" customWidth="1"/>
    <col min="8198" max="8198" width="15.5703125" style="121" customWidth="1"/>
    <col min="8199" max="8199" width="16.42578125" style="121" bestFit="1" customWidth="1"/>
    <col min="8200" max="8200" width="63.140625" style="121" bestFit="1" customWidth="1"/>
    <col min="8201" max="8201" width="26.28515625" style="121" customWidth="1"/>
    <col min="8202" max="8448" width="10.42578125" style="121"/>
    <col min="8449" max="8449" width="4.42578125" style="121" customWidth="1"/>
    <col min="8450" max="8450" width="7.42578125" style="121" customWidth="1"/>
    <col min="8451" max="8451" width="42.85546875" style="121" customWidth="1"/>
    <col min="8452" max="8452" width="10.42578125" style="121"/>
    <col min="8453" max="8453" width="9.28515625" style="121" customWidth="1"/>
    <col min="8454" max="8454" width="15.5703125" style="121" customWidth="1"/>
    <col min="8455" max="8455" width="16.42578125" style="121" bestFit="1" customWidth="1"/>
    <col min="8456" max="8456" width="63.140625" style="121" bestFit="1" customWidth="1"/>
    <col min="8457" max="8457" width="26.28515625" style="121" customWidth="1"/>
    <col min="8458" max="8704" width="10.42578125" style="121"/>
    <col min="8705" max="8705" width="4.42578125" style="121" customWidth="1"/>
    <col min="8706" max="8706" width="7.42578125" style="121" customWidth="1"/>
    <col min="8707" max="8707" width="42.85546875" style="121" customWidth="1"/>
    <col min="8708" max="8708" width="10.42578125" style="121"/>
    <col min="8709" max="8709" width="9.28515625" style="121" customWidth="1"/>
    <col min="8710" max="8710" width="15.5703125" style="121" customWidth="1"/>
    <col min="8711" max="8711" width="16.42578125" style="121" bestFit="1" customWidth="1"/>
    <col min="8712" max="8712" width="63.140625" style="121" bestFit="1" customWidth="1"/>
    <col min="8713" max="8713" width="26.28515625" style="121" customWidth="1"/>
    <col min="8714" max="8960" width="10.42578125" style="121"/>
    <col min="8961" max="8961" width="4.42578125" style="121" customWidth="1"/>
    <col min="8962" max="8962" width="7.42578125" style="121" customWidth="1"/>
    <col min="8963" max="8963" width="42.85546875" style="121" customWidth="1"/>
    <col min="8964" max="8964" width="10.42578125" style="121"/>
    <col min="8965" max="8965" width="9.28515625" style="121" customWidth="1"/>
    <col min="8966" max="8966" width="15.5703125" style="121" customWidth="1"/>
    <col min="8967" max="8967" width="16.42578125" style="121" bestFit="1" customWidth="1"/>
    <col min="8968" max="8968" width="63.140625" style="121" bestFit="1" customWidth="1"/>
    <col min="8969" max="8969" width="26.28515625" style="121" customWidth="1"/>
    <col min="8970" max="9216" width="10.42578125" style="121"/>
    <col min="9217" max="9217" width="4.42578125" style="121" customWidth="1"/>
    <col min="9218" max="9218" width="7.42578125" style="121" customWidth="1"/>
    <col min="9219" max="9219" width="42.85546875" style="121" customWidth="1"/>
    <col min="9220" max="9220" width="10.42578125" style="121"/>
    <col min="9221" max="9221" width="9.28515625" style="121" customWidth="1"/>
    <col min="9222" max="9222" width="15.5703125" style="121" customWidth="1"/>
    <col min="9223" max="9223" width="16.42578125" style="121" bestFit="1" customWidth="1"/>
    <col min="9224" max="9224" width="63.140625" style="121" bestFit="1" customWidth="1"/>
    <col min="9225" max="9225" width="26.28515625" style="121" customWidth="1"/>
    <col min="9226" max="9472" width="10.42578125" style="121"/>
    <col min="9473" max="9473" width="4.42578125" style="121" customWidth="1"/>
    <col min="9474" max="9474" width="7.42578125" style="121" customWidth="1"/>
    <col min="9475" max="9475" width="42.85546875" style="121" customWidth="1"/>
    <col min="9476" max="9476" width="10.42578125" style="121"/>
    <col min="9477" max="9477" width="9.28515625" style="121" customWidth="1"/>
    <col min="9478" max="9478" width="15.5703125" style="121" customWidth="1"/>
    <col min="9479" max="9479" width="16.42578125" style="121" bestFit="1" customWidth="1"/>
    <col min="9480" max="9480" width="63.140625" style="121" bestFit="1" customWidth="1"/>
    <col min="9481" max="9481" width="26.28515625" style="121" customWidth="1"/>
    <col min="9482" max="9728" width="10.42578125" style="121"/>
    <col min="9729" max="9729" width="4.42578125" style="121" customWidth="1"/>
    <col min="9730" max="9730" width="7.42578125" style="121" customWidth="1"/>
    <col min="9731" max="9731" width="42.85546875" style="121" customWidth="1"/>
    <col min="9732" max="9732" width="10.42578125" style="121"/>
    <col min="9733" max="9733" width="9.28515625" style="121" customWidth="1"/>
    <col min="9734" max="9734" width="15.5703125" style="121" customWidth="1"/>
    <col min="9735" max="9735" width="16.42578125" style="121" bestFit="1" customWidth="1"/>
    <col min="9736" max="9736" width="63.140625" style="121" bestFit="1" customWidth="1"/>
    <col min="9737" max="9737" width="26.28515625" style="121" customWidth="1"/>
    <col min="9738" max="9984" width="10.42578125" style="121"/>
    <col min="9985" max="9985" width="4.42578125" style="121" customWidth="1"/>
    <col min="9986" max="9986" width="7.42578125" style="121" customWidth="1"/>
    <col min="9987" max="9987" width="42.85546875" style="121" customWidth="1"/>
    <col min="9988" max="9988" width="10.42578125" style="121"/>
    <col min="9989" max="9989" width="9.28515625" style="121" customWidth="1"/>
    <col min="9990" max="9990" width="15.5703125" style="121" customWidth="1"/>
    <col min="9991" max="9991" width="16.42578125" style="121" bestFit="1" customWidth="1"/>
    <col min="9992" max="9992" width="63.140625" style="121" bestFit="1" customWidth="1"/>
    <col min="9993" max="9993" width="26.28515625" style="121" customWidth="1"/>
    <col min="9994" max="10240" width="10.42578125" style="121"/>
    <col min="10241" max="10241" width="4.42578125" style="121" customWidth="1"/>
    <col min="10242" max="10242" width="7.42578125" style="121" customWidth="1"/>
    <col min="10243" max="10243" width="42.85546875" style="121" customWidth="1"/>
    <col min="10244" max="10244" width="10.42578125" style="121"/>
    <col min="10245" max="10245" width="9.28515625" style="121" customWidth="1"/>
    <col min="10246" max="10246" width="15.5703125" style="121" customWidth="1"/>
    <col min="10247" max="10247" width="16.42578125" style="121" bestFit="1" customWidth="1"/>
    <col min="10248" max="10248" width="63.140625" style="121" bestFit="1" customWidth="1"/>
    <col min="10249" max="10249" width="26.28515625" style="121" customWidth="1"/>
    <col min="10250" max="10496" width="10.42578125" style="121"/>
    <col min="10497" max="10497" width="4.42578125" style="121" customWidth="1"/>
    <col min="10498" max="10498" width="7.42578125" style="121" customWidth="1"/>
    <col min="10499" max="10499" width="42.85546875" style="121" customWidth="1"/>
    <col min="10500" max="10500" width="10.42578125" style="121"/>
    <col min="10501" max="10501" width="9.28515625" style="121" customWidth="1"/>
    <col min="10502" max="10502" width="15.5703125" style="121" customWidth="1"/>
    <col min="10503" max="10503" width="16.42578125" style="121" bestFit="1" customWidth="1"/>
    <col min="10504" max="10504" width="63.140625" style="121" bestFit="1" customWidth="1"/>
    <col min="10505" max="10505" width="26.28515625" style="121" customWidth="1"/>
    <col min="10506" max="10752" width="10.42578125" style="121"/>
    <col min="10753" max="10753" width="4.42578125" style="121" customWidth="1"/>
    <col min="10754" max="10754" width="7.42578125" style="121" customWidth="1"/>
    <col min="10755" max="10755" width="42.85546875" style="121" customWidth="1"/>
    <col min="10756" max="10756" width="10.42578125" style="121"/>
    <col min="10757" max="10757" width="9.28515625" style="121" customWidth="1"/>
    <col min="10758" max="10758" width="15.5703125" style="121" customWidth="1"/>
    <col min="10759" max="10759" width="16.42578125" style="121" bestFit="1" customWidth="1"/>
    <col min="10760" max="10760" width="63.140625" style="121" bestFit="1" customWidth="1"/>
    <col min="10761" max="10761" width="26.28515625" style="121" customWidth="1"/>
    <col min="10762" max="11008" width="10.42578125" style="121"/>
    <col min="11009" max="11009" width="4.42578125" style="121" customWidth="1"/>
    <col min="11010" max="11010" width="7.42578125" style="121" customWidth="1"/>
    <col min="11011" max="11011" width="42.85546875" style="121" customWidth="1"/>
    <col min="11012" max="11012" width="10.42578125" style="121"/>
    <col min="11013" max="11013" width="9.28515625" style="121" customWidth="1"/>
    <col min="11014" max="11014" width="15.5703125" style="121" customWidth="1"/>
    <col min="11015" max="11015" width="16.42578125" style="121" bestFit="1" customWidth="1"/>
    <col min="11016" max="11016" width="63.140625" style="121" bestFit="1" customWidth="1"/>
    <col min="11017" max="11017" width="26.28515625" style="121" customWidth="1"/>
    <col min="11018" max="11264" width="10.42578125" style="121"/>
    <col min="11265" max="11265" width="4.42578125" style="121" customWidth="1"/>
    <col min="11266" max="11266" width="7.42578125" style="121" customWidth="1"/>
    <col min="11267" max="11267" width="42.85546875" style="121" customWidth="1"/>
    <col min="11268" max="11268" width="10.42578125" style="121"/>
    <col min="11269" max="11269" width="9.28515625" style="121" customWidth="1"/>
    <col min="11270" max="11270" width="15.5703125" style="121" customWidth="1"/>
    <col min="11271" max="11271" width="16.42578125" style="121" bestFit="1" customWidth="1"/>
    <col min="11272" max="11272" width="63.140625" style="121" bestFit="1" customWidth="1"/>
    <col min="11273" max="11273" width="26.28515625" style="121" customWidth="1"/>
    <col min="11274" max="11520" width="10.42578125" style="121"/>
    <col min="11521" max="11521" width="4.42578125" style="121" customWidth="1"/>
    <col min="11522" max="11522" width="7.42578125" style="121" customWidth="1"/>
    <col min="11523" max="11523" width="42.85546875" style="121" customWidth="1"/>
    <col min="11524" max="11524" width="10.42578125" style="121"/>
    <col min="11525" max="11525" width="9.28515625" style="121" customWidth="1"/>
    <col min="11526" max="11526" width="15.5703125" style="121" customWidth="1"/>
    <col min="11527" max="11527" width="16.42578125" style="121" bestFit="1" customWidth="1"/>
    <col min="11528" max="11528" width="63.140625" style="121" bestFit="1" customWidth="1"/>
    <col min="11529" max="11529" width="26.28515625" style="121" customWidth="1"/>
    <col min="11530" max="11776" width="10.42578125" style="121"/>
    <col min="11777" max="11777" width="4.42578125" style="121" customWidth="1"/>
    <col min="11778" max="11778" width="7.42578125" style="121" customWidth="1"/>
    <col min="11779" max="11779" width="42.85546875" style="121" customWidth="1"/>
    <col min="11780" max="11780" width="10.42578125" style="121"/>
    <col min="11781" max="11781" width="9.28515625" style="121" customWidth="1"/>
    <col min="11782" max="11782" width="15.5703125" style="121" customWidth="1"/>
    <col min="11783" max="11783" width="16.42578125" style="121" bestFit="1" customWidth="1"/>
    <col min="11784" max="11784" width="63.140625" style="121" bestFit="1" customWidth="1"/>
    <col min="11785" max="11785" width="26.28515625" style="121" customWidth="1"/>
    <col min="11786" max="12032" width="10.42578125" style="121"/>
    <col min="12033" max="12033" width="4.42578125" style="121" customWidth="1"/>
    <col min="12034" max="12034" width="7.42578125" style="121" customWidth="1"/>
    <col min="12035" max="12035" width="42.85546875" style="121" customWidth="1"/>
    <col min="12036" max="12036" width="10.42578125" style="121"/>
    <col min="12037" max="12037" width="9.28515625" style="121" customWidth="1"/>
    <col min="12038" max="12038" width="15.5703125" style="121" customWidth="1"/>
    <col min="12039" max="12039" width="16.42578125" style="121" bestFit="1" customWidth="1"/>
    <col min="12040" max="12040" width="63.140625" style="121" bestFit="1" customWidth="1"/>
    <col min="12041" max="12041" width="26.28515625" style="121" customWidth="1"/>
    <col min="12042" max="12288" width="10.42578125" style="121"/>
    <col min="12289" max="12289" width="4.42578125" style="121" customWidth="1"/>
    <col min="12290" max="12290" width="7.42578125" style="121" customWidth="1"/>
    <col min="12291" max="12291" width="42.85546875" style="121" customWidth="1"/>
    <col min="12292" max="12292" width="10.42578125" style="121"/>
    <col min="12293" max="12293" width="9.28515625" style="121" customWidth="1"/>
    <col min="12294" max="12294" width="15.5703125" style="121" customWidth="1"/>
    <col min="12295" max="12295" width="16.42578125" style="121" bestFit="1" customWidth="1"/>
    <col min="12296" max="12296" width="63.140625" style="121" bestFit="1" customWidth="1"/>
    <col min="12297" max="12297" width="26.28515625" style="121" customWidth="1"/>
    <col min="12298" max="12544" width="10.42578125" style="121"/>
    <col min="12545" max="12545" width="4.42578125" style="121" customWidth="1"/>
    <col min="12546" max="12546" width="7.42578125" style="121" customWidth="1"/>
    <col min="12547" max="12547" width="42.85546875" style="121" customWidth="1"/>
    <col min="12548" max="12548" width="10.42578125" style="121"/>
    <col min="12549" max="12549" width="9.28515625" style="121" customWidth="1"/>
    <col min="12550" max="12550" width="15.5703125" style="121" customWidth="1"/>
    <col min="12551" max="12551" width="16.42578125" style="121" bestFit="1" customWidth="1"/>
    <col min="12552" max="12552" width="63.140625" style="121" bestFit="1" customWidth="1"/>
    <col min="12553" max="12553" width="26.28515625" style="121" customWidth="1"/>
    <col min="12554" max="12800" width="10.42578125" style="121"/>
    <col min="12801" max="12801" width="4.42578125" style="121" customWidth="1"/>
    <col min="12802" max="12802" width="7.42578125" style="121" customWidth="1"/>
    <col min="12803" max="12803" width="42.85546875" style="121" customWidth="1"/>
    <col min="12804" max="12804" width="10.42578125" style="121"/>
    <col min="12805" max="12805" width="9.28515625" style="121" customWidth="1"/>
    <col min="12806" max="12806" width="15.5703125" style="121" customWidth="1"/>
    <col min="12807" max="12807" width="16.42578125" style="121" bestFit="1" customWidth="1"/>
    <col min="12808" max="12808" width="63.140625" style="121" bestFit="1" customWidth="1"/>
    <col min="12809" max="12809" width="26.28515625" style="121" customWidth="1"/>
    <col min="12810" max="13056" width="10.42578125" style="121"/>
    <col min="13057" max="13057" width="4.42578125" style="121" customWidth="1"/>
    <col min="13058" max="13058" width="7.42578125" style="121" customWidth="1"/>
    <col min="13059" max="13059" width="42.85546875" style="121" customWidth="1"/>
    <col min="13060" max="13060" width="10.42578125" style="121"/>
    <col min="13061" max="13061" width="9.28515625" style="121" customWidth="1"/>
    <col min="13062" max="13062" width="15.5703125" style="121" customWidth="1"/>
    <col min="13063" max="13063" width="16.42578125" style="121" bestFit="1" customWidth="1"/>
    <col min="13064" max="13064" width="63.140625" style="121" bestFit="1" customWidth="1"/>
    <col min="13065" max="13065" width="26.28515625" style="121" customWidth="1"/>
    <col min="13066" max="13312" width="10.42578125" style="121"/>
    <col min="13313" max="13313" width="4.42578125" style="121" customWidth="1"/>
    <col min="13314" max="13314" width="7.42578125" style="121" customWidth="1"/>
    <col min="13315" max="13315" width="42.85546875" style="121" customWidth="1"/>
    <col min="13316" max="13316" width="10.42578125" style="121"/>
    <col min="13317" max="13317" width="9.28515625" style="121" customWidth="1"/>
    <col min="13318" max="13318" width="15.5703125" style="121" customWidth="1"/>
    <col min="13319" max="13319" width="16.42578125" style="121" bestFit="1" customWidth="1"/>
    <col min="13320" max="13320" width="63.140625" style="121" bestFit="1" customWidth="1"/>
    <col min="13321" max="13321" width="26.28515625" style="121" customWidth="1"/>
    <col min="13322" max="13568" width="10.42578125" style="121"/>
    <col min="13569" max="13569" width="4.42578125" style="121" customWidth="1"/>
    <col min="13570" max="13570" width="7.42578125" style="121" customWidth="1"/>
    <col min="13571" max="13571" width="42.85546875" style="121" customWidth="1"/>
    <col min="13572" max="13572" width="10.42578125" style="121"/>
    <col min="13573" max="13573" width="9.28515625" style="121" customWidth="1"/>
    <col min="13574" max="13574" width="15.5703125" style="121" customWidth="1"/>
    <col min="13575" max="13575" width="16.42578125" style="121" bestFit="1" customWidth="1"/>
    <col min="13576" max="13576" width="63.140625" style="121" bestFit="1" customWidth="1"/>
    <col min="13577" max="13577" width="26.28515625" style="121" customWidth="1"/>
    <col min="13578" max="13824" width="10.42578125" style="121"/>
    <col min="13825" max="13825" width="4.42578125" style="121" customWidth="1"/>
    <col min="13826" max="13826" width="7.42578125" style="121" customWidth="1"/>
    <col min="13827" max="13827" width="42.85546875" style="121" customWidth="1"/>
    <col min="13828" max="13828" width="10.42578125" style="121"/>
    <col min="13829" max="13829" width="9.28515625" style="121" customWidth="1"/>
    <col min="13830" max="13830" width="15.5703125" style="121" customWidth="1"/>
    <col min="13831" max="13831" width="16.42578125" style="121" bestFit="1" customWidth="1"/>
    <col min="13832" max="13832" width="63.140625" style="121" bestFit="1" customWidth="1"/>
    <col min="13833" max="13833" width="26.28515625" style="121" customWidth="1"/>
    <col min="13834" max="14080" width="10.42578125" style="121"/>
    <col min="14081" max="14081" width="4.42578125" style="121" customWidth="1"/>
    <col min="14082" max="14082" width="7.42578125" style="121" customWidth="1"/>
    <col min="14083" max="14083" width="42.85546875" style="121" customWidth="1"/>
    <col min="14084" max="14084" width="10.42578125" style="121"/>
    <col min="14085" max="14085" width="9.28515625" style="121" customWidth="1"/>
    <col min="14086" max="14086" width="15.5703125" style="121" customWidth="1"/>
    <col min="14087" max="14087" width="16.42578125" style="121" bestFit="1" customWidth="1"/>
    <col min="14088" max="14088" width="63.140625" style="121" bestFit="1" customWidth="1"/>
    <col min="14089" max="14089" width="26.28515625" style="121" customWidth="1"/>
    <col min="14090" max="14336" width="10.42578125" style="121"/>
    <col min="14337" max="14337" width="4.42578125" style="121" customWidth="1"/>
    <col min="14338" max="14338" width="7.42578125" style="121" customWidth="1"/>
    <col min="14339" max="14339" width="42.85546875" style="121" customWidth="1"/>
    <col min="14340" max="14340" width="10.42578125" style="121"/>
    <col min="14341" max="14341" width="9.28515625" style="121" customWidth="1"/>
    <col min="14342" max="14342" width="15.5703125" style="121" customWidth="1"/>
    <col min="14343" max="14343" width="16.42578125" style="121" bestFit="1" customWidth="1"/>
    <col min="14344" max="14344" width="63.140625" style="121" bestFit="1" customWidth="1"/>
    <col min="14345" max="14345" width="26.28515625" style="121" customWidth="1"/>
    <col min="14346" max="14592" width="10.42578125" style="121"/>
    <col min="14593" max="14593" width="4.42578125" style="121" customWidth="1"/>
    <col min="14594" max="14594" width="7.42578125" style="121" customWidth="1"/>
    <col min="14595" max="14595" width="42.85546875" style="121" customWidth="1"/>
    <col min="14596" max="14596" width="10.42578125" style="121"/>
    <col min="14597" max="14597" width="9.28515625" style="121" customWidth="1"/>
    <col min="14598" max="14598" width="15.5703125" style="121" customWidth="1"/>
    <col min="14599" max="14599" width="16.42578125" style="121" bestFit="1" customWidth="1"/>
    <col min="14600" max="14600" width="63.140625" style="121" bestFit="1" customWidth="1"/>
    <col min="14601" max="14601" width="26.28515625" style="121" customWidth="1"/>
    <col min="14602" max="14848" width="10.42578125" style="121"/>
    <col min="14849" max="14849" width="4.42578125" style="121" customWidth="1"/>
    <col min="14850" max="14850" width="7.42578125" style="121" customWidth="1"/>
    <col min="14851" max="14851" width="42.85546875" style="121" customWidth="1"/>
    <col min="14852" max="14852" width="10.42578125" style="121"/>
    <col min="14853" max="14853" width="9.28515625" style="121" customWidth="1"/>
    <col min="14854" max="14854" width="15.5703125" style="121" customWidth="1"/>
    <col min="14855" max="14855" width="16.42578125" style="121" bestFit="1" customWidth="1"/>
    <col min="14856" max="14856" width="63.140625" style="121" bestFit="1" customWidth="1"/>
    <col min="14857" max="14857" width="26.28515625" style="121" customWidth="1"/>
    <col min="14858" max="15104" width="10.42578125" style="121"/>
    <col min="15105" max="15105" width="4.42578125" style="121" customWidth="1"/>
    <col min="15106" max="15106" width="7.42578125" style="121" customWidth="1"/>
    <col min="15107" max="15107" width="42.85546875" style="121" customWidth="1"/>
    <col min="15108" max="15108" width="10.42578125" style="121"/>
    <col min="15109" max="15109" width="9.28515625" style="121" customWidth="1"/>
    <col min="15110" max="15110" width="15.5703125" style="121" customWidth="1"/>
    <col min="15111" max="15111" width="16.42578125" style="121" bestFit="1" customWidth="1"/>
    <col min="15112" max="15112" width="63.140625" style="121" bestFit="1" customWidth="1"/>
    <col min="15113" max="15113" width="26.28515625" style="121" customWidth="1"/>
    <col min="15114" max="15360" width="10.42578125" style="121"/>
    <col min="15361" max="15361" width="4.42578125" style="121" customWidth="1"/>
    <col min="15362" max="15362" width="7.42578125" style="121" customWidth="1"/>
    <col min="15363" max="15363" width="42.85546875" style="121" customWidth="1"/>
    <col min="15364" max="15364" width="10.42578125" style="121"/>
    <col min="15365" max="15365" width="9.28515625" style="121" customWidth="1"/>
    <col min="15366" max="15366" width="15.5703125" style="121" customWidth="1"/>
    <col min="15367" max="15367" width="16.42578125" style="121" bestFit="1" customWidth="1"/>
    <col min="15368" max="15368" width="63.140625" style="121" bestFit="1" customWidth="1"/>
    <col min="15369" max="15369" width="26.28515625" style="121" customWidth="1"/>
    <col min="15370" max="15616" width="10.42578125" style="121"/>
    <col min="15617" max="15617" width="4.42578125" style="121" customWidth="1"/>
    <col min="15618" max="15618" width="7.42578125" style="121" customWidth="1"/>
    <col min="15619" max="15619" width="42.85546875" style="121" customWidth="1"/>
    <col min="15620" max="15620" width="10.42578125" style="121"/>
    <col min="15621" max="15621" width="9.28515625" style="121" customWidth="1"/>
    <col min="15622" max="15622" width="15.5703125" style="121" customWidth="1"/>
    <col min="15623" max="15623" width="16.42578125" style="121" bestFit="1" customWidth="1"/>
    <col min="15624" max="15624" width="63.140625" style="121" bestFit="1" customWidth="1"/>
    <col min="15625" max="15625" width="26.28515625" style="121" customWidth="1"/>
    <col min="15626" max="15872" width="10.42578125" style="121"/>
    <col min="15873" max="15873" width="4.42578125" style="121" customWidth="1"/>
    <col min="15874" max="15874" width="7.42578125" style="121" customWidth="1"/>
    <col min="15875" max="15875" width="42.85546875" style="121" customWidth="1"/>
    <col min="15876" max="15876" width="10.42578125" style="121"/>
    <col min="15877" max="15877" width="9.28515625" style="121" customWidth="1"/>
    <col min="15878" max="15878" width="15.5703125" style="121" customWidth="1"/>
    <col min="15879" max="15879" width="16.42578125" style="121" bestFit="1" customWidth="1"/>
    <col min="15880" max="15880" width="63.140625" style="121" bestFit="1" customWidth="1"/>
    <col min="15881" max="15881" width="26.28515625" style="121" customWidth="1"/>
    <col min="15882" max="16128" width="10.42578125" style="121"/>
    <col min="16129" max="16129" width="4.42578125" style="121" customWidth="1"/>
    <col min="16130" max="16130" width="7.42578125" style="121" customWidth="1"/>
    <col min="16131" max="16131" width="42.85546875" style="121" customWidth="1"/>
    <col min="16132" max="16132" width="10.42578125" style="121"/>
    <col min="16133" max="16133" width="9.28515625" style="121" customWidth="1"/>
    <col min="16134" max="16134" width="15.5703125" style="121" customWidth="1"/>
    <col min="16135" max="16135" width="16.42578125" style="121" bestFit="1" customWidth="1"/>
    <col min="16136" max="16136" width="63.140625" style="121" bestFit="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39" customFormat="1" x14ac:dyDescent="0.2">
      <c r="B4" s="1424" t="s">
        <v>7</v>
      </c>
      <c r="C4" s="1425" t="s">
        <v>1697</v>
      </c>
      <c r="D4" s="1426"/>
      <c r="E4" s="1427"/>
      <c r="F4" s="1428"/>
      <c r="G4" s="1429"/>
      <c r="H4" s="1430"/>
    </row>
    <row r="5" spans="1:12" s="139" customFormat="1" x14ac:dyDescent="0.2">
      <c r="B5" s="1431"/>
      <c r="C5" s="184"/>
      <c r="D5" s="1432"/>
      <c r="E5" s="1433"/>
      <c r="F5" s="1434"/>
      <c r="G5" s="1435"/>
      <c r="H5" s="1430"/>
    </row>
    <row r="6" spans="1:12" s="376" customFormat="1" ht="14.25" x14ac:dyDescent="0.2">
      <c r="B6" s="1424" t="s">
        <v>80</v>
      </c>
      <c r="C6" s="3292" t="s">
        <v>2118</v>
      </c>
      <c r="D6" s="3293"/>
      <c r="E6" s="3293"/>
      <c r="F6" s="3293"/>
      <c r="G6" s="1429"/>
      <c r="H6" s="1436"/>
      <c r="I6" s="378"/>
      <c r="J6" s="378"/>
      <c r="K6" s="378"/>
      <c r="L6" s="378"/>
    </row>
    <row r="7" spans="1:12" s="376" customFormat="1" ht="14.25" x14ac:dyDescent="0.2">
      <c r="B7" s="1431"/>
      <c r="C7" s="1437"/>
      <c r="D7" s="1438"/>
      <c r="E7" s="1439"/>
      <c r="F7" s="1440"/>
      <c r="G7" s="1441"/>
      <c r="H7" s="1436"/>
      <c r="I7" s="378"/>
      <c r="J7" s="378"/>
      <c r="K7" s="378"/>
      <c r="L7" s="378"/>
    </row>
    <row r="8" spans="1:12" s="139" customFormat="1" ht="15" x14ac:dyDescent="0.2">
      <c r="A8" s="140"/>
      <c r="B8" s="143" t="s">
        <v>1</v>
      </c>
      <c r="C8" s="168"/>
      <c r="D8" s="170"/>
      <c r="E8" s="170"/>
      <c r="F8" s="170"/>
      <c r="G8" s="169"/>
    </row>
    <row r="9" spans="1:12" s="139" customFormat="1" ht="15.75" x14ac:dyDescent="0.25">
      <c r="A9" s="141"/>
      <c r="B9" s="144" t="s">
        <v>2</v>
      </c>
      <c r="C9" s="171"/>
      <c r="D9" s="172"/>
      <c r="E9" s="173"/>
      <c r="F9" s="173"/>
      <c r="G9" s="172"/>
    </row>
    <row r="10" spans="1:12" s="139" customFormat="1" ht="15" x14ac:dyDescent="0.2">
      <c r="A10" s="140"/>
      <c r="B10" s="143" t="s">
        <v>3</v>
      </c>
      <c r="C10" s="168"/>
      <c r="D10" s="170"/>
      <c r="E10" s="170"/>
      <c r="F10" s="170"/>
      <c r="G10" s="169"/>
    </row>
    <row r="11" spans="1:12" s="139" customFormat="1" ht="15.75" x14ac:dyDescent="0.25">
      <c r="A11" s="141"/>
      <c r="B11" s="144" t="s">
        <v>4</v>
      </c>
      <c r="C11" s="171"/>
      <c r="D11" s="173"/>
      <c r="E11" s="173"/>
      <c r="F11" s="173"/>
      <c r="G11" s="172"/>
    </row>
    <row r="12" spans="1:12" s="376" customFormat="1" ht="14.25" x14ac:dyDescent="0.2">
      <c r="B12" s="380"/>
      <c r="C12" s="381"/>
      <c r="D12" s="382"/>
      <c r="E12" s="383"/>
      <c r="F12" s="384"/>
      <c r="G12" s="385"/>
      <c r="H12" s="1436"/>
      <c r="I12" s="378"/>
      <c r="J12" s="378"/>
      <c r="K12" s="378"/>
      <c r="L12" s="378"/>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1442">
        <f>G32</f>
        <v>0</v>
      </c>
      <c r="H15" s="569"/>
    </row>
    <row r="16" spans="1:12" s="1792" customFormat="1" ht="18.75" customHeight="1" x14ac:dyDescent="0.25">
      <c r="B16" s="1793" t="s">
        <v>12</v>
      </c>
      <c r="C16" s="1794" t="s">
        <v>109</v>
      </c>
      <c r="D16" s="1795"/>
      <c r="E16" s="1796"/>
      <c r="F16" s="1797"/>
      <c r="G16" s="1442">
        <f>G126</f>
        <v>0</v>
      </c>
      <c r="H16" s="569"/>
    </row>
    <row r="17" spans="2:9" s="1792" customFormat="1" ht="18.75" customHeight="1" x14ac:dyDescent="0.25">
      <c r="B17" s="1793" t="s">
        <v>17</v>
      </c>
      <c r="C17" s="1794" t="s">
        <v>87</v>
      </c>
      <c r="D17" s="1795"/>
      <c r="E17" s="1796"/>
      <c r="F17" s="1797"/>
      <c r="G17" s="1442">
        <f>G167</f>
        <v>0</v>
      </c>
      <c r="H17" s="569"/>
    </row>
    <row r="18" spans="2:9" s="1792" customFormat="1" ht="27.6" customHeight="1" x14ac:dyDescent="0.25">
      <c r="B18" s="1793" t="s">
        <v>18</v>
      </c>
      <c r="C18" s="1794" t="s">
        <v>2538</v>
      </c>
      <c r="D18" s="1795"/>
      <c r="E18" s="1796"/>
      <c r="F18" s="1797"/>
      <c r="G18" s="1442">
        <f>G381</f>
        <v>0</v>
      </c>
      <c r="H18" s="569"/>
    </row>
    <row r="19" spans="2:9" s="1792" customFormat="1" ht="27.6" customHeight="1" x14ac:dyDescent="0.25">
      <c r="B19" s="1793" t="s">
        <v>22</v>
      </c>
      <c r="C19" s="1794" t="s">
        <v>2539</v>
      </c>
      <c r="D19" s="1795"/>
      <c r="E19" s="1796"/>
      <c r="F19" s="1797"/>
      <c r="G19" s="1442">
        <f>G421</f>
        <v>0</v>
      </c>
      <c r="H19" s="569"/>
    </row>
    <row r="20" spans="2:9" s="1792" customFormat="1" ht="18.75" customHeight="1" x14ac:dyDescent="0.25">
      <c r="B20" s="1799"/>
      <c r="C20" s="1800" t="s">
        <v>88</v>
      </c>
      <c r="D20" s="1801"/>
      <c r="E20" s="1802"/>
      <c r="F20" s="1803"/>
      <c r="G20" s="1443">
        <f>SUM(G15:G19)</f>
        <v>0</v>
      </c>
      <c r="H20" s="569"/>
    </row>
    <row r="21" spans="2:9" s="1792" customFormat="1" ht="18.75" customHeight="1" x14ac:dyDescent="0.25">
      <c r="B21" s="2940"/>
      <c r="C21" s="2941"/>
      <c r="D21" s="2942"/>
      <c r="E21" s="2943"/>
      <c r="F21" s="2944"/>
      <c r="G21" s="2945"/>
      <c r="H21" s="569"/>
    </row>
    <row r="22" spans="2:9" ht="24" customHeight="1" x14ac:dyDescent="0.2">
      <c r="B22" s="128" t="s">
        <v>368</v>
      </c>
      <c r="C22" s="192" t="s">
        <v>89</v>
      </c>
      <c r="D22" s="192" t="s">
        <v>90</v>
      </c>
      <c r="E22" s="194" t="s">
        <v>91</v>
      </c>
      <c r="F22" s="195" t="s">
        <v>92</v>
      </c>
      <c r="G22" s="196" t="s">
        <v>93</v>
      </c>
      <c r="H22" s="565"/>
    </row>
    <row r="23" spans="2:9" x14ac:dyDescent="0.2">
      <c r="B23" s="129"/>
      <c r="C23" s="197"/>
      <c r="D23" s="198"/>
      <c r="E23" s="199"/>
      <c r="F23" s="200"/>
      <c r="G23" s="201"/>
    </row>
    <row r="24" spans="2:9" s="295" customFormat="1" ht="20.25" x14ac:dyDescent="0.3">
      <c r="B24" s="303" t="s">
        <v>10</v>
      </c>
      <c r="C24" s="306" t="s">
        <v>85</v>
      </c>
      <c r="D24" s="305"/>
      <c r="E24" s="299"/>
      <c r="F24" s="300"/>
      <c r="G24" s="301"/>
      <c r="H24" s="570"/>
    </row>
    <row r="25" spans="2:9" x14ac:dyDescent="0.2">
      <c r="B25" s="129">
        <v>1</v>
      </c>
      <c r="C25" s="206" t="s">
        <v>370</v>
      </c>
      <c r="D25" s="207" t="s">
        <v>123</v>
      </c>
      <c r="E25" s="1444">
        <v>6</v>
      </c>
      <c r="F25" s="1445">
        <v>0</v>
      </c>
      <c r="G25" s="1446">
        <f t="shared" ref="G25:G31" si="0">E25*F25</f>
        <v>0</v>
      </c>
    </row>
    <row r="26" spans="2:9" ht="133.5" customHeight="1" x14ac:dyDescent="0.2">
      <c r="B26" s="129">
        <v>2</v>
      </c>
      <c r="C26" s="1012" t="s">
        <v>1813</v>
      </c>
      <c r="D26" s="209" t="s">
        <v>98</v>
      </c>
      <c r="E26" s="1444">
        <v>1</v>
      </c>
      <c r="F26" s="1445">
        <v>0</v>
      </c>
      <c r="G26" s="1446">
        <f t="shared" si="0"/>
        <v>0</v>
      </c>
      <c r="I26" s="692"/>
    </row>
    <row r="27" spans="2:9" ht="48" x14ac:dyDescent="0.2">
      <c r="B27" s="129">
        <v>3</v>
      </c>
      <c r="C27" s="407" t="s">
        <v>2119</v>
      </c>
      <c r="D27" s="210" t="s">
        <v>98</v>
      </c>
      <c r="E27" s="1444">
        <v>1</v>
      </c>
      <c r="F27" s="1445">
        <v>0</v>
      </c>
      <c r="G27" s="1446">
        <f t="shared" si="0"/>
        <v>0</v>
      </c>
    </row>
    <row r="28" spans="2:9" x14ac:dyDescent="0.2">
      <c r="B28" s="129">
        <v>4</v>
      </c>
      <c r="C28" s="407" t="s">
        <v>105</v>
      </c>
      <c r="D28" s="210" t="s">
        <v>98</v>
      </c>
      <c r="E28" s="1444">
        <v>1</v>
      </c>
      <c r="F28" s="1445">
        <v>0</v>
      </c>
      <c r="G28" s="1446">
        <f t="shared" si="0"/>
        <v>0</v>
      </c>
    </row>
    <row r="29" spans="2:9" ht="36" x14ac:dyDescent="0.2">
      <c r="B29" s="129">
        <v>5</v>
      </c>
      <c r="C29" s="3165" t="s">
        <v>2590</v>
      </c>
      <c r="D29" s="210" t="s">
        <v>98</v>
      </c>
      <c r="E29" s="1444">
        <v>1</v>
      </c>
      <c r="F29" s="1445">
        <v>0</v>
      </c>
      <c r="G29" s="1446">
        <f t="shared" si="0"/>
        <v>0</v>
      </c>
    </row>
    <row r="30" spans="2:9" ht="24" x14ac:dyDescent="0.2">
      <c r="B30" s="129">
        <v>6</v>
      </c>
      <c r="C30" s="3165" t="s">
        <v>2591</v>
      </c>
      <c r="D30" s="210" t="s">
        <v>98</v>
      </c>
      <c r="E30" s="1444">
        <v>1</v>
      </c>
      <c r="F30" s="1445">
        <v>0</v>
      </c>
      <c r="G30" s="1446">
        <f t="shared" si="0"/>
        <v>0</v>
      </c>
    </row>
    <row r="31" spans="2:9" ht="36" x14ac:dyDescent="0.2">
      <c r="B31" s="129">
        <v>7</v>
      </c>
      <c r="C31" s="212" t="s">
        <v>106</v>
      </c>
      <c r="D31" s="210" t="s">
        <v>98</v>
      </c>
      <c r="E31" s="1447">
        <v>1</v>
      </c>
      <c r="F31" s="1445">
        <v>0</v>
      </c>
      <c r="G31" s="1446">
        <f t="shared" si="0"/>
        <v>0</v>
      </c>
    </row>
    <row r="32" spans="2:9" s="147" customFormat="1" ht="23.25" customHeight="1" x14ac:dyDescent="0.25">
      <c r="B32" s="327" t="s">
        <v>10</v>
      </c>
      <c r="C32" s="214" t="s">
        <v>108</v>
      </c>
      <c r="D32" s="214"/>
      <c r="E32" s="215"/>
      <c r="F32" s="1448"/>
      <c r="G32" s="1449">
        <f>SUM(G25:G31)</f>
        <v>0</v>
      </c>
      <c r="H32" s="150"/>
    </row>
    <row r="33" spans="2:12" ht="24" customHeight="1" x14ac:dyDescent="0.2">
      <c r="B33" s="128" t="s">
        <v>368</v>
      </c>
      <c r="C33" s="192" t="s">
        <v>89</v>
      </c>
      <c r="D33" s="192" t="s">
        <v>90</v>
      </c>
      <c r="E33" s="194" t="s">
        <v>91</v>
      </c>
      <c r="F33" s="195" t="s">
        <v>92</v>
      </c>
      <c r="G33" s="196" t="s">
        <v>93</v>
      </c>
      <c r="H33" s="565"/>
    </row>
    <row r="34" spans="2:12" x14ac:dyDescent="0.2">
      <c r="B34" s="129"/>
      <c r="C34" s="217"/>
      <c r="D34" s="207"/>
      <c r="E34" s="199"/>
      <c r="F34" s="200"/>
      <c r="G34" s="201"/>
    </row>
    <row r="35" spans="2:12" s="295" customFormat="1" ht="20.25" x14ac:dyDescent="0.3">
      <c r="B35" s="303" t="s">
        <v>12</v>
      </c>
      <c r="C35" s="306" t="s">
        <v>109</v>
      </c>
      <c r="D35" s="305"/>
      <c r="E35" s="299"/>
      <c r="F35" s="300"/>
      <c r="G35" s="301"/>
      <c r="H35" s="570"/>
    </row>
    <row r="36" spans="2:12" s="295" customFormat="1" ht="20.25" x14ac:dyDescent="0.3">
      <c r="B36" s="303">
        <v>1</v>
      </c>
      <c r="C36" s="306" t="s">
        <v>358</v>
      </c>
      <c r="D36" s="305"/>
      <c r="E36" s="299"/>
      <c r="F36" s="300"/>
      <c r="G36" s="301"/>
      <c r="H36" s="570"/>
    </row>
    <row r="37" spans="2:12" s="130" customFormat="1" ht="66.75" customHeight="1" x14ac:dyDescent="0.2">
      <c r="B37" s="3184" t="s">
        <v>110</v>
      </c>
      <c r="C37" s="3185"/>
      <c r="D37" s="3185"/>
      <c r="E37" s="3185"/>
      <c r="F37" s="3185"/>
      <c r="G37" s="3186"/>
      <c r="H37" s="1423"/>
    </row>
    <row r="38" spans="2:12" ht="24" x14ac:dyDescent="0.2">
      <c r="B38" s="131">
        <v>1</v>
      </c>
      <c r="C38" s="206" t="s">
        <v>111</v>
      </c>
      <c r="D38" s="207" t="s">
        <v>112</v>
      </c>
      <c r="E38" s="1444">
        <v>19</v>
      </c>
      <c r="F38" s="1445">
        <v>0</v>
      </c>
      <c r="G38" s="1446">
        <f t="shared" ref="G38:G52" si="1">E38*F38</f>
        <v>0</v>
      </c>
      <c r="I38" s="132"/>
    </row>
    <row r="39" spans="2:12" ht="72" x14ac:dyDescent="0.2">
      <c r="B39" s="131">
        <v>2</v>
      </c>
      <c r="C39" s="206" t="s">
        <v>1476</v>
      </c>
      <c r="D39" s="207" t="s">
        <v>112</v>
      </c>
      <c r="E39" s="1444">
        <v>72</v>
      </c>
      <c r="F39" s="1445">
        <v>0</v>
      </c>
      <c r="G39" s="1446">
        <f t="shared" si="1"/>
        <v>0</v>
      </c>
      <c r="I39" s="132"/>
    </row>
    <row r="40" spans="2:12" ht="48" x14ac:dyDescent="0.2">
      <c r="B40" s="131">
        <v>3</v>
      </c>
      <c r="C40" s="206" t="s">
        <v>1477</v>
      </c>
      <c r="D40" s="209" t="s">
        <v>112</v>
      </c>
      <c r="E40" s="1444">
        <v>40</v>
      </c>
      <c r="F40" s="1445">
        <v>0</v>
      </c>
      <c r="G40" s="1446">
        <f t="shared" si="1"/>
        <v>0</v>
      </c>
      <c r="I40" s="133"/>
      <c r="K40" s="134"/>
      <c r="L40" s="134"/>
    </row>
    <row r="41" spans="2:12" ht="24" hidden="1" x14ac:dyDescent="0.2">
      <c r="B41" s="131">
        <v>4</v>
      </c>
      <c r="C41" s="206" t="s">
        <v>383</v>
      </c>
      <c r="D41" s="209" t="s">
        <v>112</v>
      </c>
      <c r="E41" s="1444"/>
      <c r="F41" s="1445"/>
      <c r="G41" s="1446">
        <f t="shared" si="1"/>
        <v>0</v>
      </c>
      <c r="I41" s="133"/>
    </row>
    <row r="42" spans="2:12" ht="76.5" x14ac:dyDescent="0.2">
      <c r="B42" s="131">
        <v>5</v>
      </c>
      <c r="C42" s="1450" t="s">
        <v>1816</v>
      </c>
      <c r="D42" s="209" t="s">
        <v>117</v>
      </c>
      <c r="E42" s="1444">
        <v>20</v>
      </c>
      <c r="F42" s="1445">
        <v>0</v>
      </c>
      <c r="G42" s="1446">
        <f t="shared" si="1"/>
        <v>0</v>
      </c>
      <c r="I42" s="133"/>
    </row>
    <row r="43" spans="2:12" ht="36" x14ac:dyDescent="0.2">
      <c r="B43" s="131">
        <v>6</v>
      </c>
      <c r="C43" s="206" t="s">
        <v>2120</v>
      </c>
      <c r="D43" s="209" t="s">
        <v>117</v>
      </c>
      <c r="E43" s="1444">
        <v>45</v>
      </c>
      <c r="F43" s="1445">
        <v>0</v>
      </c>
      <c r="G43" s="1446">
        <f t="shared" si="1"/>
        <v>0</v>
      </c>
      <c r="I43" s="132"/>
    </row>
    <row r="44" spans="2:12" ht="76.5" x14ac:dyDescent="0.2">
      <c r="B44" s="131">
        <v>7</v>
      </c>
      <c r="C44" s="1852" t="s">
        <v>2121</v>
      </c>
      <c r="D44" s="209" t="s">
        <v>112</v>
      </c>
      <c r="E44" s="1444">
        <v>18</v>
      </c>
      <c r="F44" s="1445">
        <v>0</v>
      </c>
      <c r="G44" s="1446">
        <f t="shared" si="1"/>
        <v>0</v>
      </c>
      <c r="I44" s="134"/>
    </row>
    <row r="45" spans="2:12" ht="76.5" x14ac:dyDescent="0.2">
      <c r="B45" s="131">
        <v>8</v>
      </c>
      <c r="C45" s="1012" t="s">
        <v>1817</v>
      </c>
      <c r="D45" s="209" t="s">
        <v>112</v>
      </c>
      <c r="E45" s="1451">
        <v>27</v>
      </c>
      <c r="F45" s="1445">
        <v>0</v>
      </c>
      <c r="G45" s="1452">
        <f t="shared" si="1"/>
        <v>0</v>
      </c>
      <c r="I45" s="134"/>
    </row>
    <row r="46" spans="2:12" ht="38.25" x14ac:dyDescent="0.2">
      <c r="B46" s="131">
        <v>9</v>
      </c>
      <c r="C46" s="1012" t="s">
        <v>2122</v>
      </c>
      <c r="D46" s="362" t="s">
        <v>112</v>
      </c>
      <c r="E46" s="1451">
        <v>7</v>
      </c>
      <c r="F46" s="1445">
        <v>0</v>
      </c>
      <c r="G46" s="1452">
        <f t="shared" si="1"/>
        <v>0</v>
      </c>
      <c r="I46" s="134"/>
    </row>
    <row r="47" spans="2:12" ht="25.5" x14ac:dyDescent="0.2">
      <c r="B47" s="131">
        <v>11</v>
      </c>
      <c r="C47" s="1852" t="s">
        <v>2123</v>
      </c>
      <c r="D47" s="362" t="s">
        <v>112</v>
      </c>
      <c r="E47" s="1451">
        <v>5</v>
      </c>
      <c r="F47" s="1445">
        <v>0</v>
      </c>
      <c r="G47" s="1452">
        <f t="shared" si="1"/>
        <v>0</v>
      </c>
      <c r="I47" s="134"/>
    </row>
    <row r="48" spans="2:12" x14ac:dyDescent="0.2">
      <c r="B48" s="131">
        <v>12</v>
      </c>
      <c r="C48" s="1852" t="s">
        <v>2124</v>
      </c>
      <c r="D48" s="362" t="s">
        <v>117</v>
      </c>
      <c r="E48" s="1451">
        <v>200</v>
      </c>
      <c r="F48" s="1445">
        <v>0</v>
      </c>
      <c r="G48" s="1452">
        <f t="shared" si="1"/>
        <v>0</v>
      </c>
      <c r="I48" s="134"/>
    </row>
    <row r="49" spans="2:9" ht="27.75" customHeight="1" x14ac:dyDescent="0.2">
      <c r="B49" s="131">
        <v>13</v>
      </c>
      <c r="C49" s="1012" t="s">
        <v>1818</v>
      </c>
      <c r="D49" s="362" t="s">
        <v>98</v>
      </c>
      <c r="E49" s="1451">
        <v>1</v>
      </c>
      <c r="F49" s="1445">
        <v>0</v>
      </c>
      <c r="G49" s="1452">
        <f t="shared" si="1"/>
        <v>0</v>
      </c>
      <c r="I49" s="134"/>
    </row>
    <row r="50" spans="2:9" ht="38.25" x14ac:dyDescent="0.2">
      <c r="B50" s="131">
        <v>14</v>
      </c>
      <c r="C50" s="1012" t="s">
        <v>1488</v>
      </c>
      <c r="D50" s="362" t="s">
        <v>112</v>
      </c>
      <c r="E50" s="1451">
        <v>36.799999999999997</v>
      </c>
      <c r="F50" s="1445">
        <v>0</v>
      </c>
      <c r="G50" s="1452">
        <f t="shared" si="1"/>
        <v>0</v>
      </c>
      <c r="I50" s="134"/>
    </row>
    <row r="51" spans="2:9" ht="36" x14ac:dyDescent="0.2">
      <c r="B51" s="131">
        <v>15</v>
      </c>
      <c r="C51" s="206" t="s">
        <v>2575</v>
      </c>
      <c r="D51" s="362" t="s">
        <v>95</v>
      </c>
      <c r="E51" s="1451">
        <v>60</v>
      </c>
      <c r="F51" s="1445">
        <v>0</v>
      </c>
      <c r="G51" s="1452">
        <f t="shared" si="1"/>
        <v>0</v>
      </c>
      <c r="I51" s="134"/>
    </row>
    <row r="52" spans="2:9" ht="51" x14ac:dyDescent="0.2">
      <c r="B52" s="131">
        <v>16</v>
      </c>
      <c r="C52" s="1012" t="s">
        <v>1491</v>
      </c>
      <c r="D52" s="362" t="s">
        <v>98</v>
      </c>
      <c r="E52" s="1451">
        <v>1</v>
      </c>
      <c r="F52" s="1445">
        <v>0</v>
      </c>
      <c r="G52" s="1452">
        <f t="shared" si="1"/>
        <v>0</v>
      </c>
      <c r="I52" s="134"/>
    </row>
    <row r="53" spans="2:9" s="147" customFormat="1" ht="23.25" customHeight="1" x14ac:dyDescent="0.25">
      <c r="B53" s="327">
        <v>1</v>
      </c>
      <c r="C53" s="214" t="s">
        <v>1819</v>
      </c>
      <c r="D53" s="214"/>
      <c r="E53" s="215"/>
      <c r="F53" s="1448"/>
      <c r="G53" s="1449">
        <f>SUM(G38:G52)</f>
        <v>0</v>
      </c>
      <c r="H53" s="150"/>
    </row>
    <row r="54" spans="2:9" ht="24" customHeight="1" x14ac:dyDescent="0.2">
      <c r="B54" s="128" t="s">
        <v>368</v>
      </c>
      <c r="C54" s="192" t="s">
        <v>89</v>
      </c>
      <c r="D54" s="192" t="s">
        <v>90</v>
      </c>
      <c r="E54" s="194" t="s">
        <v>91</v>
      </c>
      <c r="F54" s="195" t="s">
        <v>92</v>
      </c>
      <c r="G54" s="196" t="s">
        <v>93</v>
      </c>
      <c r="H54" s="565"/>
    </row>
    <row r="55" spans="2:9" x14ac:dyDescent="0.2">
      <c r="B55" s="129"/>
      <c r="C55" s="217"/>
      <c r="D55" s="207"/>
      <c r="E55" s="199"/>
      <c r="F55" s="200"/>
      <c r="G55" s="201"/>
    </row>
    <row r="56" spans="2:9" s="295" customFormat="1" ht="20.25" x14ac:dyDescent="0.3">
      <c r="B56" s="303">
        <v>2</v>
      </c>
      <c r="C56" s="306" t="s">
        <v>360</v>
      </c>
      <c r="D56" s="305"/>
      <c r="E56" s="299"/>
      <c r="F56" s="300"/>
      <c r="G56" s="301"/>
      <c r="H56" s="570"/>
    </row>
    <row r="57" spans="2:9" s="130" customFormat="1" x14ac:dyDescent="0.2">
      <c r="B57" s="3184" t="s">
        <v>397</v>
      </c>
      <c r="C57" s="3185"/>
      <c r="D57" s="3185"/>
      <c r="E57" s="3185"/>
      <c r="F57" s="3185"/>
      <c r="G57" s="3186"/>
      <c r="H57" s="1423"/>
    </row>
    <row r="58" spans="2:9" ht="28.5" customHeight="1" x14ac:dyDescent="0.2">
      <c r="B58" s="131">
        <v>1</v>
      </c>
      <c r="C58" s="1852" t="s">
        <v>2125</v>
      </c>
      <c r="D58" s="207" t="s">
        <v>112</v>
      </c>
      <c r="E58" s="1444">
        <v>4.5</v>
      </c>
      <c r="F58" s="1445">
        <v>0</v>
      </c>
      <c r="G58" s="1446">
        <f>E58*F58</f>
        <v>0</v>
      </c>
      <c r="I58" s="132"/>
    </row>
    <row r="59" spans="2:9" ht="38.25" x14ac:dyDescent="0.2">
      <c r="B59" s="131">
        <v>2</v>
      </c>
      <c r="C59" s="1913" t="s">
        <v>2126</v>
      </c>
      <c r="D59" s="362" t="s">
        <v>112</v>
      </c>
      <c r="E59" s="1451">
        <v>12</v>
      </c>
      <c r="F59" s="1445">
        <v>0</v>
      </c>
      <c r="G59" s="1446">
        <f>E59*F59</f>
        <v>0</v>
      </c>
      <c r="I59" s="132"/>
    </row>
    <row r="60" spans="2:9" ht="39.75" customHeight="1" x14ac:dyDescent="0.2">
      <c r="B60" s="131">
        <v>3</v>
      </c>
      <c r="C60" s="1913" t="s">
        <v>2127</v>
      </c>
      <c r="D60" s="362" t="s">
        <v>112</v>
      </c>
      <c r="E60" s="1451">
        <v>11</v>
      </c>
      <c r="F60" s="1445">
        <v>0</v>
      </c>
      <c r="G60" s="1446">
        <f>E60*F60</f>
        <v>0</v>
      </c>
      <c r="I60" s="695"/>
    </row>
    <row r="61" spans="2:9" ht="25.5" x14ac:dyDescent="0.2">
      <c r="B61" s="131">
        <v>4</v>
      </c>
      <c r="C61" s="1913" t="s">
        <v>2128</v>
      </c>
      <c r="D61" s="362" t="s">
        <v>112</v>
      </c>
      <c r="E61" s="1451">
        <v>2.8</v>
      </c>
      <c r="F61" s="1445">
        <v>0</v>
      </c>
      <c r="G61" s="1446">
        <f>E61*F61</f>
        <v>0</v>
      </c>
      <c r="I61" s="132"/>
    </row>
    <row r="62" spans="2:9" ht="24" x14ac:dyDescent="0.2">
      <c r="B62" s="131">
        <v>5</v>
      </c>
      <c r="C62" s="206" t="s">
        <v>411</v>
      </c>
      <c r="D62" s="209"/>
      <c r="E62" s="1444"/>
      <c r="F62" s="1445">
        <v>0</v>
      </c>
      <c r="G62" s="1446"/>
      <c r="I62" s="132"/>
    </row>
    <row r="63" spans="2:9" x14ac:dyDescent="0.2">
      <c r="B63" s="131"/>
      <c r="C63" s="1470" t="s">
        <v>1824</v>
      </c>
      <c r="D63" s="209" t="s">
        <v>413</v>
      </c>
      <c r="E63" s="1451">
        <v>1084.5999999999999</v>
      </c>
      <c r="F63" s="1445">
        <v>0</v>
      </c>
      <c r="G63" s="1446">
        <f>E63*F63</f>
        <v>0</v>
      </c>
      <c r="I63" s="1471"/>
    </row>
    <row r="64" spans="2:9" x14ac:dyDescent="0.2">
      <c r="B64" s="131"/>
      <c r="C64" s="1470" t="s">
        <v>1825</v>
      </c>
      <c r="D64" s="209" t="s">
        <v>413</v>
      </c>
      <c r="E64" s="1451">
        <v>452.7</v>
      </c>
      <c r="F64" s="1445">
        <v>0</v>
      </c>
      <c r="G64" s="1446">
        <f>E64*F64</f>
        <v>0</v>
      </c>
      <c r="I64" s="1471"/>
    </row>
    <row r="65" spans="2:12" x14ac:dyDescent="0.2">
      <c r="B65" s="131"/>
      <c r="C65" s="1470" t="s">
        <v>1826</v>
      </c>
      <c r="D65" s="209" t="s">
        <v>413</v>
      </c>
      <c r="E65" s="1451">
        <v>1644.6</v>
      </c>
      <c r="F65" s="1445">
        <v>0</v>
      </c>
      <c r="G65" s="1446">
        <f>E65*F65</f>
        <v>0</v>
      </c>
      <c r="I65" s="1471"/>
    </row>
    <row r="66" spans="2:12" s="147" customFormat="1" ht="23.25" customHeight="1" x14ac:dyDescent="0.25">
      <c r="B66" s="327">
        <v>2</v>
      </c>
      <c r="C66" s="214" t="s">
        <v>415</v>
      </c>
      <c r="D66" s="214"/>
      <c r="E66" s="215"/>
      <c r="F66" s="1448"/>
      <c r="G66" s="1449">
        <f>SUM(G58:G65)</f>
        <v>0</v>
      </c>
      <c r="H66" s="150"/>
    </row>
    <row r="67" spans="2:12" ht="24" customHeight="1" x14ac:dyDescent="0.2">
      <c r="B67" s="128" t="s">
        <v>368</v>
      </c>
      <c r="C67" s="192" t="s">
        <v>89</v>
      </c>
      <c r="D67" s="192" t="s">
        <v>90</v>
      </c>
      <c r="E67" s="194" t="s">
        <v>91</v>
      </c>
      <c r="F67" s="195" t="s">
        <v>92</v>
      </c>
      <c r="G67" s="196" t="s">
        <v>93</v>
      </c>
      <c r="H67" s="565"/>
    </row>
    <row r="68" spans="2:12" x14ac:dyDescent="0.2">
      <c r="B68" s="129"/>
      <c r="C68" s="217"/>
      <c r="D68" s="207"/>
      <c r="E68" s="199"/>
      <c r="F68" s="200"/>
      <c r="G68" s="201"/>
    </row>
    <row r="69" spans="2:12" s="295" customFormat="1" ht="20.25" x14ac:dyDescent="0.3">
      <c r="B69" s="303">
        <v>3</v>
      </c>
      <c r="C69" s="306" t="s">
        <v>362</v>
      </c>
      <c r="D69" s="305"/>
      <c r="E69" s="299"/>
      <c r="F69" s="300"/>
      <c r="G69" s="301"/>
      <c r="H69" s="570"/>
    </row>
    <row r="70" spans="2:12" s="130" customFormat="1" ht="26.25" customHeight="1" x14ac:dyDescent="0.2">
      <c r="B70" s="3184" t="s">
        <v>2129</v>
      </c>
      <c r="C70" s="3185"/>
      <c r="D70" s="3185"/>
      <c r="E70" s="3185"/>
      <c r="F70" s="3185"/>
      <c r="G70" s="3186"/>
      <c r="H70" s="1423"/>
    </row>
    <row r="71" spans="2:12" ht="42" customHeight="1" x14ac:dyDescent="0.2">
      <c r="B71" s="131">
        <v>1</v>
      </c>
      <c r="C71" s="1850" t="s">
        <v>2130</v>
      </c>
      <c r="D71" s="152" t="s">
        <v>117</v>
      </c>
      <c r="E71" s="1613">
        <v>58</v>
      </c>
      <c r="F71" s="1614">
        <v>0</v>
      </c>
      <c r="G71" s="1615">
        <f>E71*F71</f>
        <v>0</v>
      </c>
      <c r="I71" s="1616"/>
      <c r="J71" s="1616"/>
      <c r="L71" s="1617"/>
    </row>
    <row r="72" spans="2:12" ht="40.5" customHeight="1" x14ac:dyDescent="0.2">
      <c r="B72" s="131">
        <v>2</v>
      </c>
      <c r="C72" s="1850" t="s">
        <v>2131</v>
      </c>
      <c r="D72" s="152" t="s">
        <v>117</v>
      </c>
      <c r="E72" s="1613">
        <v>21</v>
      </c>
      <c r="F72" s="1614">
        <v>0</v>
      </c>
      <c r="G72" s="1615">
        <f>E72*F72</f>
        <v>0</v>
      </c>
      <c r="I72" s="1616"/>
      <c r="J72" s="1618"/>
      <c r="L72" s="1617"/>
    </row>
    <row r="73" spans="2:12" ht="39.75" customHeight="1" x14ac:dyDescent="0.2">
      <c r="B73" s="131">
        <v>3</v>
      </c>
      <c r="C73" s="1850" t="s">
        <v>2132</v>
      </c>
      <c r="D73" s="152" t="s">
        <v>117</v>
      </c>
      <c r="E73" s="1613">
        <v>15</v>
      </c>
      <c r="F73" s="1614">
        <v>0</v>
      </c>
      <c r="G73" s="1615">
        <f t="shared" ref="G73:G74" si="2">E73*F73</f>
        <v>0</v>
      </c>
      <c r="I73" s="1616"/>
      <c r="J73" s="1618"/>
      <c r="L73" s="1617"/>
    </row>
    <row r="74" spans="2:12" ht="51" x14ac:dyDescent="0.2">
      <c r="B74" s="131">
        <v>4</v>
      </c>
      <c r="C74" s="1850" t="s">
        <v>2133</v>
      </c>
      <c r="D74" s="152" t="s">
        <v>117</v>
      </c>
      <c r="E74" s="1613">
        <v>10</v>
      </c>
      <c r="F74" s="1614">
        <v>0</v>
      </c>
      <c r="G74" s="1615">
        <f t="shared" si="2"/>
        <v>0</v>
      </c>
      <c r="I74" s="1616"/>
      <c r="J74" s="1618"/>
      <c r="L74" s="1617"/>
    </row>
    <row r="75" spans="2:12" ht="25.5" x14ac:dyDescent="0.2">
      <c r="B75" s="131">
        <v>5</v>
      </c>
      <c r="C75" s="1619" t="s">
        <v>1498</v>
      </c>
      <c r="D75" s="152" t="s">
        <v>117</v>
      </c>
      <c r="E75" s="1613">
        <v>35</v>
      </c>
      <c r="F75" s="1614">
        <v>0</v>
      </c>
      <c r="G75" s="1615">
        <f>E75*F75</f>
        <v>0</v>
      </c>
      <c r="I75" s="1618"/>
      <c r="J75" s="1616"/>
      <c r="L75" s="1617"/>
    </row>
    <row r="76" spans="2:12" ht="38.25" x14ac:dyDescent="0.2">
      <c r="B76" s="131">
        <v>6</v>
      </c>
      <c r="C76" s="1619" t="s">
        <v>1499</v>
      </c>
      <c r="D76" s="1363" t="s">
        <v>123</v>
      </c>
      <c r="E76" s="1620">
        <v>1</v>
      </c>
      <c r="F76" s="1614">
        <v>0</v>
      </c>
      <c r="G76" s="1615">
        <f>E76*F76</f>
        <v>0</v>
      </c>
      <c r="I76" s="1616"/>
      <c r="J76" s="1618"/>
      <c r="L76" s="1617"/>
    </row>
    <row r="77" spans="2:12" ht="51" x14ac:dyDescent="0.2">
      <c r="B77" s="131">
        <v>7</v>
      </c>
      <c r="C77" s="1850" t="s">
        <v>2134</v>
      </c>
      <c r="D77" s="1363" t="s">
        <v>117</v>
      </c>
      <c r="E77" s="1620">
        <v>70</v>
      </c>
      <c r="F77" s="1614">
        <v>0</v>
      </c>
      <c r="G77" s="1615">
        <f>E77*F77</f>
        <v>0</v>
      </c>
      <c r="I77" s="1616"/>
      <c r="J77" s="1618"/>
      <c r="L77" s="1617"/>
    </row>
    <row r="78" spans="2:12" s="147" customFormat="1" ht="23.25" customHeight="1" x14ac:dyDescent="0.25">
      <c r="B78" s="327">
        <v>3</v>
      </c>
      <c r="C78" s="214" t="s">
        <v>442</v>
      </c>
      <c r="D78" s="214"/>
      <c r="E78" s="215"/>
      <c r="F78" s="1448"/>
      <c r="G78" s="1449">
        <f>SUM(G71:G77)</f>
        <v>0</v>
      </c>
      <c r="H78" s="150"/>
    </row>
    <row r="79" spans="2:12" ht="24" customHeight="1" x14ac:dyDescent="0.2">
      <c r="B79" s="128" t="s">
        <v>368</v>
      </c>
      <c r="C79" s="192" t="s">
        <v>89</v>
      </c>
      <c r="D79" s="192" t="s">
        <v>90</v>
      </c>
      <c r="E79" s="194" t="s">
        <v>91</v>
      </c>
      <c r="F79" s="195" t="s">
        <v>92</v>
      </c>
      <c r="G79" s="196" t="s">
        <v>93</v>
      </c>
      <c r="H79" s="565"/>
    </row>
    <row r="80" spans="2:12" x14ac:dyDescent="0.2">
      <c r="B80" s="129"/>
      <c r="C80" s="217"/>
      <c r="D80" s="207"/>
      <c r="E80" s="199"/>
      <c r="F80" s="200"/>
      <c r="G80" s="201"/>
    </row>
    <row r="81" spans="2:9" s="295" customFormat="1" ht="20.25" x14ac:dyDescent="0.3">
      <c r="B81" s="303">
        <v>4</v>
      </c>
      <c r="C81" s="306" t="s">
        <v>364</v>
      </c>
      <c r="D81" s="305"/>
      <c r="E81" s="299"/>
      <c r="F81" s="300"/>
      <c r="G81" s="301"/>
      <c r="H81" s="570"/>
    </row>
    <row r="82" spans="2:9" s="130" customFormat="1" x14ac:dyDescent="0.2">
      <c r="B82" s="3184" t="s">
        <v>1433</v>
      </c>
      <c r="C82" s="3185"/>
      <c r="D82" s="3185"/>
      <c r="E82" s="3185"/>
      <c r="F82" s="3185"/>
      <c r="G82" s="3186"/>
      <c r="H82" s="1423"/>
    </row>
    <row r="83" spans="2:9" ht="38.25" x14ac:dyDescent="0.2">
      <c r="B83" s="131">
        <v>1</v>
      </c>
      <c r="C83" s="1850" t="s">
        <v>2135</v>
      </c>
      <c r="D83" s="1363" t="s">
        <v>95</v>
      </c>
      <c r="E83" s="1620">
        <v>4</v>
      </c>
      <c r="F83" s="1614">
        <v>0</v>
      </c>
      <c r="G83" s="1615">
        <f>E83*F83</f>
        <v>0</v>
      </c>
      <c r="I83" s="132"/>
    </row>
    <row r="84" spans="2:9" ht="51" x14ac:dyDescent="0.2">
      <c r="B84" s="131">
        <v>2</v>
      </c>
      <c r="C84" s="1850" t="s">
        <v>2136</v>
      </c>
      <c r="D84" s="152" t="s">
        <v>112</v>
      </c>
      <c r="E84" s="1613">
        <v>30</v>
      </c>
      <c r="F84" s="1614">
        <v>0</v>
      </c>
      <c r="G84" s="1615">
        <f>E84*F84</f>
        <v>0</v>
      </c>
      <c r="I84" s="132"/>
    </row>
    <row r="85" spans="2:9" ht="76.5" x14ac:dyDescent="0.2">
      <c r="B85" s="131">
        <v>3</v>
      </c>
      <c r="C85" s="1850" t="s">
        <v>2137</v>
      </c>
      <c r="D85" s="152" t="s">
        <v>117</v>
      </c>
      <c r="E85" s="1613">
        <v>80</v>
      </c>
      <c r="F85" s="1614">
        <v>0</v>
      </c>
      <c r="G85" s="1615">
        <f>E85*F85</f>
        <v>0</v>
      </c>
      <c r="I85" s="132"/>
    </row>
    <row r="86" spans="2:9" ht="25.5" x14ac:dyDescent="0.2">
      <c r="B86" s="131">
        <v>3</v>
      </c>
      <c r="C86" s="1850" t="s">
        <v>2138</v>
      </c>
      <c r="D86" s="152" t="s">
        <v>117</v>
      </c>
      <c r="E86" s="1613">
        <v>15</v>
      </c>
      <c r="F86" s="1614">
        <v>0</v>
      </c>
      <c r="G86" s="1615">
        <f>F86*E86</f>
        <v>0</v>
      </c>
      <c r="I86" s="132"/>
    </row>
    <row r="87" spans="2:9" ht="51" x14ac:dyDescent="0.2">
      <c r="B87" s="131">
        <v>4</v>
      </c>
      <c r="C87" s="1619" t="s">
        <v>1503</v>
      </c>
      <c r="D87" s="152" t="s">
        <v>95</v>
      </c>
      <c r="E87" s="1613">
        <v>17</v>
      </c>
      <c r="F87" s="1614">
        <v>0</v>
      </c>
      <c r="G87" s="1615">
        <f>E87*F87</f>
        <v>0</v>
      </c>
      <c r="I87" s="132"/>
    </row>
    <row r="88" spans="2:9" ht="25.5" x14ac:dyDescent="0.2">
      <c r="B88" s="131">
        <v>5</v>
      </c>
      <c r="C88" s="1852" t="s">
        <v>2139</v>
      </c>
      <c r="D88" s="362" t="s">
        <v>95</v>
      </c>
      <c r="E88" s="1451">
        <v>2.5</v>
      </c>
      <c r="F88" s="1614">
        <v>0</v>
      </c>
      <c r="G88" s="1446">
        <f>E88*F88</f>
        <v>0</v>
      </c>
      <c r="I88" s="132"/>
    </row>
    <row r="89" spans="2:9" ht="25.5" x14ac:dyDescent="0.2">
      <c r="B89" s="131">
        <v>6</v>
      </c>
      <c r="C89" s="1852" t="s">
        <v>2140</v>
      </c>
      <c r="D89" s="362" t="s">
        <v>123</v>
      </c>
      <c r="E89" s="1451">
        <v>6</v>
      </c>
      <c r="F89" s="1614">
        <v>0</v>
      </c>
      <c r="G89" s="1446">
        <f>E89*F89</f>
        <v>0</v>
      </c>
      <c r="I89" s="132"/>
    </row>
    <row r="90" spans="2:9" x14ac:dyDescent="0.2">
      <c r="B90" s="131">
        <v>7</v>
      </c>
      <c r="C90" s="206" t="s">
        <v>464</v>
      </c>
      <c r="D90" s="207" t="s">
        <v>123</v>
      </c>
      <c r="E90" s="1444">
        <v>1</v>
      </c>
      <c r="F90" s="1614">
        <v>0</v>
      </c>
      <c r="G90" s="1446">
        <f>E90*F90</f>
        <v>0</v>
      </c>
      <c r="I90" s="132"/>
    </row>
    <row r="91" spans="2:9" ht="24" x14ac:dyDescent="0.2">
      <c r="B91" s="131">
        <v>8</v>
      </c>
      <c r="C91" s="206" t="s">
        <v>466</v>
      </c>
      <c r="D91" s="207"/>
      <c r="E91" s="1444"/>
      <c r="F91" s="1445"/>
      <c r="G91" s="1446"/>
      <c r="I91" s="132"/>
    </row>
    <row r="92" spans="2:9" x14ac:dyDescent="0.2">
      <c r="B92" s="131"/>
      <c r="C92" s="206" t="s">
        <v>467</v>
      </c>
      <c r="D92" s="207" t="s">
        <v>156</v>
      </c>
      <c r="E92" s="1444">
        <v>10</v>
      </c>
      <c r="F92" s="1445">
        <v>0</v>
      </c>
      <c r="G92" s="1446">
        <f>E92*F92</f>
        <v>0</v>
      </c>
      <c r="I92" s="132"/>
    </row>
    <row r="93" spans="2:9" x14ac:dyDescent="0.2">
      <c r="B93" s="131"/>
      <c r="C93" s="206" t="s">
        <v>468</v>
      </c>
      <c r="D93" s="207" t="s">
        <v>156</v>
      </c>
      <c r="E93" s="1444">
        <v>15</v>
      </c>
      <c r="F93" s="1445">
        <v>0</v>
      </c>
      <c r="G93" s="1446">
        <f>E93*F93</f>
        <v>0</v>
      </c>
      <c r="I93" s="132"/>
    </row>
    <row r="94" spans="2:9" s="147" customFormat="1" ht="23.25" customHeight="1" x14ac:dyDescent="0.25">
      <c r="B94" s="327">
        <v>4</v>
      </c>
      <c r="C94" s="214" t="s">
        <v>469</v>
      </c>
      <c r="D94" s="214"/>
      <c r="E94" s="215"/>
      <c r="F94" s="1448"/>
      <c r="G94" s="1449">
        <f>SUM(G83:G93)</f>
        <v>0</v>
      </c>
      <c r="H94" s="150"/>
    </row>
    <row r="95" spans="2:9" ht="24" customHeight="1" x14ac:dyDescent="0.2">
      <c r="B95" s="128" t="s">
        <v>368</v>
      </c>
      <c r="C95" s="192" t="s">
        <v>89</v>
      </c>
      <c r="D95" s="192" t="s">
        <v>90</v>
      </c>
      <c r="E95" s="194" t="s">
        <v>91</v>
      </c>
      <c r="F95" s="195" t="s">
        <v>92</v>
      </c>
      <c r="G95" s="196" t="s">
        <v>93</v>
      </c>
      <c r="H95" s="565"/>
    </row>
    <row r="96" spans="2:9" x14ac:dyDescent="0.2">
      <c r="B96" s="129"/>
      <c r="C96" s="217"/>
      <c r="D96" s="207"/>
      <c r="E96" s="199"/>
      <c r="F96" s="200"/>
      <c r="G96" s="201"/>
    </row>
    <row r="97" spans="2:14" s="295" customFormat="1" ht="20.25" x14ac:dyDescent="0.3">
      <c r="B97" s="303">
        <v>5</v>
      </c>
      <c r="C97" s="306" t="s">
        <v>366</v>
      </c>
      <c r="D97" s="305"/>
      <c r="E97" s="299"/>
      <c r="F97" s="300"/>
      <c r="G97" s="301"/>
      <c r="H97" s="570"/>
    </row>
    <row r="98" spans="2:14" ht="63.75" x14ac:dyDescent="0.2">
      <c r="B98" s="131">
        <v>1</v>
      </c>
      <c r="C98" s="1012" t="s">
        <v>1504</v>
      </c>
      <c r="D98" s="362" t="s">
        <v>117</v>
      </c>
      <c r="E98" s="1451">
        <v>32</v>
      </c>
      <c r="F98" s="1445">
        <v>0</v>
      </c>
      <c r="G98" s="1446">
        <f t="shared" ref="G98:G123" si="3">E98*F98</f>
        <v>0</v>
      </c>
      <c r="I98" s="1472"/>
      <c r="J98" s="1473"/>
      <c r="K98" s="1471"/>
      <c r="L98" s="1472"/>
      <c r="M98" s="1473"/>
      <c r="N98" s="1471"/>
    </row>
    <row r="99" spans="2:14" ht="76.5" x14ac:dyDescent="0.2">
      <c r="B99" s="131">
        <v>2</v>
      </c>
      <c r="C99" s="1852" t="s">
        <v>2141</v>
      </c>
      <c r="D99" s="207" t="s">
        <v>117</v>
      </c>
      <c r="E99" s="1444">
        <v>32</v>
      </c>
      <c r="F99" s="1445">
        <v>0</v>
      </c>
      <c r="G99" s="1446">
        <f t="shared" si="3"/>
        <v>0</v>
      </c>
      <c r="I99" s="132"/>
      <c r="J99" s="1472"/>
      <c r="K99" s="1473"/>
      <c r="L99" s="1474"/>
      <c r="M99" s="1473"/>
      <c r="N99" s="1475"/>
    </row>
    <row r="100" spans="2:14" ht="38.25" x14ac:dyDescent="0.2">
      <c r="B100" s="131">
        <v>3</v>
      </c>
      <c r="C100" s="1852" t="s">
        <v>2142</v>
      </c>
      <c r="D100" s="362" t="s">
        <v>117</v>
      </c>
      <c r="E100" s="1451">
        <v>42</v>
      </c>
      <c r="F100" s="1445">
        <v>0</v>
      </c>
      <c r="G100" s="1446">
        <f t="shared" si="3"/>
        <v>0</v>
      </c>
      <c r="I100" s="1474"/>
      <c r="J100" s="1473"/>
      <c r="K100" s="1471"/>
      <c r="L100" s="1474"/>
      <c r="M100" s="1473"/>
      <c r="N100" s="1475"/>
    </row>
    <row r="101" spans="2:14" ht="25.5" x14ac:dyDescent="0.2">
      <c r="B101" s="131">
        <v>4</v>
      </c>
      <c r="C101" s="1852" t="s">
        <v>2143</v>
      </c>
      <c r="D101" s="362" t="s">
        <v>117</v>
      </c>
      <c r="E101" s="1451">
        <v>44</v>
      </c>
      <c r="F101" s="1445">
        <v>0</v>
      </c>
      <c r="G101" s="1446">
        <f t="shared" si="3"/>
        <v>0</v>
      </c>
      <c r="I101" s="1474"/>
      <c r="J101" s="1473"/>
      <c r="K101" s="1471"/>
      <c r="L101" s="1474"/>
      <c r="M101" s="1473"/>
      <c r="N101" s="1475"/>
    </row>
    <row r="102" spans="2:14" ht="38.25" x14ac:dyDescent="0.2">
      <c r="B102" s="131">
        <v>5</v>
      </c>
      <c r="C102" s="1852" t="s">
        <v>2144</v>
      </c>
      <c r="D102" s="362" t="s">
        <v>117</v>
      </c>
      <c r="E102" s="1451">
        <v>82</v>
      </c>
      <c r="F102" s="1445">
        <v>0</v>
      </c>
      <c r="G102" s="1446">
        <f t="shared" si="3"/>
        <v>0</v>
      </c>
      <c r="I102" s="1474"/>
      <c r="J102" s="1473"/>
      <c r="K102" s="1471"/>
      <c r="L102" s="1474"/>
      <c r="M102" s="1473"/>
      <c r="N102" s="1475"/>
    </row>
    <row r="103" spans="2:14" ht="25.5" x14ac:dyDescent="0.2">
      <c r="B103" s="131">
        <v>6</v>
      </c>
      <c r="C103" s="1852" t="s">
        <v>2145</v>
      </c>
      <c r="D103" s="362" t="s">
        <v>117</v>
      </c>
      <c r="E103" s="1451">
        <v>30</v>
      </c>
      <c r="F103" s="1445">
        <v>0</v>
      </c>
      <c r="G103" s="1446">
        <f t="shared" si="3"/>
        <v>0</v>
      </c>
      <c r="I103" s="1472"/>
      <c r="J103" s="1473"/>
      <c r="K103" s="1471"/>
      <c r="L103" s="1472"/>
      <c r="M103" s="1473"/>
      <c r="N103" s="1471"/>
    </row>
    <row r="104" spans="2:14" ht="25.5" x14ac:dyDescent="0.2">
      <c r="B104" s="131">
        <v>7</v>
      </c>
      <c r="C104" s="1852" t="s">
        <v>2146</v>
      </c>
      <c r="D104" s="362" t="s">
        <v>413</v>
      </c>
      <c r="E104" s="1451">
        <v>105</v>
      </c>
      <c r="F104" s="1445">
        <v>0</v>
      </c>
      <c r="G104" s="1446">
        <f t="shared" si="3"/>
        <v>0</v>
      </c>
      <c r="I104" s="1474"/>
      <c r="J104" s="1473"/>
      <c r="K104" s="1475"/>
      <c r="L104" s="1474"/>
      <c r="M104" s="1473"/>
      <c r="N104" s="1475"/>
    </row>
    <row r="105" spans="2:14" ht="78.75" customHeight="1" x14ac:dyDescent="0.2">
      <c r="B105" s="131">
        <v>8</v>
      </c>
      <c r="C105" s="1852" t="s">
        <v>2560</v>
      </c>
      <c r="D105" s="362" t="s">
        <v>123</v>
      </c>
      <c r="E105" s="1451">
        <v>1</v>
      </c>
      <c r="F105" s="1445">
        <v>0</v>
      </c>
      <c r="G105" s="1446">
        <f t="shared" si="3"/>
        <v>0</v>
      </c>
      <c r="I105" s="1472"/>
      <c r="J105" s="1473"/>
      <c r="K105" s="1471"/>
      <c r="L105" s="1472"/>
      <c r="M105" s="1473"/>
      <c r="N105" s="1471"/>
    </row>
    <row r="106" spans="2:14" ht="54.75" customHeight="1" x14ac:dyDescent="0.2">
      <c r="B106" s="131">
        <v>9</v>
      </c>
      <c r="C106" s="1852" t="s">
        <v>2559</v>
      </c>
      <c r="D106" s="362" t="s">
        <v>123</v>
      </c>
      <c r="E106" s="1451">
        <v>1</v>
      </c>
      <c r="F106" s="1445">
        <v>0</v>
      </c>
      <c r="G106" s="1446">
        <f t="shared" si="3"/>
        <v>0</v>
      </c>
      <c r="I106" s="1474"/>
      <c r="J106" s="1473"/>
      <c r="K106" s="1475"/>
      <c r="L106" s="1475"/>
    </row>
    <row r="107" spans="2:14" ht="51" x14ac:dyDescent="0.2">
      <c r="B107" s="131">
        <v>10</v>
      </c>
      <c r="C107" s="1852" t="s">
        <v>2147</v>
      </c>
      <c r="D107" s="362" t="s">
        <v>117</v>
      </c>
      <c r="E107" s="1451">
        <v>58</v>
      </c>
      <c r="F107" s="1445">
        <v>0</v>
      </c>
      <c r="G107" s="1446">
        <f t="shared" si="3"/>
        <v>0</v>
      </c>
      <c r="I107" s="1474"/>
      <c r="J107" s="1473"/>
      <c r="K107" s="1475"/>
      <c r="L107" s="1475"/>
    </row>
    <row r="108" spans="2:14" ht="53.25" customHeight="1" x14ac:dyDescent="0.2">
      <c r="B108" s="131">
        <v>11</v>
      </c>
      <c r="C108" s="1852" t="s">
        <v>2148</v>
      </c>
      <c r="D108" s="362" t="s">
        <v>117</v>
      </c>
      <c r="E108" s="1451">
        <v>68</v>
      </c>
      <c r="F108" s="1445">
        <v>0</v>
      </c>
      <c r="G108" s="1446">
        <f t="shared" si="3"/>
        <v>0</v>
      </c>
      <c r="I108" s="1474"/>
      <c r="J108" s="1473"/>
      <c r="K108" s="1475"/>
      <c r="L108" s="1475"/>
    </row>
    <row r="109" spans="2:14" ht="38.25" x14ac:dyDescent="0.2">
      <c r="B109" s="131">
        <v>12</v>
      </c>
      <c r="C109" s="1852" t="s">
        <v>2149</v>
      </c>
      <c r="D109" s="362" t="s">
        <v>117</v>
      </c>
      <c r="E109" s="1451">
        <v>68</v>
      </c>
      <c r="F109" s="1445">
        <v>0</v>
      </c>
      <c r="G109" s="1446">
        <f t="shared" si="3"/>
        <v>0</v>
      </c>
      <c r="I109" s="1474"/>
      <c r="J109" s="1473"/>
      <c r="K109" s="1475"/>
      <c r="L109" s="1475"/>
    </row>
    <row r="110" spans="2:14" ht="89.25" x14ac:dyDescent="0.2">
      <c r="B110" s="131">
        <v>13</v>
      </c>
      <c r="C110" s="1852" t="s">
        <v>2150</v>
      </c>
      <c r="D110" s="362" t="s">
        <v>117</v>
      </c>
      <c r="E110" s="1451">
        <v>32</v>
      </c>
      <c r="F110" s="1445">
        <v>0</v>
      </c>
      <c r="G110" s="1446">
        <f t="shared" si="3"/>
        <v>0</v>
      </c>
      <c r="I110" s="1472"/>
      <c r="J110" s="1473"/>
      <c r="K110" s="1471"/>
    </row>
    <row r="111" spans="2:14" ht="89.25" x14ac:dyDescent="0.2">
      <c r="B111" s="131">
        <v>14</v>
      </c>
      <c r="C111" s="1852" t="s">
        <v>2151</v>
      </c>
      <c r="D111" s="362" t="s">
        <v>117</v>
      </c>
      <c r="E111" s="1451">
        <v>68</v>
      </c>
      <c r="F111" s="1445">
        <v>0</v>
      </c>
      <c r="G111" s="1446">
        <f t="shared" si="3"/>
        <v>0</v>
      </c>
      <c r="I111" s="1472"/>
      <c r="J111" s="1473"/>
      <c r="K111" s="1471"/>
    </row>
    <row r="112" spans="2:14" ht="63.75" x14ac:dyDescent="0.2">
      <c r="B112" s="131">
        <v>15</v>
      </c>
      <c r="C112" s="1852" t="s">
        <v>2152</v>
      </c>
      <c r="D112" s="362" t="s">
        <v>117</v>
      </c>
      <c r="E112" s="1451">
        <v>82</v>
      </c>
      <c r="F112" s="1445">
        <v>0</v>
      </c>
      <c r="G112" s="1446">
        <f t="shared" si="3"/>
        <v>0</v>
      </c>
      <c r="I112" s="1474"/>
      <c r="J112" s="1473"/>
      <c r="K112" s="1475"/>
    </row>
    <row r="113" spans="2:11" ht="63.75" x14ac:dyDescent="0.2">
      <c r="B113" s="131">
        <v>16</v>
      </c>
      <c r="C113" s="1852" t="s">
        <v>2153</v>
      </c>
      <c r="D113" s="362" t="s">
        <v>117</v>
      </c>
      <c r="E113" s="1451">
        <v>9.5</v>
      </c>
      <c r="F113" s="1445">
        <v>0</v>
      </c>
      <c r="G113" s="1446">
        <f t="shared" si="3"/>
        <v>0</v>
      </c>
      <c r="I113" s="1474"/>
      <c r="J113" s="1473"/>
      <c r="K113" s="1475"/>
    </row>
    <row r="114" spans="2:11" ht="38.25" x14ac:dyDescent="0.2">
      <c r="B114" s="131">
        <v>17</v>
      </c>
      <c r="C114" s="1852" t="s">
        <v>2154</v>
      </c>
      <c r="D114" s="362" t="s">
        <v>117</v>
      </c>
      <c r="E114" s="1451">
        <v>22</v>
      </c>
      <c r="F114" s="1445">
        <v>0</v>
      </c>
      <c r="G114" s="1446">
        <f t="shared" si="3"/>
        <v>0</v>
      </c>
      <c r="I114" s="1474"/>
      <c r="J114" s="1473"/>
      <c r="K114" s="1475"/>
    </row>
    <row r="115" spans="2:11" ht="76.5" x14ac:dyDescent="0.2">
      <c r="B115" s="131">
        <v>18</v>
      </c>
      <c r="C115" s="1852" t="s">
        <v>2155</v>
      </c>
      <c r="D115" s="362" t="s">
        <v>95</v>
      </c>
      <c r="E115" s="1451">
        <v>16</v>
      </c>
      <c r="F115" s="1445">
        <v>0</v>
      </c>
      <c r="G115" s="1446">
        <f t="shared" si="3"/>
        <v>0</v>
      </c>
      <c r="I115" s="1474"/>
      <c r="J115" s="1473"/>
      <c r="K115" s="1475"/>
    </row>
    <row r="116" spans="2:11" ht="25.5" x14ac:dyDescent="0.2">
      <c r="B116" s="131">
        <v>19</v>
      </c>
      <c r="C116" s="1852" t="s">
        <v>2156</v>
      </c>
      <c r="D116" s="362" t="s">
        <v>95</v>
      </c>
      <c r="E116" s="1451">
        <v>2</v>
      </c>
      <c r="F116" s="1445">
        <v>0</v>
      </c>
      <c r="G116" s="1446">
        <f t="shared" si="3"/>
        <v>0</v>
      </c>
      <c r="I116" s="1474"/>
      <c r="J116" s="1473"/>
      <c r="K116" s="1475"/>
    </row>
    <row r="117" spans="2:11" ht="76.5" x14ac:dyDescent="0.2">
      <c r="B117" s="131">
        <v>20</v>
      </c>
      <c r="C117" s="1852" t="s">
        <v>2157</v>
      </c>
      <c r="D117" s="362" t="s">
        <v>95</v>
      </c>
      <c r="E117" s="1451">
        <v>5</v>
      </c>
      <c r="F117" s="1445">
        <v>0</v>
      </c>
      <c r="G117" s="1446">
        <f t="shared" si="3"/>
        <v>0</v>
      </c>
      <c r="I117" s="1474"/>
      <c r="J117" s="1473"/>
      <c r="K117" s="1475"/>
    </row>
    <row r="118" spans="2:11" ht="65.25" customHeight="1" x14ac:dyDescent="0.2">
      <c r="B118" s="131">
        <v>21</v>
      </c>
      <c r="C118" s="1852" t="s">
        <v>2158</v>
      </c>
      <c r="D118" s="362" t="s">
        <v>95</v>
      </c>
      <c r="E118" s="1451">
        <v>2.5</v>
      </c>
      <c r="F118" s="1445">
        <v>0</v>
      </c>
      <c r="G118" s="1446">
        <f t="shared" si="3"/>
        <v>0</v>
      </c>
      <c r="I118" s="1474"/>
      <c r="J118" s="1473"/>
      <c r="K118" s="1475"/>
    </row>
    <row r="119" spans="2:11" ht="71.25" customHeight="1" x14ac:dyDescent="0.2">
      <c r="B119" s="131">
        <v>22</v>
      </c>
      <c r="C119" s="2932" t="s">
        <v>2542</v>
      </c>
      <c r="D119" s="362" t="s">
        <v>117</v>
      </c>
      <c r="E119" s="1451">
        <v>45.5</v>
      </c>
      <c r="F119" s="1445">
        <v>0</v>
      </c>
      <c r="G119" s="1446">
        <f t="shared" si="3"/>
        <v>0</v>
      </c>
      <c r="I119" s="1474"/>
      <c r="J119" s="1473"/>
      <c r="K119" s="1475"/>
    </row>
    <row r="120" spans="2:11" ht="36" x14ac:dyDescent="0.2">
      <c r="B120" s="131">
        <v>23</v>
      </c>
      <c r="C120" s="206" t="s">
        <v>1438</v>
      </c>
      <c r="D120" s="207" t="s">
        <v>95</v>
      </c>
      <c r="E120" s="199">
        <v>6</v>
      </c>
      <c r="F120" s="269">
        <v>0</v>
      </c>
      <c r="G120" s="270">
        <f t="shared" si="3"/>
        <v>0</v>
      </c>
      <c r="H120" s="122"/>
      <c r="I120" s="132"/>
    </row>
    <row r="121" spans="2:11" ht="36" x14ac:dyDescent="0.2">
      <c r="B121" s="131">
        <v>24</v>
      </c>
      <c r="C121" s="206" t="s">
        <v>2564</v>
      </c>
      <c r="D121" s="207" t="s">
        <v>149</v>
      </c>
      <c r="E121" s="199">
        <v>1</v>
      </c>
      <c r="F121" s="269">
        <v>0</v>
      </c>
      <c r="G121" s="270">
        <f t="shared" si="3"/>
        <v>0</v>
      </c>
      <c r="H121" s="122"/>
      <c r="I121" s="132"/>
    </row>
    <row r="122" spans="2:11" ht="48" x14ac:dyDescent="0.2">
      <c r="B122" s="131">
        <v>25</v>
      </c>
      <c r="C122" s="206" t="s">
        <v>483</v>
      </c>
      <c r="D122" s="207" t="s">
        <v>123</v>
      </c>
      <c r="E122" s="199">
        <v>1</v>
      </c>
      <c r="F122" s="269">
        <v>0</v>
      </c>
      <c r="G122" s="270">
        <f t="shared" si="3"/>
        <v>0</v>
      </c>
      <c r="H122" s="122"/>
      <c r="I122" s="132"/>
    </row>
    <row r="123" spans="2:11" ht="153" x14ac:dyDescent="0.2">
      <c r="B123" s="131">
        <v>26</v>
      </c>
      <c r="C123" s="1012" t="s">
        <v>1836</v>
      </c>
      <c r="D123" s="362" t="s">
        <v>98</v>
      </c>
      <c r="E123" s="1451">
        <v>1</v>
      </c>
      <c r="F123" s="1445">
        <v>0</v>
      </c>
      <c r="G123" s="1446">
        <f t="shared" si="3"/>
        <v>0</v>
      </c>
      <c r="I123" s="1472"/>
      <c r="J123" s="1473"/>
      <c r="K123" s="1471"/>
    </row>
    <row r="124" spans="2:11" s="147" customFormat="1" ht="23.25" customHeight="1" x14ac:dyDescent="0.25">
      <c r="B124" s="327">
        <v>5</v>
      </c>
      <c r="C124" s="214" t="s">
        <v>506</v>
      </c>
      <c r="D124" s="214"/>
      <c r="E124" s="215"/>
      <c r="F124" s="1448"/>
      <c r="G124" s="1449">
        <f>SUM(G98:G123)</f>
        <v>0</v>
      </c>
      <c r="H124" s="150"/>
    </row>
    <row r="125" spans="2:11" s="1944" customFormat="1" ht="12.75" customHeight="1" x14ac:dyDescent="0.25">
      <c r="B125" s="2946"/>
      <c r="C125" s="2947"/>
      <c r="D125" s="2947"/>
      <c r="E125" s="359"/>
      <c r="F125" s="2948"/>
      <c r="G125" s="2949"/>
      <c r="H125" s="572"/>
    </row>
    <row r="126" spans="2:11" s="147" customFormat="1" ht="23.25" customHeight="1" x14ac:dyDescent="0.25">
      <c r="B126" s="2987" t="s">
        <v>12</v>
      </c>
      <c r="C126" s="2988" t="s">
        <v>157</v>
      </c>
      <c r="D126" s="214"/>
      <c r="E126" s="215"/>
      <c r="F126" s="1448"/>
      <c r="G126" s="1449">
        <f>G124+G94+G78+G66+G53</f>
        <v>0</v>
      </c>
      <c r="H126" s="150"/>
    </row>
    <row r="127" spans="2:11" s="1944" customFormat="1" ht="23.25" customHeight="1" x14ac:dyDescent="0.25">
      <c r="B127" s="2946"/>
      <c r="C127" s="2947"/>
      <c r="D127" s="2947"/>
      <c r="E127" s="359"/>
      <c r="F127" s="2948"/>
      <c r="G127" s="2949"/>
      <c r="H127" s="572"/>
    </row>
    <row r="128" spans="2:11" ht="24" customHeight="1" x14ac:dyDescent="0.2">
      <c r="B128" s="128" t="s">
        <v>368</v>
      </c>
      <c r="C128" s="192" t="s">
        <v>89</v>
      </c>
      <c r="D128" s="192" t="s">
        <v>90</v>
      </c>
      <c r="E128" s="194" t="s">
        <v>91</v>
      </c>
      <c r="F128" s="195" t="s">
        <v>92</v>
      </c>
      <c r="G128" s="196" t="s">
        <v>93</v>
      </c>
      <c r="H128" s="565"/>
    </row>
    <row r="129" spans="1:8" x14ac:dyDescent="0.2">
      <c r="B129" s="129"/>
      <c r="C129" s="197"/>
      <c r="D129" s="207"/>
      <c r="E129" s="199"/>
      <c r="F129" s="200"/>
      <c r="G129" s="201"/>
    </row>
    <row r="130" spans="1:8" s="295" customFormat="1" ht="20.25" x14ac:dyDescent="0.3">
      <c r="B130" s="303" t="s">
        <v>17</v>
      </c>
      <c r="C130" s="306" t="s">
        <v>158</v>
      </c>
      <c r="D130" s="305"/>
      <c r="E130" s="299"/>
      <c r="F130" s="300"/>
      <c r="G130" s="301"/>
      <c r="H130" s="570"/>
    </row>
    <row r="131" spans="1:8" s="1482" customFormat="1" ht="15" x14ac:dyDescent="0.2">
      <c r="A131" s="1477"/>
      <c r="B131" s="1478" t="s">
        <v>1</v>
      </c>
      <c r="C131" s="1479"/>
      <c r="D131" s="1480"/>
      <c r="E131" s="1480"/>
      <c r="F131" s="1480"/>
      <c r="G131" s="1481"/>
    </row>
    <row r="132" spans="1:8" s="1482" customFormat="1" ht="15.75" x14ac:dyDescent="0.25">
      <c r="A132" s="1483"/>
      <c r="B132" s="1484" t="s">
        <v>2</v>
      </c>
      <c r="C132" s="1485"/>
      <c r="D132" s="1486"/>
      <c r="E132" s="1487"/>
      <c r="F132" s="1487"/>
      <c r="G132" s="1486"/>
    </row>
    <row r="133" spans="1:8" s="1482" customFormat="1" ht="15" x14ac:dyDescent="0.2">
      <c r="A133" s="1477"/>
      <c r="B133" s="1478" t="s">
        <v>3</v>
      </c>
      <c r="C133" s="1479"/>
      <c r="D133" s="1480"/>
      <c r="E133" s="1480"/>
      <c r="F133" s="1480"/>
      <c r="G133" s="1481"/>
    </row>
    <row r="134" spans="1:8" s="1482" customFormat="1" ht="15.75" x14ac:dyDescent="0.25">
      <c r="A134" s="1483"/>
      <c r="B134" s="1484" t="s">
        <v>4</v>
      </c>
      <c r="C134" s="1485"/>
      <c r="D134" s="1487"/>
      <c r="E134" s="1487"/>
      <c r="F134" s="1487"/>
      <c r="G134" s="1486"/>
    </row>
    <row r="135" spans="1:8" s="130" customFormat="1" x14ac:dyDescent="0.2">
      <c r="B135" s="3289" t="s">
        <v>159</v>
      </c>
      <c r="C135" s="3290"/>
      <c r="D135" s="3290"/>
      <c r="E135" s="3290"/>
      <c r="F135" s="3290"/>
      <c r="G135" s="3291"/>
      <c r="H135" s="1423"/>
    </row>
    <row r="136" spans="1:8" s="130" customFormat="1" x14ac:dyDescent="0.2">
      <c r="B136" s="3289" t="s">
        <v>1837</v>
      </c>
      <c r="C136" s="3290"/>
      <c r="D136" s="3290"/>
      <c r="E136" s="3290"/>
      <c r="F136" s="3290"/>
      <c r="G136" s="3291"/>
      <c r="H136" s="1423"/>
    </row>
    <row r="137" spans="1:8" s="130" customFormat="1" x14ac:dyDescent="0.2">
      <c r="B137" s="3289" t="s">
        <v>1838</v>
      </c>
      <c r="C137" s="3290"/>
      <c r="D137" s="3290"/>
      <c r="E137" s="3290"/>
      <c r="F137" s="3290"/>
      <c r="G137" s="3291"/>
      <c r="H137" s="1423"/>
    </row>
    <row r="138" spans="1:8" ht="24" x14ac:dyDescent="0.2">
      <c r="B138" s="1488">
        <v>1</v>
      </c>
      <c r="C138" s="1489" t="s">
        <v>507</v>
      </c>
      <c r="D138" s="1367"/>
      <c r="E138" s="1490"/>
      <c r="F138" s="1491"/>
      <c r="G138" s="1492"/>
    </row>
    <row r="139" spans="1:8" s="136" customFormat="1" ht="95.25" customHeight="1" x14ac:dyDescent="0.2">
      <c r="B139" s="2731"/>
      <c r="C139" s="2732"/>
      <c r="D139" s="2733"/>
      <c r="E139" s="2734"/>
      <c r="F139" s="2735"/>
      <c r="G139" s="2736"/>
      <c r="H139" s="122"/>
    </row>
    <row r="140" spans="1:8" s="136" customFormat="1" ht="97.5" customHeight="1" x14ac:dyDescent="0.2">
      <c r="B140" s="2737"/>
      <c r="C140" s="2738"/>
      <c r="D140" s="2733"/>
      <c r="E140" s="2734"/>
      <c r="F140" s="2735"/>
      <c r="G140" s="2736"/>
      <c r="H140" s="122"/>
    </row>
    <row r="141" spans="1:8" s="136" customFormat="1" ht="108.75" customHeight="1" x14ac:dyDescent="0.2">
      <c r="B141" s="2737"/>
      <c r="C141" s="2738"/>
      <c r="D141" s="2733"/>
      <c r="E141" s="2734"/>
      <c r="F141" s="2735"/>
      <c r="G141" s="2736"/>
      <c r="H141" s="122"/>
    </row>
    <row r="142" spans="1:8" s="136" customFormat="1" ht="108.75" customHeight="1" x14ac:dyDescent="0.2">
      <c r="B142" s="2737"/>
      <c r="C142" s="2738"/>
      <c r="D142" s="2733"/>
      <c r="E142" s="2734"/>
      <c r="F142" s="2735"/>
      <c r="G142" s="2736"/>
      <c r="H142" s="122"/>
    </row>
    <row r="143" spans="1:8" s="136" customFormat="1" ht="99" customHeight="1" x14ac:dyDescent="0.2">
      <c r="B143" s="2737"/>
      <c r="C143" s="2738"/>
      <c r="D143" s="2733"/>
      <c r="E143" s="2734"/>
      <c r="F143" s="2735"/>
      <c r="G143" s="2736"/>
      <c r="H143" s="122"/>
    </row>
    <row r="144" spans="1:8" s="136" customFormat="1" ht="108.75" customHeight="1" x14ac:dyDescent="0.2">
      <c r="B144" s="2737"/>
      <c r="C144" s="2738"/>
      <c r="D144" s="2733"/>
      <c r="E144" s="2734"/>
      <c r="F144" s="2735"/>
      <c r="G144" s="2736"/>
      <c r="H144" s="122"/>
    </row>
    <row r="145" spans="2:8" s="136" customFormat="1" ht="12.75" customHeight="1" x14ac:dyDescent="0.2">
      <c r="B145" s="2737"/>
      <c r="C145" s="2738"/>
      <c r="D145" s="2733"/>
      <c r="E145" s="2734"/>
      <c r="F145" s="2735"/>
      <c r="G145" s="2736"/>
      <c r="H145" s="122"/>
    </row>
    <row r="146" spans="2:8" s="136" customFormat="1" ht="18" customHeight="1" x14ac:dyDescent="0.2">
      <c r="B146" s="2737"/>
      <c r="C146" s="2732" t="s">
        <v>2464</v>
      </c>
      <c r="D146" s="2739" t="s">
        <v>98</v>
      </c>
      <c r="E146" s="2740">
        <v>1</v>
      </c>
      <c r="F146" s="2741">
        <v>0</v>
      </c>
      <c r="G146" s="2742">
        <f t="shared" ref="G146" si="4">E146*F146</f>
        <v>0</v>
      </c>
      <c r="H146" s="122"/>
    </row>
    <row r="147" spans="2:8" s="1621" customFormat="1" ht="132" x14ac:dyDescent="0.25">
      <c r="B147" s="1626"/>
      <c r="C147" s="1627" t="s">
        <v>508</v>
      </c>
      <c r="D147" s="1495" t="s">
        <v>149</v>
      </c>
      <c r="E147" s="1622">
        <v>1</v>
      </c>
      <c r="F147" s="1623">
        <v>0</v>
      </c>
      <c r="G147" s="1624">
        <f t="shared" ref="G147" si="5">E147*F147</f>
        <v>0</v>
      </c>
      <c r="H147" s="1625"/>
    </row>
    <row r="148" spans="2:8" s="147" customFormat="1" ht="18" customHeight="1" x14ac:dyDescent="0.2">
      <c r="B148" s="1488">
        <v>2</v>
      </c>
      <c r="C148" s="1628" t="s">
        <v>2159</v>
      </c>
      <c r="D148" s="1495"/>
      <c r="E148" s="1496"/>
      <c r="F148" s="1629"/>
      <c r="G148" s="1630"/>
      <c r="H148" s="1515"/>
    </row>
    <row r="149" spans="2:8" s="147" customFormat="1" ht="18" customHeight="1" x14ac:dyDescent="0.2">
      <c r="B149" s="152"/>
      <c r="C149" s="1494" t="s">
        <v>2160</v>
      </c>
      <c r="D149" s="1495" t="s">
        <v>149</v>
      </c>
      <c r="E149" s="1496">
        <v>2</v>
      </c>
      <c r="F149" s="1629">
        <v>0</v>
      </c>
      <c r="G149" s="1630">
        <f t="shared" ref="G149:G163" si="6">E149*F149</f>
        <v>0</v>
      </c>
      <c r="H149" s="1515"/>
    </row>
    <row r="150" spans="2:8" s="147" customFormat="1" ht="18" customHeight="1" x14ac:dyDescent="0.2">
      <c r="B150" s="152"/>
      <c r="C150" s="1494" t="s">
        <v>1850</v>
      </c>
      <c r="D150" s="1495" t="s">
        <v>149</v>
      </c>
      <c r="E150" s="1496">
        <v>1</v>
      </c>
      <c r="F150" s="1629">
        <v>0</v>
      </c>
      <c r="G150" s="1630">
        <f t="shared" si="6"/>
        <v>0</v>
      </c>
      <c r="H150" s="1515"/>
    </row>
    <row r="151" spans="2:8" s="147" customFormat="1" ht="18" customHeight="1" x14ac:dyDescent="0.2">
      <c r="B151" s="152"/>
      <c r="C151" s="1494" t="s">
        <v>2161</v>
      </c>
      <c r="D151" s="1495" t="s">
        <v>149</v>
      </c>
      <c r="E151" s="1496">
        <v>1</v>
      </c>
      <c r="F151" s="1629">
        <v>0</v>
      </c>
      <c r="G151" s="1630">
        <f t="shared" si="6"/>
        <v>0</v>
      </c>
      <c r="H151" s="1515"/>
    </row>
    <row r="152" spans="2:8" s="147" customFormat="1" ht="18" customHeight="1" x14ac:dyDescent="0.2">
      <c r="B152" s="152"/>
      <c r="C152" s="1494" t="s">
        <v>2162</v>
      </c>
      <c r="D152" s="1495" t="s">
        <v>149</v>
      </c>
      <c r="E152" s="1496">
        <v>1</v>
      </c>
      <c r="F152" s="1629">
        <v>0</v>
      </c>
      <c r="G152" s="1630">
        <f t="shared" si="6"/>
        <v>0</v>
      </c>
      <c r="H152" s="1515"/>
    </row>
    <row r="153" spans="2:8" s="147" customFormat="1" ht="18" customHeight="1" x14ac:dyDescent="0.2">
      <c r="B153" s="152"/>
      <c r="C153" s="1494" t="s">
        <v>525</v>
      </c>
      <c r="D153" s="1495" t="s">
        <v>149</v>
      </c>
      <c r="E153" s="1496">
        <v>6</v>
      </c>
      <c r="F153" s="1629">
        <v>0</v>
      </c>
      <c r="G153" s="1630">
        <f t="shared" si="6"/>
        <v>0</v>
      </c>
      <c r="H153" s="1515"/>
    </row>
    <row r="154" spans="2:8" s="147" customFormat="1" ht="18" customHeight="1" x14ac:dyDescent="0.2">
      <c r="B154" s="152"/>
      <c r="C154" s="1494" t="s">
        <v>2163</v>
      </c>
      <c r="D154" s="1495" t="s">
        <v>149</v>
      </c>
      <c r="E154" s="1496">
        <v>7</v>
      </c>
      <c r="F154" s="1629">
        <v>0</v>
      </c>
      <c r="G154" s="1630">
        <f t="shared" si="6"/>
        <v>0</v>
      </c>
      <c r="H154" s="1515"/>
    </row>
    <row r="155" spans="2:8" s="147" customFormat="1" ht="18" customHeight="1" x14ac:dyDescent="0.2">
      <c r="B155" s="152"/>
      <c r="C155" s="1494" t="s">
        <v>531</v>
      </c>
      <c r="D155" s="1495" t="s">
        <v>149</v>
      </c>
      <c r="E155" s="1496">
        <v>3</v>
      </c>
      <c r="F155" s="1629">
        <v>0</v>
      </c>
      <c r="G155" s="1630">
        <f t="shared" si="6"/>
        <v>0</v>
      </c>
      <c r="H155" s="1515"/>
    </row>
    <row r="156" spans="2:8" s="147" customFormat="1" ht="18" customHeight="1" x14ac:dyDescent="0.2">
      <c r="B156" s="152"/>
      <c r="C156" s="1494" t="s">
        <v>521</v>
      </c>
      <c r="D156" s="1495" t="s">
        <v>149</v>
      </c>
      <c r="E156" s="1496">
        <v>2</v>
      </c>
      <c r="F156" s="1629">
        <v>0</v>
      </c>
      <c r="G156" s="1630">
        <f t="shared" si="6"/>
        <v>0</v>
      </c>
      <c r="H156" s="1515"/>
    </row>
    <row r="157" spans="2:8" s="147" customFormat="1" ht="18" customHeight="1" x14ac:dyDescent="0.2">
      <c r="B157" s="152"/>
      <c r="C157" s="1494" t="s">
        <v>1849</v>
      </c>
      <c r="D157" s="1495" t="s">
        <v>149</v>
      </c>
      <c r="E157" s="1496">
        <v>5</v>
      </c>
      <c r="F157" s="1629">
        <v>0</v>
      </c>
      <c r="G157" s="1630">
        <f t="shared" si="6"/>
        <v>0</v>
      </c>
      <c r="H157" s="1515"/>
    </row>
    <row r="158" spans="2:8" s="147" customFormat="1" ht="18" customHeight="1" x14ac:dyDescent="0.2">
      <c r="B158" s="152"/>
      <c r="C158" s="1494" t="s">
        <v>1856</v>
      </c>
      <c r="D158" s="1495" t="s">
        <v>149</v>
      </c>
      <c r="E158" s="1496">
        <v>2</v>
      </c>
      <c r="F158" s="1629">
        <v>0</v>
      </c>
      <c r="G158" s="1630">
        <f t="shared" si="6"/>
        <v>0</v>
      </c>
      <c r="H158" s="1515"/>
    </row>
    <row r="159" spans="2:8" s="147" customFormat="1" ht="18" customHeight="1" x14ac:dyDescent="0.2">
      <c r="B159" s="152"/>
      <c r="C159" s="1494" t="s">
        <v>2164</v>
      </c>
      <c r="D159" s="1495" t="s">
        <v>149</v>
      </c>
      <c r="E159" s="1496">
        <v>1</v>
      </c>
      <c r="F159" s="1629">
        <v>0</v>
      </c>
      <c r="G159" s="1630">
        <f t="shared" si="6"/>
        <v>0</v>
      </c>
      <c r="H159" s="1515"/>
    </row>
    <row r="160" spans="2:8" s="147" customFormat="1" ht="18" customHeight="1" x14ac:dyDescent="0.2">
      <c r="B160" s="152"/>
      <c r="C160" s="1494" t="s">
        <v>1524</v>
      </c>
      <c r="D160" s="1495" t="s">
        <v>149</v>
      </c>
      <c r="E160" s="1496">
        <v>2</v>
      </c>
      <c r="F160" s="1629">
        <v>0</v>
      </c>
      <c r="G160" s="1630">
        <f t="shared" si="6"/>
        <v>0</v>
      </c>
      <c r="H160" s="1515"/>
    </row>
    <row r="161" spans="2:10" s="147" customFormat="1" ht="18" customHeight="1" x14ac:dyDescent="0.2">
      <c r="B161" s="152"/>
      <c r="C161" s="1494" t="s">
        <v>1865</v>
      </c>
      <c r="D161" s="1495" t="s">
        <v>149</v>
      </c>
      <c r="E161" s="1496">
        <v>6</v>
      </c>
      <c r="F161" s="1629">
        <v>0</v>
      </c>
      <c r="G161" s="1630">
        <f t="shared" si="6"/>
        <v>0</v>
      </c>
      <c r="H161" s="1515"/>
    </row>
    <row r="162" spans="2:10" s="1621" customFormat="1" ht="84" x14ac:dyDescent="0.2">
      <c r="B162" s="1631"/>
      <c r="C162" s="1494" t="s">
        <v>533</v>
      </c>
      <c r="D162" s="1495" t="s">
        <v>149</v>
      </c>
      <c r="E162" s="1496">
        <v>1</v>
      </c>
      <c r="F162" s="1629">
        <v>0</v>
      </c>
      <c r="G162" s="1632">
        <f t="shared" si="6"/>
        <v>0</v>
      </c>
      <c r="H162" s="1633"/>
    </row>
    <row r="163" spans="2:10" s="147" customFormat="1" ht="18" customHeight="1" x14ac:dyDescent="0.2">
      <c r="B163" s="152"/>
      <c r="C163" s="1494" t="s">
        <v>535</v>
      </c>
      <c r="D163" s="1495" t="s">
        <v>149</v>
      </c>
      <c r="E163" s="1496">
        <v>1</v>
      </c>
      <c r="F163" s="1629">
        <v>0</v>
      </c>
      <c r="G163" s="1630">
        <f t="shared" si="6"/>
        <v>0</v>
      </c>
      <c r="H163" s="1515"/>
    </row>
    <row r="164" spans="2:10" x14ac:dyDescent="0.2">
      <c r="B164" s="148">
        <v>3</v>
      </c>
      <c r="C164" s="1634" t="s">
        <v>1866</v>
      </c>
      <c r="D164" s="1635"/>
      <c r="E164" s="1636"/>
      <c r="F164" s="1637"/>
      <c r="G164" s="1636"/>
      <c r="H164" s="1843"/>
      <c r="I164" s="1840"/>
      <c r="J164" s="1841"/>
    </row>
    <row r="165" spans="2:10" ht="38.25" x14ac:dyDescent="0.2">
      <c r="B165" s="129"/>
      <c r="C165" s="1850" t="s">
        <v>1867</v>
      </c>
      <c r="D165" s="1510" t="s">
        <v>98</v>
      </c>
      <c r="E165" s="1511">
        <v>1</v>
      </c>
      <c r="F165" s="1512">
        <v>0</v>
      </c>
      <c r="G165" s="1513">
        <f t="shared" ref="G165:G166" si="7">E165*F165</f>
        <v>0</v>
      </c>
      <c r="H165" s="1843"/>
      <c r="I165" s="1840"/>
      <c r="J165" s="1841"/>
    </row>
    <row r="166" spans="2:10" ht="25.5" x14ac:dyDescent="0.2">
      <c r="B166" s="129"/>
      <c r="C166" s="1850" t="s">
        <v>1868</v>
      </c>
      <c r="D166" s="1510" t="s">
        <v>98</v>
      </c>
      <c r="E166" s="1511">
        <v>1</v>
      </c>
      <c r="F166" s="1512">
        <v>0</v>
      </c>
      <c r="G166" s="1513">
        <f t="shared" si="7"/>
        <v>0</v>
      </c>
      <c r="H166" s="1843"/>
      <c r="I166" s="1840"/>
      <c r="J166" s="1841"/>
    </row>
    <row r="167" spans="2:10" s="136" customFormat="1" ht="25.5" customHeight="1" x14ac:dyDescent="0.2">
      <c r="B167" s="293" t="s">
        <v>17</v>
      </c>
      <c r="C167" s="294" t="s">
        <v>302</v>
      </c>
      <c r="D167" s="218"/>
      <c r="E167" s="203"/>
      <c r="F167" s="1516"/>
      <c r="G167" s="1449">
        <f>SUM(G147:G166)</f>
        <v>0</v>
      </c>
      <c r="H167" s="565"/>
    </row>
    <row r="168" spans="2:10" s="136" customFormat="1" ht="25.5" customHeight="1" x14ac:dyDescent="0.2">
      <c r="B168" s="1945"/>
      <c r="C168" s="2950"/>
      <c r="D168" s="2951"/>
      <c r="E168" s="2952"/>
      <c r="F168" s="2953"/>
      <c r="G168" s="2954"/>
      <c r="H168" s="565"/>
    </row>
    <row r="169" spans="2:10" ht="23.25" customHeight="1" x14ac:dyDescent="0.2">
      <c r="B169" s="3007" t="s">
        <v>18</v>
      </c>
      <c r="C169" s="3300" t="s">
        <v>2535</v>
      </c>
      <c r="D169" s="3301"/>
      <c r="E169" s="3301"/>
      <c r="F169" s="3301"/>
      <c r="G169" s="3302"/>
    </row>
    <row r="170" spans="2:10" ht="104.25" customHeight="1" x14ac:dyDescent="0.2">
      <c r="B170" s="3303" t="s">
        <v>1869</v>
      </c>
      <c r="C170" s="3304"/>
      <c r="D170" s="3304"/>
      <c r="E170" s="3304"/>
      <c r="F170" s="3304"/>
      <c r="G170" s="3305"/>
    </row>
    <row r="171" spans="2:10" s="139" customFormat="1" x14ac:dyDescent="0.2">
      <c r="B171" s="1517"/>
      <c r="C171" s="1518"/>
      <c r="D171" s="442"/>
      <c r="E171" s="1519"/>
      <c r="F171" s="1520"/>
      <c r="G171" s="1521"/>
      <c r="H171" s="1430"/>
    </row>
    <row r="172" spans="2:10" x14ac:dyDescent="0.2">
      <c r="B172" s="526" t="s">
        <v>368</v>
      </c>
      <c r="C172" s="527" t="s">
        <v>84</v>
      </c>
      <c r="D172" s="527" t="s">
        <v>546</v>
      </c>
      <c r="E172" s="528" t="s">
        <v>547</v>
      </c>
      <c r="F172" s="529" t="s">
        <v>1873</v>
      </c>
      <c r="G172" s="527" t="s">
        <v>1874</v>
      </c>
      <c r="H172" s="121"/>
    </row>
    <row r="173" spans="2:10" x14ac:dyDescent="0.2">
      <c r="B173" s="530"/>
      <c r="C173" s="1073"/>
      <c r="D173" s="1203"/>
      <c r="E173" s="1204"/>
      <c r="F173" s="1522"/>
      <c r="G173" s="1523"/>
      <c r="H173" s="121"/>
    </row>
    <row r="174" spans="2:10" s="147" customFormat="1" x14ac:dyDescent="0.25">
      <c r="B174" s="1638"/>
      <c r="C174" s="1639"/>
      <c r="D174" s="1203"/>
      <c r="E174" s="1204"/>
      <c r="F174" s="1222"/>
      <c r="G174" s="1223"/>
    </row>
    <row r="175" spans="2:10" s="147" customFormat="1" ht="24" x14ac:dyDescent="0.25">
      <c r="B175" s="1640" t="s">
        <v>8</v>
      </c>
      <c r="C175" s="1641" t="s">
        <v>2165</v>
      </c>
      <c r="D175" s="1199" t="s">
        <v>551</v>
      </c>
      <c r="E175" s="1200" t="s">
        <v>551</v>
      </c>
      <c r="F175" s="1225"/>
      <c r="G175" s="1225"/>
    </row>
    <row r="176" spans="2:10" s="147" customFormat="1" x14ac:dyDescent="0.25">
      <c r="B176" s="1227"/>
      <c r="C176" s="1642"/>
      <c r="D176" s="1201"/>
      <c r="E176" s="1202"/>
      <c r="F176" s="1222"/>
      <c r="G176" s="1222"/>
    </row>
    <row r="177" spans="2:8" s="147" customFormat="1" ht="63.75" x14ac:dyDescent="0.25">
      <c r="B177" s="1643" t="s">
        <v>167</v>
      </c>
      <c r="C177" s="1644" t="s">
        <v>1875</v>
      </c>
      <c r="D177" s="1645" t="s">
        <v>644</v>
      </c>
      <c r="E177" s="1645">
        <v>30</v>
      </c>
      <c r="F177" s="2027">
        <v>0</v>
      </c>
      <c r="G177" s="1647">
        <f t="shared" ref="G177:G184" si="8">E177*F177</f>
        <v>0</v>
      </c>
    </row>
    <row r="178" spans="2:8" s="147" customFormat="1" ht="76.5" x14ac:dyDescent="0.25">
      <c r="B178" s="1643" t="s">
        <v>622</v>
      </c>
      <c r="C178" s="1644" t="s">
        <v>2166</v>
      </c>
      <c r="D178" s="1645" t="s">
        <v>413</v>
      </c>
      <c r="E178" s="1645">
        <f>45*0.8</f>
        <v>36</v>
      </c>
      <c r="F178" s="2027">
        <v>0</v>
      </c>
      <c r="G178" s="1647">
        <f t="shared" si="8"/>
        <v>0</v>
      </c>
    </row>
    <row r="179" spans="2:8" s="147" customFormat="1" ht="51" x14ac:dyDescent="0.25">
      <c r="B179" s="1643" t="s">
        <v>633</v>
      </c>
      <c r="C179" s="1644" t="s">
        <v>1877</v>
      </c>
      <c r="D179" s="1645" t="s">
        <v>123</v>
      </c>
      <c r="E179" s="1645">
        <v>20</v>
      </c>
      <c r="F179" s="2027">
        <v>0</v>
      </c>
      <c r="G179" s="1647">
        <f t="shared" si="8"/>
        <v>0</v>
      </c>
    </row>
    <row r="180" spans="2:8" s="147" customFormat="1" ht="51" x14ac:dyDescent="0.25">
      <c r="B180" s="1643" t="s">
        <v>641</v>
      </c>
      <c r="C180" s="1644" t="s">
        <v>1878</v>
      </c>
      <c r="D180" s="1645" t="s">
        <v>123</v>
      </c>
      <c r="E180" s="1645">
        <v>2</v>
      </c>
      <c r="F180" s="2027">
        <v>0</v>
      </c>
      <c r="G180" s="1647">
        <f t="shared" si="8"/>
        <v>0</v>
      </c>
    </row>
    <row r="181" spans="2:8" s="147" customFormat="1" ht="63.75" x14ac:dyDescent="0.25">
      <c r="B181" s="1643" t="s">
        <v>653</v>
      </c>
      <c r="C181" s="1644" t="s">
        <v>2167</v>
      </c>
      <c r="D181" s="1645" t="s">
        <v>123</v>
      </c>
      <c r="E181" s="1645">
        <v>1</v>
      </c>
      <c r="F181" s="2027">
        <v>0</v>
      </c>
      <c r="G181" s="1647">
        <f t="shared" si="8"/>
        <v>0</v>
      </c>
    </row>
    <row r="182" spans="2:8" s="147" customFormat="1" ht="38.25" x14ac:dyDescent="0.25">
      <c r="B182" s="1643" t="s">
        <v>664</v>
      </c>
      <c r="C182" s="1644" t="s">
        <v>1881</v>
      </c>
      <c r="D182" s="1645" t="s">
        <v>644</v>
      </c>
      <c r="E182" s="1645">
        <v>12</v>
      </c>
      <c r="F182" s="2027">
        <v>0</v>
      </c>
      <c r="G182" s="1647">
        <f t="shared" si="8"/>
        <v>0</v>
      </c>
    </row>
    <row r="183" spans="2:8" s="147" customFormat="1" ht="38.25" x14ac:dyDescent="0.25">
      <c r="B183" s="1643" t="s">
        <v>678</v>
      </c>
      <c r="C183" s="1644" t="s">
        <v>1882</v>
      </c>
      <c r="D183" s="1645" t="s">
        <v>644</v>
      </c>
      <c r="E183" s="1645">
        <v>6</v>
      </c>
      <c r="F183" s="2027">
        <v>0</v>
      </c>
      <c r="G183" s="1647">
        <f t="shared" si="8"/>
        <v>0</v>
      </c>
    </row>
    <row r="184" spans="2:8" s="147" customFormat="1" ht="38.25" x14ac:dyDescent="0.25">
      <c r="B184" s="1643" t="s">
        <v>688</v>
      </c>
      <c r="C184" s="1644" t="s">
        <v>2168</v>
      </c>
      <c r="D184" s="1645" t="s">
        <v>644</v>
      </c>
      <c r="E184" s="1645">
        <v>6</v>
      </c>
      <c r="F184" s="2027">
        <v>0</v>
      </c>
      <c r="G184" s="1647">
        <f t="shared" si="8"/>
        <v>0</v>
      </c>
    </row>
    <row r="185" spans="2:8" s="147" customFormat="1" x14ac:dyDescent="0.25">
      <c r="B185" s="1643"/>
      <c r="C185" s="1648" t="s">
        <v>654</v>
      </c>
      <c r="D185" s="1649"/>
      <c r="E185" s="1650"/>
      <c r="F185" s="2027"/>
      <c r="G185" s="1647"/>
    </row>
    <row r="186" spans="2:8" s="147" customFormat="1" x14ac:dyDescent="0.25">
      <c r="B186" s="1643" t="s">
        <v>1199</v>
      </c>
      <c r="C186" s="1644" t="s">
        <v>2169</v>
      </c>
      <c r="D186" s="1645" t="s">
        <v>644</v>
      </c>
      <c r="E186" s="1645">
        <v>40</v>
      </c>
      <c r="F186" s="2027">
        <v>0</v>
      </c>
      <c r="G186" s="1647">
        <f t="shared" ref="G186:G212" si="9">E186*F186</f>
        <v>0</v>
      </c>
    </row>
    <row r="187" spans="2:8" s="147" customFormat="1" x14ac:dyDescent="0.25">
      <c r="B187" s="1643" t="s">
        <v>1200</v>
      </c>
      <c r="C187" s="1644" t="s">
        <v>1883</v>
      </c>
      <c r="D187" s="1645" t="s">
        <v>644</v>
      </c>
      <c r="E187" s="1645">
        <v>25</v>
      </c>
      <c r="F187" s="2027">
        <v>0</v>
      </c>
      <c r="G187" s="1647">
        <f t="shared" si="9"/>
        <v>0</v>
      </c>
    </row>
    <row r="188" spans="2:8" s="147" customFormat="1" ht="51" x14ac:dyDescent="0.25">
      <c r="B188" s="1643" t="s">
        <v>1201</v>
      </c>
      <c r="C188" s="1644" t="s">
        <v>656</v>
      </c>
      <c r="D188" s="1645" t="s">
        <v>98</v>
      </c>
      <c r="E188" s="1645">
        <v>1</v>
      </c>
      <c r="F188" s="2027">
        <v>0</v>
      </c>
      <c r="G188" s="1647">
        <f t="shared" si="9"/>
        <v>0</v>
      </c>
      <c r="H188" s="1515"/>
    </row>
    <row r="189" spans="2:8" s="147" customFormat="1" ht="38.25" x14ac:dyDescent="0.25">
      <c r="B189" s="1643" t="s">
        <v>1202</v>
      </c>
      <c r="C189" s="1644" t="s">
        <v>657</v>
      </c>
      <c r="D189" s="1645" t="s">
        <v>98</v>
      </c>
      <c r="E189" s="1645">
        <v>1</v>
      </c>
      <c r="F189" s="2027">
        <v>0</v>
      </c>
      <c r="G189" s="1647">
        <f t="shared" si="9"/>
        <v>0</v>
      </c>
      <c r="H189" s="1515"/>
    </row>
    <row r="190" spans="2:8" s="147" customFormat="1" ht="38.25" x14ac:dyDescent="0.25">
      <c r="B190" s="1643" t="s">
        <v>1203</v>
      </c>
      <c r="C190" s="1644" t="s">
        <v>666</v>
      </c>
      <c r="D190" s="1645" t="s">
        <v>644</v>
      </c>
      <c r="E190" s="1645">
        <v>10</v>
      </c>
      <c r="F190" s="2027">
        <v>0</v>
      </c>
      <c r="G190" s="1647">
        <f t="shared" si="9"/>
        <v>0</v>
      </c>
      <c r="H190" s="1515"/>
    </row>
    <row r="191" spans="2:8" s="147" customFormat="1" x14ac:dyDescent="0.25">
      <c r="B191" s="1643" t="s">
        <v>1204</v>
      </c>
      <c r="C191" s="1644" t="s">
        <v>667</v>
      </c>
      <c r="D191" s="1645" t="s">
        <v>644</v>
      </c>
      <c r="E191" s="1645">
        <v>40</v>
      </c>
      <c r="F191" s="2027">
        <v>0</v>
      </c>
      <c r="G191" s="1647">
        <f t="shared" si="9"/>
        <v>0</v>
      </c>
      <c r="H191" s="1651"/>
    </row>
    <row r="192" spans="2:8" s="147" customFormat="1" ht="25.5" x14ac:dyDescent="0.25">
      <c r="B192" s="1643" t="s">
        <v>1646</v>
      </c>
      <c r="C192" s="1644" t="s">
        <v>668</v>
      </c>
      <c r="D192" s="1645" t="s">
        <v>644</v>
      </c>
      <c r="E192" s="1645">
        <v>20</v>
      </c>
      <c r="F192" s="2027">
        <v>0</v>
      </c>
      <c r="G192" s="1647">
        <f t="shared" si="9"/>
        <v>0</v>
      </c>
      <c r="H192" s="1651"/>
    </row>
    <row r="193" spans="2:8" s="147" customFormat="1" ht="25.5" x14ac:dyDescent="0.25">
      <c r="B193" s="1643" t="s">
        <v>1647</v>
      </c>
      <c r="C193" s="1644" t="s">
        <v>1887</v>
      </c>
      <c r="D193" s="1645" t="s">
        <v>123</v>
      </c>
      <c r="E193" s="1645">
        <v>2</v>
      </c>
      <c r="F193" s="2027">
        <v>0</v>
      </c>
      <c r="G193" s="1647">
        <f t="shared" si="9"/>
        <v>0</v>
      </c>
      <c r="H193" s="1651"/>
    </row>
    <row r="194" spans="2:8" s="147" customFormat="1" ht="63.75" x14ac:dyDescent="0.25">
      <c r="B194" s="1643" t="s">
        <v>1884</v>
      </c>
      <c r="C194" s="1644" t="s">
        <v>1889</v>
      </c>
      <c r="D194" s="1645" t="s">
        <v>123</v>
      </c>
      <c r="E194" s="1645">
        <v>1</v>
      </c>
      <c r="F194" s="2027">
        <v>0</v>
      </c>
      <c r="G194" s="1647">
        <f t="shared" si="9"/>
        <v>0</v>
      </c>
      <c r="H194" s="1651"/>
    </row>
    <row r="195" spans="2:8" s="147" customFormat="1" ht="38.25" x14ac:dyDescent="0.25">
      <c r="B195" s="1643" t="s">
        <v>1885</v>
      </c>
      <c r="C195" s="1644" t="s">
        <v>1891</v>
      </c>
      <c r="D195" s="1645" t="s">
        <v>123</v>
      </c>
      <c r="E195" s="1645">
        <v>1</v>
      </c>
      <c r="F195" s="2027">
        <v>0</v>
      </c>
      <c r="G195" s="1647">
        <f t="shared" si="9"/>
        <v>0</v>
      </c>
      <c r="H195" s="1651"/>
    </row>
    <row r="196" spans="2:8" s="147" customFormat="1" ht="25.5" x14ac:dyDescent="0.25">
      <c r="B196" s="1643" t="s">
        <v>1886</v>
      </c>
      <c r="C196" s="1644" t="s">
        <v>1893</v>
      </c>
      <c r="D196" s="1645" t="s">
        <v>123</v>
      </c>
      <c r="E196" s="1645">
        <v>4</v>
      </c>
      <c r="F196" s="2027">
        <v>0</v>
      </c>
      <c r="G196" s="1647">
        <f t="shared" si="9"/>
        <v>0</v>
      </c>
      <c r="H196" s="1526"/>
    </row>
    <row r="197" spans="2:8" s="147" customFormat="1" ht="25.5" x14ac:dyDescent="0.25">
      <c r="B197" s="1643" t="s">
        <v>1888</v>
      </c>
      <c r="C197" s="1644" t="s">
        <v>1895</v>
      </c>
      <c r="D197" s="1645" t="s">
        <v>123</v>
      </c>
      <c r="E197" s="1645">
        <v>2</v>
      </c>
      <c r="F197" s="2027">
        <v>0</v>
      </c>
      <c r="G197" s="1647">
        <f t="shared" si="9"/>
        <v>0</v>
      </c>
      <c r="H197" s="1651"/>
    </row>
    <row r="198" spans="2:8" s="147" customFormat="1" ht="25.5" x14ac:dyDescent="0.25">
      <c r="B198" s="1643" t="s">
        <v>1890</v>
      </c>
      <c r="C198" s="1644" t="s">
        <v>1897</v>
      </c>
      <c r="D198" s="1645" t="s">
        <v>123</v>
      </c>
      <c r="E198" s="1645">
        <v>2</v>
      </c>
      <c r="F198" s="2027">
        <v>0</v>
      </c>
      <c r="G198" s="1647">
        <f t="shared" si="9"/>
        <v>0</v>
      </c>
      <c r="H198" s="1651"/>
    </row>
    <row r="199" spans="2:8" s="147" customFormat="1" ht="38.25" x14ac:dyDescent="0.25">
      <c r="B199" s="1643" t="s">
        <v>1892</v>
      </c>
      <c r="C199" s="1644" t="s">
        <v>1899</v>
      </c>
      <c r="D199" s="1645" t="s">
        <v>644</v>
      </c>
      <c r="E199" s="1645">
        <v>25</v>
      </c>
      <c r="F199" s="2027">
        <v>0</v>
      </c>
      <c r="G199" s="1647">
        <f t="shared" si="9"/>
        <v>0</v>
      </c>
      <c r="H199" s="1651"/>
    </row>
    <row r="200" spans="2:8" s="147" customFormat="1" ht="38.25" x14ac:dyDescent="0.25">
      <c r="B200" s="1643" t="s">
        <v>1894</v>
      </c>
      <c r="C200" s="1644" t="s">
        <v>1901</v>
      </c>
      <c r="D200" s="1645" t="s">
        <v>644</v>
      </c>
      <c r="E200" s="1645">
        <v>15</v>
      </c>
      <c r="F200" s="2027">
        <v>0</v>
      </c>
      <c r="G200" s="1647">
        <f t="shared" si="9"/>
        <v>0</v>
      </c>
      <c r="H200" s="1651"/>
    </row>
    <row r="201" spans="2:8" s="147" customFormat="1" x14ac:dyDescent="0.25">
      <c r="B201" s="1643" t="s">
        <v>1896</v>
      </c>
      <c r="C201" s="1644" t="s">
        <v>1903</v>
      </c>
      <c r="D201" s="1645" t="s">
        <v>644</v>
      </c>
      <c r="E201" s="1645">
        <v>25</v>
      </c>
      <c r="F201" s="2027">
        <v>0</v>
      </c>
      <c r="G201" s="1647">
        <f t="shared" si="9"/>
        <v>0</v>
      </c>
      <c r="H201" s="1651"/>
    </row>
    <row r="202" spans="2:8" s="147" customFormat="1" x14ac:dyDescent="0.25">
      <c r="B202" s="1643" t="s">
        <v>1898</v>
      </c>
      <c r="C202" s="1644" t="s">
        <v>1905</v>
      </c>
      <c r="D202" s="1645" t="s">
        <v>644</v>
      </c>
      <c r="E202" s="1645">
        <v>25</v>
      </c>
      <c r="F202" s="2027">
        <v>0</v>
      </c>
      <c r="G202" s="1647">
        <f t="shared" si="9"/>
        <v>0</v>
      </c>
      <c r="H202" s="1651"/>
    </row>
    <row r="203" spans="2:8" s="147" customFormat="1" x14ac:dyDescent="0.25">
      <c r="B203" s="1643" t="s">
        <v>1900</v>
      </c>
      <c r="C203" s="1644" t="s">
        <v>1907</v>
      </c>
      <c r="D203" s="1645" t="s">
        <v>644</v>
      </c>
      <c r="E203" s="1645">
        <v>30</v>
      </c>
      <c r="F203" s="2027">
        <v>0</v>
      </c>
      <c r="G203" s="1647">
        <f t="shared" si="9"/>
        <v>0</v>
      </c>
      <c r="H203" s="1651"/>
    </row>
    <row r="204" spans="2:8" s="147" customFormat="1" x14ac:dyDescent="0.25">
      <c r="B204" s="1643" t="s">
        <v>1902</v>
      </c>
      <c r="C204" s="1644" t="s">
        <v>1909</v>
      </c>
      <c r="D204" s="1645" t="s">
        <v>644</v>
      </c>
      <c r="E204" s="1645">
        <v>6</v>
      </c>
      <c r="F204" s="2027">
        <v>0</v>
      </c>
      <c r="G204" s="1647">
        <f t="shared" si="9"/>
        <v>0</v>
      </c>
      <c r="H204" s="1651"/>
    </row>
    <row r="205" spans="2:8" s="147" customFormat="1" ht="51" x14ac:dyDescent="0.25">
      <c r="B205" s="1643" t="s">
        <v>1904</v>
      </c>
      <c r="C205" s="1644" t="s">
        <v>1911</v>
      </c>
      <c r="D205" s="1645" t="s">
        <v>644</v>
      </c>
      <c r="E205" s="1645">
        <v>25</v>
      </c>
      <c r="F205" s="2027">
        <v>0</v>
      </c>
      <c r="G205" s="1647">
        <f t="shared" si="9"/>
        <v>0</v>
      </c>
      <c r="H205" s="1651"/>
    </row>
    <row r="206" spans="2:8" s="147" customFormat="1" ht="25.5" x14ac:dyDescent="0.25">
      <c r="B206" s="1643" t="s">
        <v>1906</v>
      </c>
      <c r="C206" s="1644" t="s">
        <v>1913</v>
      </c>
      <c r="D206" s="1645" t="s">
        <v>644</v>
      </c>
      <c r="E206" s="1645">
        <f>5*10</f>
        <v>50</v>
      </c>
      <c r="F206" s="2027">
        <v>0</v>
      </c>
      <c r="G206" s="1647">
        <f t="shared" si="9"/>
        <v>0</v>
      </c>
      <c r="H206" s="1651"/>
    </row>
    <row r="207" spans="2:8" s="147" customFormat="1" ht="25.5" x14ac:dyDescent="0.25">
      <c r="B207" s="1643" t="s">
        <v>1908</v>
      </c>
      <c r="C207" s="1644" t="s">
        <v>1915</v>
      </c>
      <c r="D207" s="1645" t="s">
        <v>644</v>
      </c>
      <c r="E207" s="1645">
        <v>60</v>
      </c>
      <c r="F207" s="2027">
        <v>0</v>
      </c>
      <c r="G207" s="1647">
        <f t="shared" si="9"/>
        <v>0</v>
      </c>
      <c r="H207" s="1651"/>
    </row>
    <row r="208" spans="2:8" s="147" customFormat="1" x14ac:dyDescent="0.25">
      <c r="B208" s="1643" t="s">
        <v>1910</v>
      </c>
      <c r="C208" s="1644" t="s">
        <v>1917</v>
      </c>
      <c r="D208" s="1645" t="s">
        <v>644</v>
      </c>
      <c r="E208" s="1645">
        <v>30</v>
      </c>
      <c r="F208" s="2027">
        <v>0</v>
      </c>
      <c r="G208" s="1647">
        <f t="shared" si="9"/>
        <v>0</v>
      </c>
      <c r="H208" s="1651"/>
    </row>
    <row r="209" spans="2:8" s="147" customFormat="1" x14ac:dyDescent="0.25">
      <c r="B209" s="1643" t="s">
        <v>1912</v>
      </c>
      <c r="C209" s="1644" t="s">
        <v>1919</v>
      </c>
      <c r="D209" s="1645" t="s">
        <v>644</v>
      </c>
      <c r="E209" s="1645">
        <v>30</v>
      </c>
      <c r="F209" s="2027">
        <v>0</v>
      </c>
      <c r="G209" s="1647">
        <f t="shared" si="9"/>
        <v>0</v>
      </c>
      <c r="H209" s="1651"/>
    </row>
    <row r="210" spans="2:8" s="147" customFormat="1" x14ac:dyDescent="0.25">
      <c r="B210" s="1643" t="s">
        <v>1914</v>
      </c>
      <c r="C210" s="1644" t="s">
        <v>649</v>
      </c>
      <c r="D210" s="1645" t="s">
        <v>644</v>
      </c>
      <c r="E210" s="1645">
        <v>5</v>
      </c>
      <c r="F210" s="2027">
        <v>0</v>
      </c>
      <c r="G210" s="1647">
        <f t="shared" si="9"/>
        <v>0</v>
      </c>
      <c r="H210" s="1651"/>
    </row>
    <row r="211" spans="2:8" s="147" customFormat="1" x14ac:dyDescent="0.25">
      <c r="B211" s="1643" t="s">
        <v>1916</v>
      </c>
      <c r="C211" s="1644" t="s">
        <v>650</v>
      </c>
      <c r="D211" s="1645" t="s">
        <v>149</v>
      </c>
      <c r="E211" s="1645">
        <v>3</v>
      </c>
      <c r="F211" s="2027">
        <v>0</v>
      </c>
      <c r="G211" s="1647">
        <f t="shared" si="9"/>
        <v>0</v>
      </c>
      <c r="H211" s="1651"/>
    </row>
    <row r="212" spans="2:8" s="147" customFormat="1" x14ac:dyDescent="0.25">
      <c r="B212" s="1643" t="s">
        <v>1918</v>
      </c>
      <c r="C212" s="1652" t="s">
        <v>1923</v>
      </c>
      <c r="D212" s="1645" t="s">
        <v>123</v>
      </c>
      <c r="E212" s="1645">
        <v>2</v>
      </c>
      <c r="F212" s="2027">
        <v>0</v>
      </c>
      <c r="G212" s="1647">
        <f t="shared" si="9"/>
        <v>0</v>
      </c>
      <c r="H212" s="1651"/>
    </row>
    <row r="213" spans="2:8" s="147" customFormat="1" ht="13.5" thickBot="1" x14ac:dyDescent="0.3">
      <c r="B213" s="1643" t="s">
        <v>1920</v>
      </c>
      <c r="C213" s="1653" t="s">
        <v>1925</v>
      </c>
      <c r="D213" s="1654" t="s">
        <v>98</v>
      </c>
      <c r="E213" s="1654">
        <v>1</v>
      </c>
      <c r="F213" s="2027">
        <v>0</v>
      </c>
      <c r="G213" s="1647">
        <f>F213*E213</f>
        <v>0</v>
      </c>
      <c r="H213" s="1651"/>
    </row>
    <row r="214" spans="2:8" s="147" customFormat="1" ht="24.75" thickBot="1" x14ac:dyDescent="0.3">
      <c r="B214" s="2955" t="s">
        <v>8</v>
      </c>
      <c r="C214" s="2998" t="s">
        <v>1870</v>
      </c>
      <c r="D214" s="2962"/>
      <c r="E214" s="2963"/>
      <c r="F214" s="2999"/>
      <c r="G214" s="3000">
        <f>SUM(G177:G213)</f>
        <v>0</v>
      </c>
      <c r="H214" s="1651"/>
    </row>
    <row r="215" spans="2:8" x14ac:dyDescent="0.2">
      <c r="B215" s="1229"/>
      <c r="C215" s="1527"/>
      <c r="D215" s="1528"/>
      <c r="E215" s="1529"/>
      <c r="F215" s="1530"/>
      <c r="G215" s="1531"/>
      <c r="H215" s="1532"/>
    </row>
    <row r="216" spans="2:8" s="147" customFormat="1" x14ac:dyDescent="0.25">
      <c r="B216" s="1655"/>
      <c r="C216" s="1656" t="s">
        <v>2170</v>
      </c>
      <c r="D216" s="1657"/>
      <c r="E216" s="1658"/>
      <c r="F216" s="1659"/>
      <c r="G216" s="1660"/>
      <c r="H216" s="1651"/>
    </row>
    <row r="217" spans="2:8" s="147" customFormat="1" ht="45" customHeight="1" x14ac:dyDescent="0.25">
      <c r="B217" s="3306" t="s">
        <v>1927</v>
      </c>
      <c r="C217" s="3307"/>
      <c r="D217" s="3307"/>
      <c r="E217" s="3307"/>
      <c r="F217" s="3307"/>
      <c r="G217" s="3307"/>
      <c r="H217" s="1661"/>
    </row>
    <row r="218" spans="2:8" s="147" customFormat="1" x14ac:dyDescent="0.25">
      <c r="B218" s="1662"/>
      <c r="C218" s="1663"/>
      <c r="D218" s="1544"/>
      <c r="E218" s="1545"/>
      <c r="F218" s="1664"/>
      <c r="G218" s="1547"/>
      <c r="H218" s="1515"/>
    </row>
    <row r="219" spans="2:8" s="147" customFormat="1" x14ac:dyDescent="0.25">
      <c r="B219" s="1665" t="s">
        <v>15</v>
      </c>
      <c r="C219" s="1666" t="s">
        <v>1928</v>
      </c>
      <c r="D219" s="1667"/>
      <c r="E219" s="1667"/>
      <c r="F219" s="1668"/>
      <c r="G219" s="1669"/>
      <c r="H219" s="1651"/>
    </row>
    <row r="220" spans="2:8" s="147" customFormat="1" x14ac:dyDescent="0.25">
      <c r="B220" s="1670"/>
      <c r="C220" s="1671"/>
      <c r="D220" s="1672"/>
      <c r="E220" s="1672"/>
      <c r="F220" s="1673"/>
      <c r="G220" s="1673"/>
      <c r="H220" s="1515"/>
    </row>
    <row r="221" spans="2:8" s="147" customFormat="1" x14ac:dyDescent="0.25">
      <c r="B221" s="1674" t="s">
        <v>83</v>
      </c>
      <c r="C221" s="1674" t="s">
        <v>84</v>
      </c>
      <c r="D221" s="1674" t="s">
        <v>1929</v>
      </c>
      <c r="E221" s="1674" t="s">
        <v>547</v>
      </c>
      <c r="F221" s="1674" t="s">
        <v>1873</v>
      </c>
      <c r="G221" s="1674" t="s">
        <v>1874</v>
      </c>
      <c r="H221" s="1651"/>
    </row>
    <row r="222" spans="2:8" s="147" customFormat="1" ht="76.5" x14ac:dyDescent="0.25">
      <c r="B222" s="1643" t="s">
        <v>173</v>
      </c>
      <c r="C222" s="1652" t="s">
        <v>1930</v>
      </c>
      <c r="D222" s="1645" t="s">
        <v>98</v>
      </c>
      <c r="E222" s="1675">
        <v>1</v>
      </c>
      <c r="F222" s="1882">
        <v>0</v>
      </c>
      <c r="G222" s="1647">
        <f t="shared" ref="G222:G274" si="10">E222*F222</f>
        <v>0</v>
      </c>
      <c r="H222" s="1651"/>
    </row>
    <row r="223" spans="2:8" s="147" customFormat="1" ht="51" x14ac:dyDescent="0.25">
      <c r="B223" s="1643" t="s">
        <v>175</v>
      </c>
      <c r="C223" s="1652" t="s">
        <v>1931</v>
      </c>
      <c r="D223" s="1645" t="s">
        <v>553</v>
      </c>
      <c r="E223" s="1675">
        <v>1</v>
      </c>
      <c r="F223" s="1882">
        <v>0</v>
      </c>
      <c r="G223" s="1647">
        <f t="shared" si="10"/>
        <v>0</v>
      </c>
      <c r="H223" s="1651"/>
    </row>
    <row r="224" spans="2:8" s="147" customFormat="1" ht="25.5" x14ac:dyDescent="0.25">
      <c r="B224" s="1643" t="s">
        <v>177</v>
      </c>
      <c r="C224" s="1652" t="s">
        <v>2171</v>
      </c>
      <c r="D224" s="1645" t="s">
        <v>123</v>
      </c>
      <c r="E224" s="1675">
        <v>1</v>
      </c>
      <c r="F224" s="1882">
        <v>0</v>
      </c>
      <c r="G224" s="1647">
        <f t="shared" si="10"/>
        <v>0</v>
      </c>
      <c r="H224" s="1651"/>
    </row>
    <row r="225" spans="2:8" s="147" customFormat="1" ht="25.5" x14ac:dyDescent="0.25">
      <c r="B225" s="1643" t="s">
        <v>1210</v>
      </c>
      <c r="C225" s="1644" t="s">
        <v>2172</v>
      </c>
      <c r="D225" s="1645" t="s">
        <v>149</v>
      </c>
      <c r="E225" s="1675">
        <v>1</v>
      </c>
      <c r="F225" s="1882">
        <v>0</v>
      </c>
      <c r="G225" s="1647">
        <f t="shared" si="10"/>
        <v>0</v>
      </c>
      <c r="H225" s="1651"/>
    </row>
    <row r="226" spans="2:8" s="147" customFormat="1" ht="89.25" x14ac:dyDescent="0.25">
      <c r="B226" s="1643" t="s">
        <v>1933</v>
      </c>
      <c r="C226" s="1644" t="s">
        <v>2173</v>
      </c>
      <c r="D226" s="1645" t="s">
        <v>123</v>
      </c>
      <c r="E226" s="1675">
        <v>1</v>
      </c>
      <c r="F226" s="1882">
        <v>0</v>
      </c>
      <c r="G226" s="1647">
        <f t="shared" si="10"/>
        <v>0</v>
      </c>
      <c r="H226" s="1651"/>
    </row>
    <row r="227" spans="2:8" s="147" customFormat="1" ht="25.5" x14ac:dyDescent="0.25">
      <c r="B227" s="1643" t="s">
        <v>1214</v>
      </c>
      <c r="C227" s="1644" t="s">
        <v>1935</v>
      </c>
      <c r="D227" s="1645" t="s">
        <v>123</v>
      </c>
      <c r="E227" s="1675">
        <v>1</v>
      </c>
      <c r="F227" s="1882">
        <v>0</v>
      </c>
      <c r="G227" s="1647">
        <f t="shared" si="10"/>
        <v>0</v>
      </c>
      <c r="H227" s="1651"/>
    </row>
    <row r="228" spans="2:8" s="147" customFormat="1" x14ac:dyDescent="0.25">
      <c r="B228" s="1643" t="s">
        <v>1315</v>
      </c>
      <c r="C228" s="1644" t="s">
        <v>1936</v>
      </c>
      <c r="D228" s="1645" t="s">
        <v>123</v>
      </c>
      <c r="E228" s="1675">
        <v>1</v>
      </c>
      <c r="F228" s="1882">
        <v>0</v>
      </c>
      <c r="G228" s="1647">
        <f t="shared" si="10"/>
        <v>0</v>
      </c>
      <c r="H228" s="1651"/>
    </row>
    <row r="229" spans="2:8" s="147" customFormat="1" ht="25.5" x14ac:dyDescent="0.25">
      <c r="B229" s="1643" t="s">
        <v>1937</v>
      </c>
      <c r="C229" s="1644" t="s">
        <v>1938</v>
      </c>
      <c r="D229" s="1645" t="s">
        <v>123</v>
      </c>
      <c r="E229" s="1675">
        <v>2</v>
      </c>
      <c r="F229" s="1882">
        <v>0</v>
      </c>
      <c r="G229" s="1647">
        <f t="shared" si="10"/>
        <v>0</v>
      </c>
      <c r="H229" s="1651"/>
    </row>
    <row r="230" spans="2:8" s="147" customFormat="1" x14ac:dyDescent="0.25">
      <c r="B230" s="1643" t="s">
        <v>1939</v>
      </c>
      <c r="C230" s="1644" t="s">
        <v>1940</v>
      </c>
      <c r="D230" s="1645" t="s">
        <v>123</v>
      </c>
      <c r="E230" s="1675">
        <v>1</v>
      </c>
      <c r="F230" s="1882">
        <v>0</v>
      </c>
      <c r="G230" s="1647">
        <f t="shared" si="10"/>
        <v>0</v>
      </c>
      <c r="H230" s="1651"/>
    </row>
    <row r="231" spans="2:8" s="147" customFormat="1" ht="25.5" x14ac:dyDescent="0.25">
      <c r="B231" s="1643" t="s">
        <v>1220</v>
      </c>
      <c r="C231" s="1644" t="s">
        <v>1941</v>
      </c>
      <c r="D231" s="1645" t="s">
        <v>123</v>
      </c>
      <c r="E231" s="1675">
        <v>1</v>
      </c>
      <c r="F231" s="1882">
        <v>0</v>
      </c>
      <c r="G231" s="1647">
        <f t="shared" si="10"/>
        <v>0</v>
      </c>
      <c r="H231" s="1651"/>
    </row>
    <row r="232" spans="2:8" s="147" customFormat="1" ht="51" x14ac:dyDescent="0.25">
      <c r="B232" s="1643" t="s">
        <v>1222</v>
      </c>
      <c r="C232" s="1644" t="s">
        <v>1942</v>
      </c>
      <c r="D232" s="1645" t="s">
        <v>98</v>
      </c>
      <c r="E232" s="1675">
        <v>1</v>
      </c>
      <c r="F232" s="1882">
        <v>0</v>
      </c>
      <c r="G232" s="1647">
        <f t="shared" si="10"/>
        <v>0</v>
      </c>
      <c r="H232" s="1651"/>
    </row>
    <row r="233" spans="2:8" s="147" customFormat="1" ht="25.5" x14ac:dyDescent="0.25">
      <c r="B233" s="1643" t="s">
        <v>1224</v>
      </c>
      <c r="C233" s="1644" t="s">
        <v>2174</v>
      </c>
      <c r="D233" s="1645" t="s">
        <v>123</v>
      </c>
      <c r="E233" s="1675">
        <v>1</v>
      </c>
      <c r="F233" s="1882">
        <v>0</v>
      </c>
      <c r="G233" s="1647">
        <f t="shared" si="10"/>
        <v>0</v>
      </c>
      <c r="H233" s="1651"/>
    </row>
    <row r="234" spans="2:8" s="147" customFormat="1" ht="25.5" x14ac:dyDescent="0.25">
      <c r="B234" s="1643" t="s">
        <v>1227</v>
      </c>
      <c r="C234" s="1644" t="s">
        <v>2175</v>
      </c>
      <c r="D234" s="1645" t="s">
        <v>123</v>
      </c>
      <c r="E234" s="1675">
        <v>1</v>
      </c>
      <c r="F234" s="1882">
        <v>0</v>
      </c>
      <c r="G234" s="1647">
        <f t="shared" si="10"/>
        <v>0</v>
      </c>
      <c r="H234" s="1651"/>
    </row>
    <row r="235" spans="2:8" s="147" customFormat="1" ht="25.5" x14ac:dyDescent="0.25">
      <c r="B235" s="1643" t="s">
        <v>1229</v>
      </c>
      <c r="C235" s="1644" t="s">
        <v>2176</v>
      </c>
      <c r="D235" s="1645" t="s">
        <v>123</v>
      </c>
      <c r="E235" s="1675">
        <v>1</v>
      </c>
      <c r="F235" s="1882">
        <v>0</v>
      </c>
      <c r="G235" s="1647">
        <f t="shared" si="10"/>
        <v>0</v>
      </c>
      <c r="H235" s="1651"/>
    </row>
    <row r="236" spans="2:8" s="147" customFormat="1" ht="38.25" x14ac:dyDescent="0.25">
      <c r="B236" s="1643" t="s">
        <v>1231</v>
      </c>
      <c r="C236" s="1644" t="s">
        <v>605</v>
      </c>
      <c r="D236" s="1645" t="s">
        <v>553</v>
      </c>
      <c r="E236" s="1675">
        <v>1</v>
      </c>
      <c r="F236" s="1882">
        <v>0</v>
      </c>
      <c r="G236" s="1647">
        <f t="shared" si="10"/>
        <v>0</v>
      </c>
      <c r="H236" s="1651"/>
    </row>
    <row r="237" spans="2:8" s="147" customFormat="1" ht="25.5" x14ac:dyDescent="0.25">
      <c r="B237" s="1643" t="s">
        <v>1233</v>
      </c>
      <c r="C237" s="1644" t="s">
        <v>1946</v>
      </c>
      <c r="D237" s="1645" t="s">
        <v>123</v>
      </c>
      <c r="E237" s="1675">
        <v>3</v>
      </c>
      <c r="F237" s="1882">
        <v>0</v>
      </c>
      <c r="G237" s="1647">
        <f t="shared" si="10"/>
        <v>0</v>
      </c>
      <c r="H237" s="1651"/>
    </row>
    <row r="238" spans="2:8" s="147" customFormat="1" ht="178.5" x14ac:dyDescent="0.25">
      <c r="B238" s="1643" t="s">
        <v>1235</v>
      </c>
      <c r="C238" s="1644" t="s">
        <v>567</v>
      </c>
      <c r="D238" s="1645" t="s">
        <v>123</v>
      </c>
      <c r="E238" s="1675">
        <v>1</v>
      </c>
      <c r="F238" s="1882">
        <v>0</v>
      </c>
      <c r="G238" s="1647">
        <f t="shared" si="10"/>
        <v>0</v>
      </c>
      <c r="H238" s="1651"/>
    </row>
    <row r="239" spans="2:8" s="147" customFormat="1" ht="51" x14ac:dyDescent="0.25">
      <c r="B239" s="1643" t="s">
        <v>1237</v>
      </c>
      <c r="C239" s="1644" t="s">
        <v>1947</v>
      </c>
      <c r="D239" s="1645" t="s">
        <v>123</v>
      </c>
      <c r="E239" s="1675">
        <v>1</v>
      </c>
      <c r="F239" s="1882">
        <v>0</v>
      </c>
      <c r="G239" s="1647">
        <f t="shared" si="10"/>
        <v>0</v>
      </c>
      <c r="H239" s="1651"/>
    </row>
    <row r="240" spans="2:8" s="147" customFormat="1" ht="63.75" x14ac:dyDescent="0.25">
      <c r="B240" s="1643" t="s">
        <v>1239</v>
      </c>
      <c r="C240" s="1644" t="s">
        <v>1948</v>
      </c>
      <c r="D240" s="1645" t="s">
        <v>123</v>
      </c>
      <c r="E240" s="1675">
        <v>1</v>
      </c>
      <c r="F240" s="1882">
        <v>0</v>
      </c>
      <c r="G240" s="1647">
        <f t="shared" si="10"/>
        <v>0</v>
      </c>
      <c r="H240" s="1548"/>
    </row>
    <row r="241" spans="2:8" s="147" customFormat="1" ht="25.5" x14ac:dyDescent="0.25">
      <c r="B241" s="1643" t="s">
        <v>1241</v>
      </c>
      <c r="C241" s="1644" t="s">
        <v>2177</v>
      </c>
      <c r="D241" s="1645" t="s">
        <v>123</v>
      </c>
      <c r="E241" s="1675">
        <v>3</v>
      </c>
      <c r="F241" s="1882">
        <v>0</v>
      </c>
      <c r="G241" s="1647">
        <f t="shared" si="10"/>
        <v>0</v>
      </c>
      <c r="H241" s="1651"/>
    </row>
    <row r="242" spans="2:8" s="147" customFormat="1" ht="25.5" x14ac:dyDescent="0.25">
      <c r="B242" s="1643" t="s">
        <v>1243</v>
      </c>
      <c r="C242" s="1644" t="s">
        <v>2178</v>
      </c>
      <c r="D242" s="1645" t="s">
        <v>123</v>
      </c>
      <c r="E242" s="1675">
        <v>1</v>
      </c>
      <c r="F242" s="1882">
        <v>0</v>
      </c>
      <c r="G242" s="1647">
        <f t="shared" si="10"/>
        <v>0</v>
      </c>
      <c r="H242" s="1651"/>
    </row>
    <row r="243" spans="2:8" s="147" customFormat="1" ht="25.5" x14ac:dyDescent="0.25">
      <c r="B243" s="1643" t="s">
        <v>1284</v>
      </c>
      <c r="C243" s="1644" t="s">
        <v>2179</v>
      </c>
      <c r="D243" s="1645" t="s">
        <v>123</v>
      </c>
      <c r="E243" s="1675">
        <v>4</v>
      </c>
      <c r="F243" s="1882">
        <v>0</v>
      </c>
      <c r="G243" s="1647">
        <f t="shared" si="10"/>
        <v>0</v>
      </c>
      <c r="H243" s="1651"/>
    </row>
    <row r="244" spans="2:8" s="147" customFormat="1" ht="25.5" x14ac:dyDescent="0.25">
      <c r="B244" s="1643" t="s">
        <v>1285</v>
      </c>
      <c r="C244" s="1644" t="s">
        <v>2180</v>
      </c>
      <c r="D244" s="1645" t="s">
        <v>123</v>
      </c>
      <c r="E244" s="1675">
        <v>1</v>
      </c>
      <c r="F244" s="1882">
        <v>0</v>
      </c>
      <c r="G244" s="1647">
        <f t="shared" si="10"/>
        <v>0</v>
      </c>
      <c r="H244" s="1651"/>
    </row>
    <row r="245" spans="2:8" s="147" customFormat="1" ht="25.5" x14ac:dyDescent="0.25">
      <c r="B245" s="1643" t="s">
        <v>1286</v>
      </c>
      <c r="C245" s="1644" t="s">
        <v>2181</v>
      </c>
      <c r="D245" s="1645" t="s">
        <v>123</v>
      </c>
      <c r="E245" s="1675">
        <v>1</v>
      </c>
      <c r="F245" s="1882">
        <v>0</v>
      </c>
      <c r="G245" s="1647">
        <f t="shared" si="10"/>
        <v>0</v>
      </c>
      <c r="H245" s="1651"/>
    </row>
    <row r="246" spans="2:8" s="147" customFormat="1" ht="25.5" x14ac:dyDescent="0.25">
      <c r="B246" s="1643" t="s">
        <v>1954</v>
      </c>
      <c r="C246" s="1644" t="s">
        <v>2182</v>
      </c>
      <c r="D246" s="1645" t="s">
        <v>123</v>
      </c>
      <c r="E246" s="1675">
        <v>5</v>
      </c>
      <c r="F246" s="1882">
        <v>0</v>
      </c>
      <c r="G246" s="1647">
        <f t="shared" si="10"/>
        <v>0</v>
      </c>
      <c r="H246" s="1651"/>
    </row>
    <row r="247" spans="2:8" s="147" customFormat="1" ht="25.5" x14ac:dyDescent="0.25">
      <c r="B247" s="1643" t="s">
        <v>1956</v>
      </c>
      <c r="C247" s="1644" t="s">
        <v>1957</v>
      </c>
      <c r="D247" s="1645" t="s">
        <v>123</v>
      </c>
      <c r="E247" s="1675">
        <v>3</v>
      </c>
      <c r="F247" s="1882">
        <v>0</v>
      </c>
      <c r="G247" s="1647">
        <f t="shared" si="10"/>
        <v>0</v>
      </c>
      <c r="H247" s="1548"/>
    </row>
    <row r="248" spans="2:8" s="147" customFormat="1" ht="76.5" x14ac:dyDescent="0.25">
      <c r="B248" s="1643" t="s">
        <v>1958</v>
      </c>
      <c r="C248" s="1644" t="s">
        <v>2183</v>
      </c>
      <c r="D248" s="1645" t="s">
        <v>123</v>
      </c>
      <c r="E248" s="1675">
        <v>2</v>
      </c>
      <c r="F248" s="1882">
        <v>0</v>
      </c>
      <c r="G248" s="1647">
        <f t="shared" si="10"/>
        <v>0</v>
      </c>
      <c r="H248" s="1651"/>
    </row>
    <row r="249" spans="2:8" s="147" customFormat="1" ht="51" x14ac:dyDescent="0.25">
      <c r="B249" s="1643" t="s">
        <v>1960</v>
      </c>
      <c r="C249" s="1644" t="s">
        <v>1961</v>
      </c>
      <c r="D249" s="1645" t="s">
        <v>123</v>
      </c>
      <c r="E249" s="1675">
        <v>2</v>
      </c>
      <c r="F249" s="1882">
        <v>0</v>
      </c>
      <c r="G249" s="1647">
        <f t="shared" si="10"/>
        <v>0</v>
      </c>
      <c r="H249" s="1651"/>
    </row>
    <row r="250" spans="2:8" s="147" customFormat="1" ht="38.25" x14ac:dyDescent="0.25">
      <c r="B250" s="1643" t="s">
        <v>1962</v>
      </c>
      <c r="C250" s="1644" t="s">
        <v>1963</v>
      </c>
      <c r="D250" s="1645" t="s">
        <v>123</v>
      </c>
      <c r="E250" s="1675">
        <v>11</v>
      </c>
      <c r="F250" s="1882">
        <v>0</v>
      </c>
      <c r="G250" s="1647">
        <f t="shared" si="10"/>
        <v>0</v>
      </c>
      <c r="H250" s="1651"/>
    </row>
    <row r="251" spans="2:8" s="147" customFormat="1" x14ac:dyDescent="0.25">
      <c r="B251" s="1643" t="s">
        <v>1964</v>
      </c>
      <c r="C251" s="1644" t="s">
        <v>1965</v>
      </c>
      <c r="D251" s="1645" t="s">
        <v>123</v>
      </c>
      <c r="E251" s="1675">
        <v>2</v>
      </c>
      <c r="F251" s="1882">
        <v>0</v>
      </c>
      <c r="G251" s="1647">
        <f t="shared" si="10"/>
        <v>0</v>
      </c>
      <c r="H251" s="1651"/>
    </row>
    <row r="252" spans="2:8" s="147" customFormat="1" x14ac:dyDescent="0.25">
      <c r="B252" s="1643" t="s">
        <v>1966</v>
      </c>
      <c r="C252" s="1644" t="s">
        <v>1969</v>
      </c>
      <c r="D252" s="1645" t="s">
        <v>123</v>
      </c>
      <c r="E252" s="1675">
        <v>5</v>
      </c>
      <c r="F252" s="1882">
        <v>0</v>
      </c>
      <c r="G252" s="1647">
        <f t="shared" si="10"/>
        <v>0</v>
      </c>
      <c r="H252" s="1651"/>
    </row>
    <row r="253" spans="2:8" s="147" customFormat="1" x14ac:dyDescent="0.25">
      <c r="B253" s="1643" t="s">
        <v>1968</v>
      </c>
      <c r="C253" s="1644" t="s">
        <v>1971</v>
      </c>
      <c r="D253" s="1645" t="s">
        <v>123</v>
      </c>
      <c r="E253" s="1675">
        <v>6</v>
      </c>
      <c r="F253" s="1882">
        <v>0</v>
      </c>
      <c r="G253" s="1647">
        <f t="shared" si="10"/>
        <v>0</v>
      </c>
      <c r="H253" s="1651"/>
    </row>
    <row r="254" spans="2:8" s="147" customFormat="1" ht="25.5" x14ac:dyDescent="0.25">
      <c r="B254" s="1643" t="s">
        <v>1970</v>
      </c>
      <c r="C254" s="1644" t="s">
        <v>1973</v>
      </c>
      <c r="D254" s="1645" t="s">
        <v>123</v>
      </c>
      <c r="E254" s="1675">
        <v>3</v>
      </c>
      <c r="F254" s="1882">
        <v>0</v>
      </c>
      <c r="G254" s="1647">
        <f t="shared" si="10"/>
        <v>0</v>
      </c>
      <c r="H254" s="1651"/>
    </row>
    <row r="255" spans="2:8" s="147" customFormat="1" x14ac:dyDescent="0.25">
      <c r="B255" s="1643" t="s">
        <v>1972</v>
      </c>
      <c r="C255" s="1644" t="s">
        <v>1975</v>
      </c>
      <c r="D255" s="1645" t="s">
        <v>644</v>
      </c>
      <c r="E255" s="1675">
        <v>3</v>
      </c>
      <c r="F255" s="1882">
        <v>0</v>
      </c>
      <c r="G255" s="1647">
        <f t="shared" si="10"/>
        <v>0</v>
      </c>
      <c r="H255" s="1676"/>
    </row>
    <row r="256" spans="2:8" s="147" customFormat="1" x14ac:dyDescent="0.25">
      <c r="B256" s="1643" t="s">
        <v>1974</v>
      </c>
      <c r="C256" s="1644" t="s">
        <v>1977</v>
      </c>
      <c r="D256" s="1645" t="s">
        <v>644</v>
      </c>
      <c r="E256" s="1675">
        <v>3</v>
      </c>
      <c r="F256" s="1882">
        <v>0</v>
      </c>
      <c r="G256" s="1647">
        <f t="shared" si="10"/>
        <v>0</v>
      </c>
      <c r="H256" s="1550"/>
    </row>
    <row r="257" spans="2:8" s="147" customFormat="1" x14ac:dyDescent="0.25">
      <c r="B257" s="1643" t="s">
        <v>1976</v>
      </c>
      <c r="C257" s="1644" t="s">
        <v>1979</v>
      </c>
      <c r="D257" s="1645" t="s">
        <v>644</v>
      </c>
      <c r="E257" s="1675">
        <v>3</v>
      </c>
      <c r="F257" s="1882">
        <v>0</v>
      </c>
      <c r="G257" s="1647">
        <f t="shared" si="10"/>
        <v>0</v>
      </c>
      <c r="H257" s="1551"/>
    </row>
    <row r="258" spans="2:8" s="147" customFormat="1" x14ac:dyDescent="0.25">
      <c r="B258" s="1643" t="s">
        <v>1978</v>
      </c>
      <c r="C258" s="1644" t="s">
        <v>1981</v>
      </c>
      <c r="D258" s="1645" t="s">
        <v>123</v>
      </c>
      <c r="E258" s="1675">
        <v>70</v>
      </c>
      <c r="F258" s="1882">
        <v>0</v>
      </c>
      <c r="G258" s="1647">
        <f t="shared" si="10"/>
        <v>0</v>
      </c>
      <c r="H258" s="1550"/>
    </row>
    <row r="259" spans="2:8" s="147" customFormat="1" ht="25.5" x14ac:dyDescent="0.25">
      <c r="B259" s="1643" t="s">
        <v>1980</v>
      </c>
      <c r="C259" s="1644" t="s">
        <v>1983</v>
      </c>
      <c r="D259" s="1645" t="s">
        <v>123</v>
      </c>
      <c r="E259" s="1675">
        <v>12</v>
      </c>
      <c r="F259" s="1882">
        <v>0</v>
      </c>
      <c r="G259" s="1647">
        <f t="shared" si="10"/>
        <v>0</v>
      </c>
      <c r="H259" s="1551"/>
    </row>
    <row r="260" spans="2:8" s="147" customFormat="1" x14ac:dyDescent="0.25">
      <c r="B260" s="1643" t="s">
        <v>1982</v>
      </c>
      <c r="C260" s="1644" t="s">
        <v>1985</v>
      </c>
      <c r="D260" s="1645" t="s">
        <v>123</v>
      </c>
      <c r="E260" s="1675">
        <v>1</v>
      </c>
      <c r="F260" s="1882">
        <v>0</v>
      </c>
      <c r="G260" s="1647">
        <f t="shared" si="10"/>
        <v>0</v>
      </c>
      <c r="H260" s="1552"/>
    </row>
    <row r="261" spans="2:8" s="147" customFormat="1" x14ac:dyDescent="0.25">
      <c r="B261" s="1643" t="s">
        <v>1984</v>
      </c>
      <c r="C261" s="1644" t="s">
        <v>1987</v>
      </c>
      <c r="D261" s="1645" t="s">
        <v>123</v>
      </c>
      <c r="E261" s="1675">
        <v>20</v>
      </c>
      <c r="F261" s="1882">
        <v>0</v>
      </c>
      <c r="G261" s="1647">
        <f t="shared" si="10"/>
        <v>0</v>
      </c>
      <c r="H261" s="1676"/>
    </row>
    <row r="262" spans="2:8" s="147" customFormat="1" x14ac:dyDescent="0.25">
      <c r="B262" s="1643" t="s">
        <v>1986</v>
      </c>
      <c r="C262" s="1644" t="s">
        <v>1989</v>
      </c>
      <c r="D262" s="1645" t="s">
        <v>123</v>
      </c>
      <c r="E262" s="1675">
        <v>6</v>
      </c>
      <c r="F262" s="1882">
        <v>0</v>
      </c>
      <c r="G262" s="1647">
        <f t="shared" si="10"/>
        <v>0</v>
      </c>
      <c r="H262" s="1553"/>
    </row>
    <row r="263" spans="2:8" s="147" customFormat="1" x14ac:dyDescent="0.25">
      <c r="B263" s="1643" t="s">
        <v>1988</v>
      </c>
      <c r="C263" s="1644" t="s">
        <v>1991</v>
      </c>
      <c r="D263" s="1645" t="s">
        <v>123</v>
      </c>
      <c r="E263" s="1675">
        <v>6</v>
      </c>
      <c r="F263" s="1882">
        <v>0</v>
      </c>
      <c r="G263" s="1647">
        <f t="shared" si="10"/>
        <v>0</v>
      </c>
      <c r="H263" s="1651"/>
    </row>
    <row r="264" spans="2:8" s="147" customFormat="1" ht="25.5" x14ac:dyDescent="0.25">
      <c r="B264" s="1643" t="s">
        <v>1990</v>
      </c>
      <c r="C264" s="1644" t="s">
        <v>1993</v>
      </c>
      <c r="D264" s="1645" t="s">
        <v>123</v>
      </c>
      <c r="E264" s="1675">
        <v>4</v>
      </c>
      <c r="F264" s="1882">
        <v>0</v>
      </c>
      <c r="G264" s="1647">
        <f t="shared" si="10"/>
        <v>0</v>
      </c>
      <c r="H264" s="1651"/>
    </row>
    <row r="265" spans="2:8" s="147" customFormat="1" ht="25.5" x14ac:dyDescent="0.25">
      <c r="B265" s="1643" t="s">
        <v>1992</v>
      </c>
      <c r="C265" s="1644" t="s">
        <v>1995</v>
      </c>
      <c r="D265" s="1645" t="s">
        <v>123</v>
      </c>
      <c r="E265" s="1675">
        <v>4</v>
      </c>
      <c r="F265" s="1882">
        <v>0</v>
      </c>
      <c r="G265" s="1647">
        <f t="shared" si="10"/>
        <v>0</v>
      </c>
      <c r="H265" s="1651"/>
    </row>
    <row r="266" spans="2:8" s="147" customFormat="1" x14ac:dyDescent="0.25">
      <c r="B266" s="1643" t="s">
        <v>1994</v>
      </c>
      <c r="C266" s="1644" t="s">
        <v>1997</v>
      </c>
      <c r="D266" s="1645" t="s">
        <v>123</v>
      </c>
      <c r="E266" s="1675">
        <v>4</v>
      </c>
      <c r="F266" s="1882">
        <v>0</v>
      </c>
      <c r="G266" s="1647">
        <f t="shared" si="10"/>
        <v>0</v>
      </c>
      <c r="H266" s="1651"/>
    </row>
    <row r="267" spans="2:8" s="147" customFormat="1" x14ac:dyDescent="0.25">
      <c r="B267" s="1643" t="s">
        <v>1996</v>
      </c>
      <c r="C267" s="1644" t="s">
        <v>1999</v>
      </c>
      <c r="D267" s="1645" t="s">
        <v>123</v>
      </c>
      <c r="E267" s="1675">
        <v>14</v>
      </c>
      <c r="F267" s="1882">
        <v>0</v>
      </c>
      <c r="G267" s="1647">
        <f t="shared" si="10"/>
        <v>0</v>
      </c>
      <c r="H267" s="1552"/>
    </row>
    <row r="268" spans="2:8" s="147" customFormat="1" x14ac:dyDescent="0.25">
      <c r="B268" s="1643" t="s">
        <v>1998</v>
      </c>
      <c r="C268" s="1644" t="s">
        <v>2001</v>
      </c>
      <c r="D268" s="1645" t="s">
        <v>123</v>
      </c>
      <c r="E268" s="1675">
        <v>6</v>
      </c>
      <c r="F268" s="1882">
        <v>0</v>
      </c>
      <c r="G268" s="1647">
        <f t="shared" si="10"/>
        <v>0</v>
      </c>
      <c r="H268" s="1677"/>
    </row>
    <row r="269" spans="2:8" s="147" customFormat="1" x14ac:dyDescent="0.25">
      <c r="B269" s="1643" t="s">
        <v>2000</v>
      </c>
      <c r="C269" s="1644" t="s">
        <v>2003</v>
      </c>
      <c r="D269" s="1645" t="s">
        <v>123</v>
      </c>
      <c r="E269" s="1675">
        <v>10</v>
      </c>
      <c r="F269" s="1882">
        <v>0</v>
      </c>
      <c r="G269" s="1647">
        <f t="shared" si="10"/>
        <v>0</v>
      </c>
      <c r="H269" s="1552"/>
    </row>
    <row r="270" spans="2:8" s="147" customFormat="1" ht="25.5" x14ac:dyDescent="0.25">
      <c r="B270" s="1643" t="s">
        <v>2002</v>
      </c>
      <c r="C270" s="1644" t="s">
        <v>2005</v>
      </c>
      <c r="D270" s="1645" t="s">
        <v>123</v>
      </c>
      <c r="E270" s="1675">
        <v>6</v>
      </c>
      <c r="F270" s="1882">
        <v>0</v>
      </c>
      <c r="G270" s="1647">
        <f t="shared" si="10"/>
        <v>0</v>
      </c>
      <c r="H270" s="1651"/>
    </row>
    <row r="271" spans="2:8" s="147" customFormat="1" x14ac:dyDescent="0.25">
      <c r="B271" s="1643" t="s">
        <v>2004</v>
      </c>
      <c r="C271" s="1644" t="s">
        <v>2007</v>
      </c>
      <c r="D271" s="1645" t="s">
        <v>123</v>
      </c>
      <c r="E271" s="1675">
        <v>25</v>
      </c>
      <c r="F271" s="1882">
        <v>0</v>
      </c>
      <c r="G271" s="1647">
        <f t="shared" si="10"/>
        <v>0</v>
      </c>
      <c r="H271" s="1651"/>
    </row>
    <row r="272" spans="2:8" s="147" customFormat="1" x14ac:dyDescent="0.25">
      <c r="B272" s="1643" t="s">
        <v>2006</v>
      </c>
      <c r="C272" s="1644" t="s">
        <v>2009</v>
      </c>
      <c r="D272" s="1645" t="s">
        <v>123</v>
      </c>
      <c r="E272" s="1675">
        <v>25</v>
      </c>
      <c r="F272" s="1882">
        <v>0</v>
      </c>
      <c r="G272" s="1647">
        <f t="shared" si="10"/>
        <v>0</v>
      </c>
      <c r="H272" s="1651"/>
    </row>
    <row r="273" spans="2:8" s="147" customFormat="1" ht="25.5" x14ac:dyDescent="0.25">
      <c r="B273" s="1643" t="s">
        <v>2008</v>
      </c>
      <c r="C273" s="1644" t="s">
        <v>2011</v>
      </c>
      <c r="D273" s="1645" t="s">
        <v>98</v>
      </c>
      <c r="E273" s="1675">
        <v>1</v>
      </c>
      <c r="F273" s="1882">
        <v>0</v>
      </c>
      <c r="G273" s="1647">
        <f t="shared" si="10"/>
        <v>0</v>
      </c>
      <c r="H273" s="1651"/>
    </row>
    <row r="274" spans="2:8" s="147" customFormat="1" ht="51" x14ac:dyDescent="0.25">
      <c r="B274" s="1643" t="s">
        <v>2010</v>
      </c>
      <c r="C274" s="1644" t="s">
        <v>2013</v>
      </c>
      <c r="D274" s="1645" t="s">
        <v>98</v>
      </c>
      <c r="E274" s="1675">
        <v>1</v>
      </c>
      <c r="F274" s="1882">
        <v>0</v>
      </c>
      <c r="G274" s="1647">
        <f t="shared" si="10"/>
        <v>0</v>
      </c>
      <c r="H274" s="1651"/>
    </row>
    <row r="275" spans="2:8" s="147" customFormat="1" ht="26.25" thickBot="1" x14ac:dyDescent="0.3">
      <c r="B275" s="1643" t="s">
        <v>2012</v>
      </c>
      <c r="C275" s="1678" t="s">
        <v>2015</v>
      </c>
      <c r="D275" s="1679" t="s">
        <v>98</v>
      </c>
      <c r="E275" s="1680">
        <v>1</v>
      </c>
      <c r="F275" s="1882">
        <v>0</v>
      </c>
      <c r="G275" s="1647">
        <f>E274*F275</f>
        <v>0</v>
      </c>
      <c r="H275" s="1651"/>
    </row>
    <row r="276" spans="2:8" s="147" customFormat="1" ht="27" customHeight="1" thickBot="1" x14ac:dyDescent="0.3">
      <c r="B276" s="2955" t="s">
        <v>15</v>
      </c>
      <c r="C276" s="2972" t="str">
        <f>C219</f>
        <v>Omara POLJE 1 (moč)</v>
      </c>
      <c r="D276" s="2962"/>
      <c r="E276" s="2963"/>
      <c r="F276" s="2968"/>
      <c r="G276" s="2997">
        <f>SUM(G222:G275)</f>
        <v>0</v>
      </c>
      <c r="H276" s="1651"/>
    </row>
    <row r="277" spans="2:8" x14ac:dyDescent="0.2">
      <c r="B277" s="1555"/>
      <c r="C277" s="1681"/>
      <c r="D277" s="1557"/>
      <c r="E277" s="1558"/>
      <c r="F277" s="1559"/>
      <c r="G277" s="1560"/>
      <c r="H277" s="1532"/>
    </row>
    <row r="278" spans="2:8" s="147" customFormat="1" x14ac:dyDescent="0.25">
      <c r="B278" s="1662"/>
      <c r="C278" s="1663"/>
      <c r="D278" s="1544"/>
      <c r="E278" s="1545"/>
      <c r="F278" s="1664"/>
      <c r="G278" s="1547"/>
      <c r="H278" s="1553"/>
    </row>
    <row r="279" spans="2:8" s="147" customFormat="1" x14ac:dyDescent="0.25">
      <c r="B279" s="1665" t="s">
        <v>20</v>
      </c>
      <c r="C279" s="1666" t="s">
        <v>2016</v>
      </c>
      <c r="D279" s="1667"/>
      <c r="E279" s="1667"/>
      <c r="F279" s="1668"/>
      <c r="G279" s="1669"/>
      <c r="H279" s="1677"/>
    </row>
    <row r="280" spans="2:8" s="147" customFormat="1" x14ac:dyDescent="0.25">
      <c r="B280" s="1563"/>
      <c r="C280" s="1682"/>
      <c r="D280" s="1683"/>
      <c r="E280" s="1684"/>
      <c r="F280" s="1685"/>
      <c r="G280" s="1686"/>
      <c r="H280" s="1567"/>
    </row>
    <row r="281" spans="2:8" s="147" customFormat="1" x14ac:dyDescent="0.25">
      <c r="B281" s="1674" t="s">
        <v>83</v>
      </c>
      <c r="C281" s="1674" t="s">
        <v>84</v>
      </c>
      <c r="D281" s="1674" t="s">
        <v>1929</v>
      </c>
      <c r="E281" s="1674" t="s">
        <v>547</v>
      </c>
      <c r="F281" s="1674" t="s">
        <v>1873</v>
      </c>
      <c r="G281" s="1674" t="s">
        <v>1874</v>
      </c>
      <c r="H281" s="1687"/>
    </row>
    <row r="282" spans="2:8" s="147" customFormat="1" ht="76.5" x14ac:dyDescent="0.25">
      <c r="B282" s="1643" t="s">
        <v>180</v>
      </c>
      <c r="C282" s="1688" t="s">
        <v>2017</v>
      </c>
      <c r="D282" s="1675" t="s">
        <v>98</v>
      </c>
      <c r="E282" s="1675">
        <v>1</v>
      </c>
      <c r="F282" s="1882">
        <v>0</v>
      </c>
      <c r="G282" s="1646">
        <f t="shared" ref="G282:G330" si="11">E282*F282</f>
        <v>0</v>
      </c>
      <c r="H282" s="1689"/>
    </row>
    <row r="283" spans="2:8" s="147" customFormat="1" ht="38.25" x14ac:dyDescent="0.25">
      <c r="B283" s="1643" t="s">
        <v>188</v>
      </c>
      <c r="C283" s="1688" t="s">
        <v>2018</v>
      </c>
      <c r="D283" s="1675" t="s">
        <v>149</v>
      </c>
      <c r="E283" s="1675">
        <v>1</v>
      </c>
      <c r="F283" s="1882">
        <v>0</v>
      </c>
      <c r="G283" s="1646">
        <f t="shared" si="11"/>
        <v>0</v>
      </c>
      <c r="H283" s="1633"/>
    </row>
    <row r="284" spans="2:8" s="147" customFormat="1" ht="25.5" x14ac:dyDescent="0.25">
      <c r="B284" s="1643" t="s">
        <v>199</v>
      </c>
      <c r="C284" s="1688" t="s">
        <v>1935</v>
      </c>
      <c r="D284" s="1675" t="s">
        <v>123</v>
      </c>
      <c r="E284" s="1675">
        <v>1</v>
      </c>
      <c r="F284" s="1882">
        <v>0</v>
      </c>
      <c r="G284" s="1646">
        <f t="shared" si="11"/>
        <v>0</v>
      </c>
      <c r="H284" s="1689"/>
    </row>
    <row r="285" spans="2:8" s="147" customFormat="1" x14ac:dyDescent="0.25">
      <c r="B285" s="1643" t="s">
        <v>204</v>
      </c>
      <c r="C285" s="1688" t="s">
        <v>1936</v>
      </c>
      <c r="D285" s="1675" t="s">
        <v>123</v>
      </c>
      <c r="E285" s="1675">
        <v>1</v>
      </c>
      <c r="F285" s="1882">
        <v>0</v>
      </c>
      <c r="G285" s="1646">
        <f t="shared" si="11"/>
        <v>0</v>
      </c>
      <c r="H285" s="1571"/>
    </row>
    <row r="286" spans="2:8" s="147" customFormat="1" ht="25.5" x14ac:dyDescent="0.25">
      <c r="B286" s="1643" t="s">
        <v>220</v>
      </c>
      <c r="C286" s="1688" t="s">
        <v>1938</v>
      </c>
      <c r="D286" s="1675" t="s">
        <v>123</v>
      </c>
      <c r="E286" s="1675">
        <v>2</v>
      </c>
      <c r="F286" s="1882">
        <v>0</v>
      </c>
      <c r="G286" s="1646">
        <f t="shared" si="11"/>
        <v>0</v>
      </c>
      <c r="H286" s="1651"/>
    </row>
    <row r="287" spans="2:8" s="147" customFormat="1" x14ac:dyDescent="0.25">
      <c r="B287" s="1643" t="s">
        <v>330</v>
      </c>
      <c r="C287" s="1688" t="s">
        <v>1940</v>
      </c>
      <c r="D287" s="1675" t="s">
        <v>123</v>
      </c>
      <c r="E287" s="1675">
        <v>1</v>
      </c>
      <c r="F287" s="1882">
        <v>0</v>
      </c>
      <c r="G287" s="1646">
        <f t="shared" si="11"/>
        <v>0</v>
      </c>
      <c r="H287" s="1651"/>
    </row>
    <row r="288" spans="2:8" s="147" customFormat="1" ht="25.5" x14ac:dyDescent="0.25">
      <c r="B288" s="1643" t="s">
        <v>230</v>
      </c>
      <c r="C288" s="1688" t="s">
        <v>1941</v>
      </c>
      <c r="D288" s="1675" t="s">
        <v>123</v>
      </c>
      <c r="E288" s="1675">
        <v>1</v>
      </c>
      <c r="F288" s="1882">
        <v>0</v>
      </c>
      <c r="G288" s="1646">
        <f t="shared" si="11"/>
        <v>0</v>
      </c>
      <c r="H288" s="1677"/>
    </row>
    <row r="289" spans="2:8" s="147" customFormat="1" ht="51" x14ac:dyDescent="0.25">
      <c r="B289" s="1643" t="s">
        <v>243</v>
      </c>
      <c r="C289" s="1688" t="s">
        <v>1942</v>
      </c>
      <c r="D289" s="1675" t="s">
        <v>560</v>
      </c>
      <c r="E289" s="1675">
        <v>1</v>
      </c>
      <c r="F289" s="1882">
        <v>0</v>
      </c>
      <c r="G289" s="1646">
        <f t="shared" si="11"/>
        <v>0</v>
      </c>
      <c r="H289" s="1573"/>
    </row>
    <row r="290" spans="2:8" s="147" customFormat="1" ht="25.5" x14ac:dyDescent="0.25">
      <c r="B290" s="1643" t="s">
        <v>251</v>
      </c>
      <c r="C290" s="1690" t="s">
        <v>2019</v>
      </c>
      <c r="D290" s="1675" t="s">
        <v>123</v>
      </c>
      <c r="E290" s="1675">
        <v>1</v>
      </c>
      <c r="F290" s="1882">
        <v>0</v>
      </c>
      <c r="G290" s="1646">
        <f t="shared" si="11"/>
        <v>0</v>
      </c>
      <c r="H290" s="1691"/>
    </row>
    <row r="291" spans="2:8" s="147" customFormat="1" x14ac:dyDescent="0.25">
      <c r="B291" s="1643" t="s">
        <v>270</v>
      </c>
      <c r="C291" s="1688" t="s">
        <v>2020</v>
      </c>
      <c r="D291" s="1675" t="s">
        <v>123</v>
      </c>
      <c r="E291" s="1675">
        <v>1</v>
      </c>
      <c r="F291" s="1882">
        <v>0</v>
      </c>
      <c r="G291" s="1646">
        <f t="shared" si="11"/>
        <v>0</v>
      </c>
      <c r="H291" s="1651"/>
    </row>
    <row r="292" spans="2:8" s="147" customFormat="1" ht="48" x14ac:dyDescent="0.25">
      <c r="B292" s="1643" t="s">
        <v>299</v>
      </c>
      <c r="C292" s="1692" t="s">
        <v>603</v>
      </c>
      <c r="D292" s="1675" t="s">
        <v>553</v>
      </c>
      <c r="E292" s="1675">
        <v>1</v>
      </c>
      <c r="F292" s="1882">
        <v>0</v>
      </c>
      <c r="G292" s="1646">
        <f t="shared" si="11"/>
        <v>0</v>
      </c>
      <c r="H292" s="1651"/>
    </row>
    <row r="293" spans="2:8" s="147" customFormat="1" x14ac:dyDescent="0.25">
      <c r="B293" s="1643" t="s">
        <v>897</v>
      </c>
      <c r="C293" s="1688" t="s">
        <v>2021</v>
      </c>
      <c r="D293" s="1675" t="s">
        <v>123</v>
      </c>
      <c r="E293" s="1675">
        <v>16</v>
      </c>
      <c r="F293" s="1882">
        <v>0</v>
      </c>
      <c r="G293" s="1646">
        <f t="shared" si="11"/>
        <v>0</v>
      </c>
      <c r="H293" s="1651"/>
    </row>
    <row r="294" spans="2:8" s="147" customFormat="1" x14ac:dyDescent="0.25">
      <c r="B294" s="1643" t="s">
        <v>917</v>
      </c>
      <c r="C294" s="1688" t="s">
        <v>2022</v>
      </c>
      <c r="D294" s="1675" t="s">
        <v>123</v>
      </c>
      <c r="E294" s="1675">
        <v>1</v>
      </c>
      <c r="F294" s="1882">
        <v>0</v>
      </c>
      <c r="G294" s="1646">
        <f t="shared" si="11"/>
        <v>0</v>
      </c>
      <c r="H294" s="1651"/>
    </row>
    <row r="295" spans="2:8" s="147" customFormat="1" ht="25.5" x14ac:dyDescent="0.25">
      <c r="B295" s="1643" t="s">
        <v>989</v>
      </c>
      <c r="C295" s="1688" t="s">
        <v>2023</v>
      </c>
      <c r="D295" s="1675" t="s">
        <v>123</v>
      </c>
      <c r="E295" s="1675">
        <v>3</v>
      </c>
      <c r="F295" s="1882">
        <v>0</v>
      </c>
      <c r="G295" s="1646">
        <f t="shared" si="11"/>
        <v>0</v>
      </c>
      <c r="H295" s="1651"/>
    </row>
    <row r="296" spans="2:8" s="147" customFormat="1" ht="25.5" x14ac:dyDescent="0.25">
      <c r="B296" s="1643" t="s">
        <v>1009</v>
      </c>
      <c r="C296" s="1688" t="s">
        <v>2024</v>
      </c>
      <c r="D296" s="1675" t="s">
        <v>123</v>
      </c>
      <c r="E296" s="1675">
        <v>24</v>
      </c>
      <c r="F296" s="1882">
        <v>0</v>
      </c>
      <c r="G296" s="1646">
        <f t="shared" si="11"/>
        <v>0</v>
      </c>
      <c r="H296" s="1651"/>
    </row>
    <row r="297" spans="2:8" s="147" customFormat="1" ht="25.5" x14ac:dyDescent="0.25">
      <c r="B297" s="1643" t="s">
        <v>2025</v>
      </c>
      <c r="C297" s="1688" t="s">
        <v>2026</v>
      </c>
      <c r="D297" s="1675" t="s">
        <v>123</v>
      </c>
      <c r="E297" s="1675">
        <v>2</v>
      </c>
      <c r="F297" s="1882">
        <v>0</v>
      </c>
      <c r="G297" s="1646">
        <f t="shared" si="11"/>
        <v>0</v>
      </c>
      <c r="H297" s="1651"/>
    </row>
    <row r="298" spans="2:8" s="147" customFormat="1" x14ac:dyDescent="0.25">
      <c r="B298" s="1643" t="s">
        <v>2027</v>
      </c>
      <c r="C298" s="1688" t="s">
        <v>621</v>
      </c>
      <c r="D298" s="1675" t="s">
        <v>123</v>
      </c>
      <c r="E298" s="1675">
        <v>2</v>
      </c>
      <c r="F298" s="1882">
        <v>0</v>
      </c>
      <c r="G298" s="1646">
        <f t="shared" si="11"/>
        <v>0</v>
      </c>
      <c r="H298" s="1651"/>
    </row>
    <row r="299" spans="2:8" s="147" customFormat="1" ht="38.25" x14ac:dyDescent="0.25">
      <c r="B299" s="1643" t="s">
        <v>2028</v>
      </c>
      <c r="C299" s="1688" t="s">
        <v>2029</v>
      </c>
      <c r="D299" s="1675" t="s">
        <v>123</v>
      </c>
      <c r="E299" s="1675">
        <v>22</v>
      </c>
      <c r="F299" s="1882">
        <v>0</v>
      </c>
      <c r="G299" s="1646">
        <f t="shared" si="11"/>
        <v>0</v>
      </c>
      <c r="H299" s="1651"/>
    </row>
    <row r="300" spans="2:8" s="147" customFormat="1" ht="25.5" x14ac:dyDescent="0.25">
      <c r="B300" s="1643" t="s">
        <v>2030</v>
      </c>
      <c r="C300" s="1688" t="s">
        <v>2031</v>
      </c>
      <c r="D300" s="1675" t="s">
        <v>123</v>
      </c>
      <c r="E300" s="1675">
        <v>1</v>
      </c>
      <c r="F300" s="1882">
        <v>0</v>
      </c>
      <c r="G300" s="1646">
        <f t="shared" si="11"/>
        <v>0</v>
      </c>
      <c r="H300" s="1651"/>
    </row>
    <row r="301" spans="2:8" s="147" customFormat="1" ht="25.5" x14ac:dyDescent="0.25">
      <c r="B301" s="1643" t="s">
        <v>2032</v>
      </c>
      <c r="C301" s="1688" t="s">
        <v>2033</v>
      </c>
      <c r="D301" s="1675" t="s">
        <v>123</v>
      </c>
      <c r="E301" s="1675">
        <v>1</v>
      </c>
      <c r="F301" s="1882">
        <v>0</v>
      </c>
      <c r="G301" s="1646">
        <f t="shared" si="11"/>
        <v>0</v>
      </c>
      <c r="H301" s="1651"/>
    </row>
    <row r="302" spans="2:8" s="147" customFormat="1" ht="25.5" x14ac:dyDescent="0.25">
      <c r="B302" s="1643" t="s">
        <v>2034</v>
      </c>
      <c r="C302" s="1688" t="s">
        <v>2035</v>
      </c>
      <c r="D302" s="1675" t="s">
        <v>123</v>
      </c>
      <c r="E302" s="1675">
        <v>1</v>
      </c>
      <c r="F302" s="1882">
        <v>0</v>
      </c>
      <c r="G302" s="1646">
        <f t="shared" si="11"/>
        <v>0</v>
      </c>
      <c r="H302" s="1651"/>
    </row>
    <row r="303" spans="2:8" s="147" customFormat="1" ht="25.5" x14ac:dyDescent="0.25">
      <c r="B303" s="1643" t="s">
        <v>2036</v>
      </c>
      <c r="C303" s="1688" t="s">
        <v>2184</v>
      </c>
      <c r="D303" s="1675" t="s">
        <v>123</v>
      </c>
      <c r="E303" s="1675">
        <v>1</v>
      </c>
      <c r="F303" s="1882">
        <v>0</v>
      </c>
      <c r="G303" s="1646">
        <f t="shared" si="11"/>
        <v>0</v>
      </c>
      <c r="H303" s="1651"/>
    </row>
    <row r="304" spans="2:8" s="147" customFormat="1" ht="25.5" x14ac:dyDescent="0.25">
      <c r="B304" s="1643" t="s">
        <v>2038</v>
      </c>
      <c r="C304" s="1688" t="s">
        <v>2041</v>
      </c>
      <c r="D304" s="1675" t="s">
        <v>553</v>
      </c>
      <c r="E304" s="1675">
        <v>1</v>
      </c>
      <c r="F304" s="1882">
        <v>0</v>
      </c>
      <c r="G304" s="1646">
        <f t="shared" si="11"/>
        <v>0</v>
      </c>
      <c r="H304" s="1651"/>
    </row>
    <row r="305" spans="2:8" s="147" customFormat="1" x14ac:dyDescent="0.25">
      <c r="B305" s="1643" t="s">
        <v>2040</v>
      </c>
      <c r="C305" s="1688" t="s">
        <v>1971</v>
      </c>
      <c r="D305" s="1675" t="s">
        <v>123</v>
      </c>
      <c r="E305" s="1675">
        <v>12</v>
      </c>
      <c r="F305" s="1882">
        <v>0</v>
      </c>
      <c r="G305" s="1646">
        <f t="shared" si="11"/>
        <v>0</v>
      </c>
      <c r="H305" s="1651"/>
    </row>
    <row r="306" spans="2:8" s="147" customFormat="1" ht="25.5" x14ac:dyDescent="0.25">
      <c r="B306" s="1643" t="s">
        <v>2042</v>
      </c>
      <c r="C306" s="1688" t="s">
        <v>1973</v>
      </c>
      <c r="D306" s="1675" t="s">
        <v>123</v>
      </c>
      <c r="E306" s="1675">
        <v>4</v>
      </c>
      <c r="F306" s="1882">
        <v>0</v>
      </c>
      <c r="G306" s="1646">
        <f t="shared" si="11"/>
        <v>0</v>
      </c>
      <c r="H306" s="1651"/>
    </row>
    <row r="307" spans="2:8" s="147" customFormat="1" x14ac:dyDescent="0.25">
      <c r="B307" s="1643" t="s">
        <v>2043</v>
      </c>
      <c r="C307" s="1688" t="s">
        <v>1975</v>
      </c>
      <c r="D307" s="1675" t="s">
        <v>644</v>
      </c>
      <c r="E307" s="1675">
        <v>4</v>
      </c>
      <c r="F307" s="1882">
        <v>0</v>
      </c>
      <c r="G307" s="1646">
        <f t="shared" si="11"/>
        <v>0</v>
      </c>
      <c r="H307" s="1651"/>
    </row>
    <row r="308" spans="2:8" s="147" customFormat="1" x14ac:dyDescent="0.25">
      <c r="B308" s="1643" t="s">
        <v>2044</v>
      </c>
      <c r="C308" s="1688" t="s">
        <v>1977</v>
      </c>
      <c r="D308" s="1675" t="s">
        <v>644</v>
      </c>
      <c r="E308" s="1675">
        <v>4</v>
      </c>
      <c r="F308" s="1882">
        <v>0</v>
      </c>
      <c r="G308" s="1646">
        <f t="shared" si="11"/>
        <v>0</v>
      </c>
      <c r="H308" s="1651"/>
    </row>
    <row r="309" spans="2:8" s="147" customFormat="1" x14ac:dyDescent="0.25">
      <c r="B309" s="1643" t="s">
        <v>2045</v>
      </c>
      <c r="C309" s="1688" t="s">
        <v>1979</v>
      </c>
      <c r="D309" s="1675" t="s">
        <v>644</v>
      </c>
      <c r="E309" s="1675">
        <v>4</v>
      </c>
      <c r="F309" s="1882">
        <v>0</v>
      </c>
      <c r="G309" s="1646">
        <f t="shared" si="11"/>
        <v>0</v>
      </c>
      <c r="H309" s="1651"/>
    </row>
    <row r="310" spans="2:8" s="147" customFormat="1" x14ac:dyDescent="0.25">
      <c r="B310" s="1643" t="s">
        <v>2046</v>
      </c>
      <c r="C310" s="1688" t="s">
        <v>1981</v>
      </c>
      <c r="D310" s="1675" t="s">
        <v>123</v>
      </c>
      <c r="E310" s="1675">
        <v>75</v>
      </c>
      <c r="F310" s="1882">
        <v>0</v>
      </c>
      <c r="G310" s="1646">
        <f t="shared" si="11"/>
        <v>0</v>
      </c>
      <c r="H310" s="1651"/>
    </row>
    <row r="311" spans="2:8" s="147" customFormat="1" ht="25.5" x14ac:dyDescent="0.25">
      <c r="B311" s="1643" t="s">
        <v>2047</v>
      </c>
      <c r="C311" s="1688" t="s">
        <v>1983</v>
      </c>
      <c r="D311" s="1675" t="s">
        <v>123</v>
      </c>
      <c r="E311" s="1675">
        <v>12</v>
      </c>
      <c r="F311" s="1882">
        <v>0</v>
      </c>
      <c r="G311" s="1646">
        <f t="shared" si="11"/>
        <v>0</v>
      </c>
      <c r="H311" s="1651"/>
    </row>
    <row r="312" spans="2:8" s="147" customFormat="1" x14ac:dyDescent="0.25">
      <c r="B312" s="1643" t="s">
        <v>2048</v>
      </c>
      <c r="C312" s="1688" t="s">
        <v>1985</v>
      </c>
      <c r="D312" s="1675" t="s">
        <v>123</v>
      </c>
      <c r="E312" s="1675">
        <v>2</v>
      </c>
      <c r="F312" s="1882">
        <v>0</v>
      </c>
      <c r="G312" s="1646">
        <f t="shared" si="11"/>
        <v>0</v>
      </c>
      <c r="H312" s="1651"/>
    </row>
    <row r="313" spans="2:8" s="147" customFormat="1" x14ac:dyDescent="0.25">
      <c r="B313" s="1643" t="s">
        <v>2049</v>
      </c>
      <c r="C313" s="1688" t="s">
        <v>1987</v>
      </c>
      <c r="D313" s="1675" t="s">
        <v>123</v>
      </c>
      <c r="E313" s="1675">
        <v>20</v>
      </c>
      <c r="F313" s="1882">
        <v>0</v>
      </c>
      <c r="G313" s="1646">
        <f t="shared" si="11"/>
        <v>0</v>
      </c>
      <c r="H313" s="1651"/>
    </row>
    <row r="314" spans="2:8" s="147" customFormat="1" x14ac:dyDescent="0.25">
      <c r="B314" s="1643" t="s">
        <v>2050</v>
      </c>
      <c r="C314" s="1688" t="s">
        <v>1989</v>
      </c>
      <c r="D314" s="1675" t="s">
        <v>123</v>
      </c>
      <c r="E314" s="1675">
        <v>6</v>
      </c>
      <c r="F314" s="1882">
        <v>0</v>
      </c>
      <c r="G314" s="1646">
        <f t="shared" si="11"/>
        <v>0</v>
      </c>
      <c r="H314" s="1651"/>
    </row>
    <row r="315" spans="2:8" s="147" customFormat="1" x14ac:dyDescent="0.25">
      <c r="B315" s="1643" t="s">
        <v>2051</v>
      </c>
      <c r="C315" s="1688" t="s">
        <v>1991</v>
      </c>
      <c r="D315" s="1675" t="s">
        <v>123</v>
      </c>
      <c r="E315" s="1675">
        <v>6</v>
      </c>
      <c r="F315" s="1882">
        <v>0</v>
      </c>
      <c r="G315" s="1646">
        <f t="shared" si="11"/>
        <v>0</v>
      </c>
      <c r="H315" s="1651"/>
    </row>
    <row r="316" spans="2:8" s="147" customFormat="1" ht="25.5" x14ac:dyDescent="0.25">
      <c r="B316" s="1643" t="s">
        <v>2052</v>
      </c>
      <c r="C316" s="1688" t="s">
        <v>1993</v>
      </c>
      <c r="D316" s="1675" t="s">
        <v>123</v>
      </c>
      <c r="E316" s="1675">
        <v>2</v>
      </c>
      <c r="F316" s="1882">
        <v>0</v>
      </c>
      <c r="G316" s="1646">
        <f t="shared" si="11"/>
        <v>0</v>
      </c>
      <c r="H316" s="1651"/>
    </row>
    <row r="317" spans="2:8" s="147" customFormat="1" ht="25.5" x14ac:dyDescent="0.25">
      <c r="B317" s="1643" t="s">
        <v>2053</v>
      </c>
      <c r="C317" s="1688" t="s">
        <v>1995</v>
      </c>
      <c r="D317" s="1675" t="s">
        <v>123</v>
      </c>
      <c r="E317" s="1675">
        <v>2</v>
      </c>
      <c r="F317" s="1882">
        <v>0</v>
      </c>
      <c r="G317" s="1646">
        <f t="shared" si="11"/>
        <v>0</v>
      </c>
      <c r="H317" s="1651"/>
    </row>
    <row r="318" spans="2:8" s="147" customFormat="1" x14ac:dyDescent="0.25">
      <c r="B318" s="1643" t="s">
        <v>2054</v>
      </c>
      <c r="C318" s="1688" t="s">
        <v>1997</v>
      </c>
      <c r="D318" s="1675" t="s">
        <v>123</v>
      </c>
      <c r="E318" s="1675">
        <v>2</v>
      </c>
      <c r="F318" s="1882">
        <v>0</v>
      </c>
      <c r="G318" s="1646">
        <f t="shared" si="11"/>
        <v>0</v>
      </c>
      <c r="H318" s="1651"/>
    </row>
    <row r="319" spans="2:8" s="147" customFormat="1" x14ac:dyDescent="0.25">
      <c r="B319" s="1643" t="s">
        <v>2055</v>
      </c>
      <c r="C319" s="1688" t="s">
        <v>1999</v>
      </c>
      <c r="D319" s="1675" t="s">
        <v>123</v>
      </c>
      <c r="E319" s="1675">
        <v>16</v>
      </c>
      <c r="F319" s="1882">
        <v>0</v>
      </c>
      <c r="G319" s="1646">
        <f t="shared" si="11"/>
        <v>0</v>
      </c>
      <c r="H319" s="1651"/>
    </row>
    <row r="320" spans="2:8" s="147" customFormat="1" x14ac:dyDescent="0.25">
      <c r="B320" s="1643" t="s">
        <v>2056</v>
      </c>
      <c r="C320" s="1688" t="s">
        <v>2001</v>
      </c>
      <c r="D320" s="1675" t="s">
        <v>123</v>
      </c>
      <c r="E320" s="1675">
        <v>4</v>
      </c>
      <c r="F320" s="1882">
        <v>0</v>
      </c>
      <c r="G320" s="1646">
        <f t="shared" si="11"/>
        <v>0</v>
      </c>
      <c r="H320" s="1651"/>
    </row>
    <row r="321" spans="2:8" s="147" customFormat="1" x14ac:dyDescent="0.25">
      <c r="B321" s="1643" t="s">
        <v>2057</v>
      </c>
      <c r="C321" s="1688" t="s">
        <v>2003</v>
      </c>
      <c r="D321" s="1675" t="s">
        <v>123</v>
      </c>
      <c r="E321" s="1675">
        <v>4</v>
      </c>
      <c r="F321" s="1882">
        <v>0</v>
      </c>
      <c r="G321" s="1646">
        <f t="shared" si="11"/>
        <v>0</v>
      </c>
      <c r="H321" s="1651"/>
    </row>
    <row r="322" spans="2:8" s="147" customFormat="1" ht="25.5" x14ac:dyDescent="0.25">
      <c r="B322" s="1643" t="s">
        <v>2058</v>
      </c>
      <c r="C322" s="1688" t="s">
        <v>2005</v>
      </c>
      <c r="D322" s="1675" t="s">
        <v>123</v>
      </c>
      <c r="E322" s="1675">
        <v>2</v>
      </c>
      <c r="F322" s="1882">
        <v>0</v>
      </c>
      <c r="G322" s="1646">
        <f t="shared" si="11"/>
        <v>0</v>
      </c>
      <c r="H322" s="1651"/>
    </row>
    <row r="323" spans="2:8" s="147" customFormat="1" x14ac:dyDescent="0.25">
      <c r="B323" s="1643" t="s">
        <v>2059</v>
      </c>
      <c r="C323" s="1688" t="s">
        <v>2007</v>
      </c>
      <c r="D323" s="1675" t="s">
        <v>123</v>
      </c>
      <c r="E323" s="1675">
        <v>25</v>
      </c>
      <c r="F323" s="1882">
        <v>0</v>
      </c>
      <c r="G323" s="1646">
        <f t="shared" si="11"/>
        <v>0</v>
      </c>
      <c r="H323" s="1651"/>
    </row>
    <row r="324" spans="2:8" s="147" customFormat="1" x14ac:dyDescent="0.25">
      <c r="B324" s="1643" t="s">
        <v>2060</v>
      </c>
      <c r="C324" s="1688" t="s">
        <v>2009</v>
      </c>
      <c r="D324" s="1675" t="s">
        <v>123</v>
      </c>
      <c r="E324" s="1675">
        <v>25</v>
      </c>
      <c r="F324" s="1882">
        <v>0</v>
      </c>
      <c r="G324" s="1646">
        <f t="shared" si="11"/>
        <v>0</v>
      </c>
      <c r="H324" s="1651"/>
    </row>
    <row r="325" spans="2:8" s="147" customFormat="1" ht="25.5" x14ac:dyDescent="0.25">
      <c r="B325" s="1643" t="s">
        <v>2061</v>
      </c>
      <c r="C325" s="1688" t="s">
        <v>2011</v>
      </c>
      <c r="D325" s="1675" t="s">
        <v>98</v>
      </c>
      <c r="E325" s="1675">
        <v>1</v>
      </c>
      <c r="F325" s="1882">
        <v>0</v>
      </c>
      <c r="G325" s="1646">
        <f t="shared" si="11"/>
        <v>0</v>
      </c>
      <c r="H325" s="1651"/>
    </row>
    <row r="326" spans="2:8" s="147" customFormat="1" ht="127.5" x14ac:dyDescent="0.25">
      <c r="B326" s="1643" t="s">
        <v>2062</v>
      </c>
      <c r="C326" s="1914" t="s">
        <v>619</v>
      </c>
      <c r="D326" s="1675" t="s">
        <v>123</v>
      </c>
      <c r="E326" s="1675">
        <v>1</v>
      </c>
      <c r="F326" s="1882">
        <v>0</v>
      </c>
      <c r="G326" s="1646">
        <f t="shared" si="11"/>
        <v>0</v>
      </c>
      <c r="H326" s="1651"/>
    </row>
    <row r="327" spans="2:8" s="147" customFormat="1" ht="102" x14ac:dyDescent="0.25">
      <c r="B327" s="1643" t="s">
        <v>2063</v>
      </c>
      <c r="C327" s="1914" t="s">
        <v>620</v>
      </c>
      <c r="D327" s="1675" t="s">
        <v>123</v>
      </c>
      <c r="E327" s="1675">
        <v>1</v>
      </c>
      <c r="F327" s="1882">
        <v>0</v>
      </c>
      <c r="G327" s="1646">
        <f t="shared" si="11"/>
        <v>0</v>
      </c>
      <c r="H327" s="1651"/>
    </row>
    <row r="328" spans="2:8" s="147" customFormat="1" ht="63.75" x14ac:dyDescent="0.25">
      <c r="B328" s="1643" t="s">
        <v>2064</v>
      </c>
      <c r="C328" s="1688" t="s">
        <v>617</v>
      </c>
      <c r="D328" s="1675" t="s">
        <v>560</v>
      </c>
      <c r="E328" s="1675">
        <v>1</v>
      </c>
      <c r="F328" s="1882">
        <v>0</v>
      </c>
      <c r="G328" s="1646">
        <f t="shared" si="11"/>
        <v>0</v>
      </c>
      <c r="H328" s="1651"/>
    </row>
    <row r="329" spans="2:8" s="147" customFormat="1" ht="25.5" x14ac:dyDescent="0.25">
      <c r="B329" s="1643" t="s">
        <v>2065</v>
      </c>
      <c r="C329" s="1690" t="s">
        <v>2067</v>
      </c>
      <c r="D329" s="1675" t="s">
        <v>123</v>
      </c>
      <c r="E329" s="1675">
        <v>1</v>
      </c>
      <c r="F329" s="1882">
        <v>0</v>
      </c>
      <c r="G329" s="1646">
        <f t="shared" si="11"/>
        <v>0</v>
      </c>
      <c r="H329" s="1651"/>
    </row>
    <row r="330" spans="2:8" s="147" customFormat="1" ht="26.25" thickBot="1" x14ac:dyDescent="0.3">
      <c r="B330" s="1643" t="s">
        <v>2066</v>
      </c>
      <c r="C330" s="1693" t="s">
        <v>2067</v>
      </c>
      <c r="D330" s="1675" t="s">
        <v>123</v>
      </c>
      <c r="E330" s="1675">
        <v>1</v>
      </c>
      <c r="F330" s="1882">
        <v>0</v>
      </c>
      <c r="G330" s="1646">
        <f t="shared" si="11"/>
        <v>0</v>
      </c>
      <c r="H330" s="1651"/>
    </row>
    <row r="331" spans="2:8" s="147" customFormat="1" ht="24.75" customHeight="1" thickBot="1" x14ac:dyDescent="0.3">
      <c r="B331" s="2966" t="s">
        <v>20</v>
      </c>
      <c r="C331" s="2996" t="s">
        <v>2016</v>
      </c>
      <c r="D331" s="2962"/>
      <c r="E331" s="2963"/>
      <c r="F331" s="2968"/>
      <c r="G331" s="2969">
        <f>SUM(G282:G330)</f>
        <v>0</v>
      </c>
      <c r="H331" s="1651"/>
    </row>
    <row r="332" spans="2:8" x14ac:dyDescent="0.2">
      <c r="B332" s="1229"/>
      <c r="C332" s="1575"/>
      <c r="D332" s="1528"/>
      <c r="E332" s="1529"/>
      <c r="F332" s="1530"/>
      <c r="G332" s="1531"/>
      <c r="H332" s="1532"/>
    </row>
    <row r="333" spans="2:8" x14ac:dyDescent="0.2">
      <c r="B333" s="1533"/>
      <c r="C333" s="1694"/>
      <c r="D333" s="1577"/>
      <c r="E333" s="1578"/>
      <c r="F333" s="1579"/>
      <c r="G333" s="1580"/>
      <c r="H333" s="1532"/>
    </row>
    <row r="334" spans="2:8" s="147" customFormat="1" x14ac:dyDescent="0.25">
      <c r="B334" s="1665" t="s">
        <v>24</v>
      </c>
      <c r="C334" s="1666" t="s">
        <v>769</v>
      </c>
      <c r="D334" s="1667"/>
      <c r="E334" s="1667"/>
      <c r="F334" s="1668"/>
      <c r="G334" s="1669"/>
      <c r="H334" s="1651"/>
    </row>
    <row r="335" spans="2:8" s="147" customFormat="1" x14ac:dyDescent="0.25">
      <c r="B335" s="1695"/>
      <c r="C335" s="1696"/>
      <c r="D335" s="1583"/>
      <c r="E335" s="1584"/>
      <c r="F335" s="1697"/>
      <c r="G335" s="1698"/>
      <c r="H335" s="1515"/>
    </row>
    <row r="336" spans="2:8" s="147" customFormat="1" x14ac:dyDescent="0.25">
      <c r="B336" s="1674" t="s">
        <v>83</v>
      </c>
      <c r="C336" s="1674" t="s">
        <v>84</v>
      </c>
      <c r="D336" s="1674" t="s">
        <v>1929</v>
      </c>
      <c r="E336" s="1674" t="s">
        <v>547</v>
      </c>
      <c r="F336" s="1674" t="s">
        <v>1873</v>
      </c>
      <c r="G336" s="1674" t="s">
        <v>1874</v>
      </c>
      <c r="H336" s="1651"/>
    </row>
    <row r="337" spans="2:8" ht="387.75" customHeight="1" x14ac:dyDescent="0.2">
      <c r="B337" s="2743"/>
      <c r="C337" s="2744"/>
      <c r="D337" s="2745"/>
      <c r="E337" s="2746"/>
      <c r="F337" s="2747"/>
      <c r="G337" s="2736"/>
      <c r="H337" s="122"/>
    </row>
    <row r="338" spans="2:8" ht="24.75" customHeight="1" x14ac:dyDescent="0.2">
      <c r="B338" s="2749">
        <v>4.0999999999999996</v>
      </c>
      <c r="C338" s="2744" t="s">
        <v>2465</v>
      </c>
      <c r="D338" s="2748" t="s">
        <v>98</v>
      </c>
      <c r="E338" s="2746">
        <v>1</v>
      </c>
      <c r="F338" s="2747">
        <v>0</v>
      </c>
      <c r="G338" s="2736">
        <f t="shared" ref="G338" si="12">E338*F338</f>
        <v>0</v>
      </c>
      <c r="H338" s="122"/>
    </row>
    <row r="339" spans="2:8" s="147" customFormat="1" ht="48" x14ac:dyDescent="0.25">
      <c r="B339" s="1643" t="s">
        <v>907</v>
      </c>
      <c r="C339" s="1700" t="s">
        <v>771</v>
      </c>
      <c r="D339" s="1675" t="s">
        <v>123</v>
      </c>
      <c r="E339" s="1701">
        <v>2</v>
      </c>
      <c r="F339" s="1702">
        <v>0</v>
      </c>
      <c r="G339" s="1702">
        <f t="shared" ref="G339:G347" si="13">E339*F339</f>
        <v>0</v>
      </c>
      <c r="H339" s="1651"/>
    </row>
    <row r="340" spans="2:8" s="147" customFormat="1" ht="48" x14ac:dyDescent="0.25">
      <c r="B340" s="1643" t="s">
        <v>908</v>
      </c>
      <c r="C340" s="1703" t="s">
        <v>625</v>
      </c>
      <c r="D340" s="1675" t="s">
        <v>123</v>
      </c>
      <c r="E340" s="1701">
        <v>2</v>
      </c>
      <c r="F340" s="1702">
        <v>0</v>
      </c>
      <c r="G340" s="1702">
        <f t="shared" si="13"/>
        <v>0</v>
      </c>
      <c r="H340" s="1651"/>
    </row>
    <row r="341" spans="2:8" s="147" customFormat="1" ht="60" x14ac:dyDescent="0.25">
      <c r="B341" s="1643" t="s">
        <v>2068</v>
      </c>
      <c r="C341" s="1703" t="s">
        <v>772</v>
      </c>
      <c r="D341" s="1675" t="s">
        <v>123</v>
      </c>
      <c r="E341" s="1701">
        <v>1</v>
      </c>
      <c r="F341" s="1702">
        <v>0</v>
      </c>
      <c r="G341" s="1702">
        <f t="shared" si="13"/>
        <v>0</v>
      </c>
      <c r="H341" s="1651"/>
    </row>
    <row r="342" spans="2:8" s="147" customFormat="1" ht="60" x14ac:dyDescent="0.25">
      <c r="B342" s="1643" t="s">
        <v>2069</v>
      </c>
      <c r="C342" s="1703" t="s">
        <v>2070</v>
      </c>
      <c r="D342" s="1675" t="s">
        <v>123</v>
      </c>
      <c r="E342" s="1701">
        <v>1</v>
      </c>
      <c r="F342" s="1702">
        <v>0</v>
      </c>
      <c r="G342" s="1702">
        <f t="shared" si="13"/>
        <v>0</v>
      </c>
      <c r="H342" s="1651"/>
    </row>
    <row r="343" spans="2:8" s="147" customFormat="1" ht="312" x14ac:dyDescent="0.25">
      <c r="B343" s="1643" t="s">
        <v>2071</v>
      </c>
      <c r="C343" s="1703" t="s">
        <v>816</v>
      </c>
      <c r="D343" s="1675" t="s">
        <v>553</v>
      </c>
      <c r="E343" s="1675">
        <v>1</v>
      </c>
      <c r="F343" s="1702">
        <v>0</v>
      </c>
      <c r="G343" s="1704">
        <f t="shared" si="13"/>
        <v>0</v>
      </c>
      <c r="H343" s="1651"/>
    </row>
    <row r="344" spans="2:8" s="147" customFormat="1" ht="228" x14ac:dyDescent="0.25">
      <c r="B344" s="1643" t="s">
        <v>2072</v>
      </c>
      <c r="C344" s="1703" t="s">
        <v>773</v>
      </c>
      <c r="D344" s="1675" t="s">
        <v>98</v>
      </c>
      <c r="E344" s="1701">
        <v>1</v>
      </c>
      <c r="F344" s="1702">
        <v>0</v>
      </c>
      <c r="G344" s="1702">
        <f t="shared" si="13"/>
        <v>0</v>
      </c>
      <c r="H344" s="1651"/>
    </row>
    <row r="345" spans="2:8" s="147" customFormat="1" ht="84" x14ac:dyDescent="0.25">
      <c r="B345" s="1643" t="s">
        <v>2073</v>
      </c>
      <c r="C345" s="1703" t="s">
        <v>944</v>
      </c>
      <c r="D345" s="1675" t="s">
        <v>123</v>
      </c>
      <c r="E345" s="1675">
        <v>1</v>
      </c>
      <c r="F345" s="1702">
        <v>0</v>
      </c>
      <c r="G345" s="1702">
        <f t="shared" si="13"/>
        <v>0</v>
      </c>
      <c r="H345" s="1651"/>
    </row>
    <row r="346" spans="2:8" s="147" customFormat="1" ht="312" x14ac:dyDescent="0.25">
      <c r="B346" s="1699" t="s">
        <v>2074</v>
      </c>
      <c r="C346" s="1915" t="s">
        <v>630</v>
      </c>
      <c r="D346" s="1675" t="s">
        <v>98</v>
      </c>
      <c r="E346" s="1675">
        <v>2</v>
      </c>
      <c r="F346" s="1702">
        <v>0</v>
      </c>
      <c r="G346" s="1702">
        <f t="shared" si="13"/>
        <v>0</v>
      </c>
      <c r="H346" s="1651"/>
    </row>
    <row r="347" spans="2:8" s="147" customFormat="1" ht="13.5" thickBot="1" x14ac:dyDescent="0.3">
      <c r="B347" s="1705" t="s">
        <v>2075</v>
      </c>
      <c r="C347" s="1688" t="s">
        <v>632</v>
      </c>
      <c r="D347" s="1675" t="s">
        <v>98</v>
      </c>
      <c r="E347" s="1675">
        <v>1</v>
      </c>
      <c r="F347" s="1702">
        <v>0</v>
      </c>
      <c r="G347" s="1702">
        <f t="shared" si="13"/>
        <v>0</v>
      </c>
      <c r="H347" s="1651"/>
    </row>
    <row r="348" spans="2:8" s="147" customFormat="1" ht="22.5" customHeight="1" thickBot="1" x14ac:dyDescent="0.3">
      <c r="B348" s="2966" t="s">
        <v>24</v>
      </c>
      <c r="C348" s="2996" t="s">
        <v>769</v>
      </c>
      <c r="D348" s="2962"/>
      <c r="E348" s="2963"/>
      <c r="F348" s="2968"/>
      <c r="G348" s="2985">
        <f>SUM(G337:G347)</f>
        <v>0</v>
      </c>
      <c r="H348" s="1651"/>
    </row>
    <row r="349" spans="2:8" x14ac:dyDescent="0.2">
      <c r="B349" s="1229"/>
      <c r="C349" s="1575"/>
      <c r="D349" s="1528"/>
      <c r="E349" s="1529"/>
      <c r="F349" s="1530"/>
      <c r="G349" s="1531"/>
      <c r="H349" s="1532"/>
    </row>
    <row r="350" spans="2:8" x14ac:dyDescent="0.2">
      <c r="B350" s="1533"/>
      <c r="C350" s="1587"/>
      <c r="D350" s="1535"/>
      <c r="E350" s="1536"/>
      <c r="F350" s="1537"/>
      <c r="G350" s="1538"/>
      <c r="H350" s="1532"/>
    </row>
    <row r="351" spans="2:8" s="147" customFormat="1" x14ac:dyDescent="0.25">
      <c r="B351" s="1662"/>
      <c r="C351" s="1663"/>
      <c r="D351" s="1544"/>
      <c r="E351" s="1545"/>
      <c r="F351" s="1664"/>
      <c r="G351" s="1547"/>
      <c r="H351" s="1515"/>
    </row>
    <row r="352" spans="2:8" s="147" customFormat="1" x14ac:dyDescent="0.25">
      <c r="B352" s="1665" t="s">
        <v>29</v>
      </c>
      <c r="C352" s="1666" t="s">
        <v>779</v>
      </c>
      <c r="D352" s="1667"/>
      <c r="E352" s="1667"/>
      <c r="F352" s="1668"/>
      <c r="G352" s="1669"/>
      <c r="H352" s="1515"/>
    </row>
    <row r="353" spans="2:8" s="147" customFormat="1" x14ac:dyDescent="0.25">
      <c r="B353" s="1706"/>
      <c r="C353" s="1639"/>
      <c r="D353" s="556"/>
      <c r="E353" s="557"/>
      <c r="F353" s="558"/>
      <c r="G353" s="1232"/>
      <c r="H353" s="1515"/>
    </row>
    <row r="354" spans="2:8" s="147" customFormat="1" x14ac:dyDescent="0.25">
      <c r="B354" s="1674" t="s">
        <v>83</v>
      </c>
      <c r="C354" s="1674" t="s">
        <v>84</v>
      </c>
      <c r="D354" s="1674" t="s">
        <v>1929</v>
      </c>
      <c r="E354" s="1674" t="s">
        <v>547</v>
      </c>
      <c r="F354" s="1674" t="s">
        <v>1873</v>
      </c>
      <c r="G354" s="1674" t="s">
        <v>1874</v>
      </c>
      <c r="H354" s="1515"/>
    </row>
    <row r="355" spans="2:8" s="147" customFormat="1" ht="76.5" x14ac:dyDescent="0.25">
      <c r="B355" s="1643" t="s">
        <v>2078</v>
      </c>
      <c r="C355" s="1688" t="s">
        <v>781</v>
      </c>
      <c r="D355" s="1675" t="s">
        <v>123</v>
      </c>
      <c r="E355" s="1675">
        <v>2</v>
      </c>
      <c r="F355" s="1882">
        <v>0</v>
      </c>
      <c r="G355" s="1646">
        <f t="shared" ref="G355:G365" si="14">E355*F355</f>
        <v>0</v>
      </c>
      <c r="H355" s="1515"/>
    </row>
    <row r="356" spans="2:8" s="147" customFormat="1" ht="89.25" x14ac:dyDescent="0.25">
      <c r="B356" s="1643" t="s">
        <v>2079</v>
      </c>
      <c r="C356" s="1688" t="s">
        <v>780</v>
      </c>
      <c r="D356" s="1675" t="s">
        <v>123</v>
      </c>
      <c r="E356" s="1675">
        <v>2</v>
      </c>
      <c r="F356" s="1882">
        <v>0</v>
      </c>
      <c r="G356" s="1646">
        <f t="shared" si="14"/>
        <v>0</v>
      </c>
      <c r="H356" s="1515"/>
    </row>
    <row r="357" spans="2:8" s="147" customFormat="1" ht="36" x14ac:dyDescent="0.25">
      <c r="B357" s="1643" t="s">
        <v>2080</v>
      </c>
      <c r="C357" s="1707" t="s">
        <v>640</v>
      </c>
      <c r="D357" s="1675" t="s">
        <v>123</v>
      </c>
      <c r="E357" s="1675">
        <v>1</v>
      </c>
      <c r="F357" s="1882">
        <v>0</v>
      </c>
      <c r="G357" s="1646">
        <f t="shared" si="14"/>
        <v>0</v>
      </c>
      <c r="H357" s="1515"/>
    </row>
    <row r="358" spans="2:8" s="147" customFormat="1" ht="344.25" x14ac:dyDescent="0.25">
      <c r="B358" s="1643" t="s">
        <v>2082</v>
      </c>
      <c r="C358" s="1708" t="s">
        <v>923</v>
      </c>
      <c r="D358" s="1675" t="s">
        <v>123</v>
      </c>
      <c r="E358" s="1675">
        <v>1</v>
      </c>
      <c r="F358" s="1882">
        <v>0</v>
      </c>
      <c r="G358" s="1646">
        <f t="shared" si="14"/>
        <v>0</v>
      </c>
      <c r="H358" s="1515"/>
    </row>
    <row r="359" spans="2:8" s="147" customFormat="1" ht="102" x14ac:dyDescent="0.25">
      <c r="B359" s="1643" t="s">
        <v>2083</v>
      </c>
      <c r="C359" s="1709" t="s">
        <v>1352</v>
      </c>
      <c r="D359" s="1675" t="s">
        <v>98</v>
      </c>
      <c r="E359" s="1675">
        <v>1</v>
      </c>
      <c r="F359" s="1882">
        <v>0</v>
      </c>
      <c r="G359" s="1646">
        <f t="shared" si="14"/>
        <v>0</v>
      </c>
      <c r="H359" s="1515"/>
    </row>
    <row r="360" spans="2:8" s="147" customFormat="1" x14ac:dyDescent="0.25">
      <c r="B360" s="1643" t="s">
        <v>2085</v>
      </c>
      <c r="C360" s="1710" t="s">
        <v>924</v>
      </c>
      <c r="D360" s="1675" t="s">
        <v>98</v>
      </c>
      <c r="E360" s="1675">
        <v>1</v>
      </c>
      <c r="F360" s="1882">
        <v>0</v>
      </c>
      <c r="G360" s="1646">
        <f t="shared" si="14"/>
        <v>0</v>
      </c>
      <c r="H360" s="1515"/>
    </row>
    <row r="361" spans="2:8" s="147" customFormat="1" ht="25.5" x14ac:dyDescent="0.25">
      <c r="B361" s="1643" t="s">
        <v>2086</v>
      </c>
      <c r="C361" s="1688" t="s">
        <v>2081</v>
      </c>
      <c r="D361" s="1675" t="s">
        <v>123</v>
      </c>
      <c r="E361" s="1675">
        <v>2</v>
      </c>
      <c r="F361" s="1882">
        <v>0</v>
      </c>
      <c r="G361" s="1646">
        <f t="shared" si="14"/>
        <v>0</v>
      </c>
      <c r="H361" s="1515"/>
    </row>
    <row r="362" spans="2:8" s="147" customFormat="1" ht="25.5" x14ac:dyDescent="0.25">
      <c r="B362" s="1643" t="s">
        <v>2087</v>
      </c>
      <c r="C362" s="1688" t="s">
        <v>638</v>
      </c>
      <c r="D362" s="1675" t="s">
        <v>123</v>
      </c>
      <c r="E362" s="1675">
        <v>2</v>
      </c>
      <c r="F362" s="1882">
        <v>0</v>
      </c>
      <c r="G362" s="1646">
        <f t="shared" si="14"/>
        <v>0</v>
      </c>
      <c r="H362" s="1515"/>
    </row>
    <row r="363" spans="2:8" s="147" customFormat="1" x14ac:dyDescent="0.25">
      <c r="B363" s="1643" t="s">
        <v>2088</v>
      </c>
      <c r="C363" s="1688" t="s">
        <v>2084</v>
      </c>
      <c r="D363" s="1675" t="s">
        <v>123</v>
      </c>
      <c r="E363" s="1675">
        <v>1</v>
      </c>
      <c r="F363" s="1882">
        <v>0</v>
      </c>
      <c r="G363" s="1646">
        <f t="shared" si="14"/>
        <v>0</v>
      </c>
      <c r="H363" s="1515"/>
    </row>
    <row r="364" spans="2:8" s="147" customFormat="1" ht="38.25" x14ac:dyDescent="0.25">
      <c r="B364" s="1643" t="s">
        <v>2185</v>
      </c>
      <c r="C364" s="1688" t="s">
        <v>782</v>
      </c>
      <c r="D364" s="1675" t="s">
        <v>123</v>
      </c>
      <c r="E364" s="1675">
        <v>1</v>
      </c>
      <c r="F364" s="1882">
        <v>0</v>
      </c>
      <c r="G364" s="1646">
        <f t="shared" si="14"/>
        <v>0</v>
      </c>
      <c r="H364" s="1515"/>
    </row>
    <row r="365" spans="2:8" s="147" customFormat="1" ht="13.5" thickBot="1" x14ac:dyDescent="0.3">
      <c r="B365" s="1643" t="s">
        <v>2186</v>
      </c>
      <c r="C365" s="1688" t="s">
        <v>632</v>
      </c>
      <c r="D365" s="1675" t="s">
        <v>98</v>
      </c>
      <c r="E365" s="1675">
        <v>1</v>
      </c>
      <c r="F365" s="1882">
        <v>0</v>
      </c>
      <c r="G365" s="1646">
        <f t="shared" si="14"/>
        <v>0</v>
      </c>
      <c r="H365" s="1515"/>
    </row>
    <row r="366" spans="2:8" s="147" customFormat="1" ht="24" customHeight="1" thickBot="1" x14ac:dyDescent="0.3">
      <c r="B366" s="2966" t="s">
        <v>29</v>
      </c>
      <c r="C366" s="2996" t="s">
        <v>779</v>
      </c>
      <c r="D366" s="2962"/>
      <c r="E366" s="2963"/>
      <c r="F366" s="2968"/>
      <c r="G366" s="2969">
        <f>SUM(G355:G365)</f>
        <v>0</v>
      </c>
      <c r="H366" s="1515"/>
    </row>
    <row r="367" spans="2:8" x14ac:dyDescent="0.2">
      <c r="B367" s="1594"/>
      <c r="C367" s="1595"/>
      <c r="D367" s="1596"/>
      <c r="E367" s="1597"/>
      <c r="F367" s="1598"/>
      <c r="G367" s="1599"/>
      <c r="H367" s="1532"/>
    </row>
    <row r="368" spans="2:8" x14ac:dyDescent="0.2">
      <c r="B368" s="555"/>
      <c r="C368" s="1600"/>
      <c r="D368" s="556"/>
      <c r="E368" s="557"/>
      <c r="F368" s="562"/>
      <c r="G368" s="559"/>
      <c r="H368" s="1532"/>
    </row>
    <row r="369" spans="2:8" s="147" customFormat="1" x14ac:dyDescent="0.25">
      <c r="B369" s="1662"/>
      <c r="C369" s="1663"/>
      <c r="D369" s="1544"/>
      <c r="E369" s="1545"/>
      <c r="F369" s="1664"/>
      <c r="G369" s="1547"/>
      <c r="H369" s="1651"/>
    </row>
    <row r="370" spans="2:8" s="147" customFormat="1" x14ac:dyDescent="0.25">
      <c r="B370" s="1665" t="s">
        <v>33</v>
      </c>
      <c r="C370" s="1666" t="s">
        <v>679</v>
      </c>
      <c r="D370" s="1667"/>
      <c r="E370" s="1667"/>
      <c r="F370" s="1668"/>
      <c r="G370" s="1669"/>
      <c r="H370" s="1651"/>
    </row>
    <row r="371" spans="2:8" s="147" customFormat="1" x14ac:dyDescent="0.25">
      <c r="B371" s="1695"/>
      <c r="C371" s="1696"/>
      <c r="D371" s="1583"/>
      <c r="E371" s="1584"/>
      <c r="F371" s="1697"/>
      <c r="G371" s="1698"/>
      <c r="H371" s="1515"/>
    </row>
    <row r="372" spans="2:8" s="147" customFormat="1" x14ac:dyDescent="0.25">
      <c r="B372" s="1674" t="s">
        <v>83</v>
      </c>
      <c r="C372" s="1674" t="s">
        <v>84</v>
      </c>
      <c r="D372" s="1674" t="s">
        <v>1929</v>
      </c>
      <c r="E372" s="1674" t="s">
        <v>547</v>
      </c>
      <c r="F372" s="1674" t="s">
        <v>1873</v>
      </c>
      <c r="G372" s="1674" t="s">
        <v>1874</v>
      </c>
      <c r="H372" s="1651"/>
    </row>
    <row r="373" spans="2:8" s="147" customFormat="1" ht="76.5" x14ac:dyDescent="0.25">
      <c r="B373" s="1643" t="s">
        <v>2089</v>
      </c>
      <c r="C373" s="1914" t="s">
        <v>777</v>
      </c>
      <c r="D373" s="1675" t="s">
        <v>553</v>
      </c>
      <c r="E373" s="1675">
        <v>1</v>
      </c>
      <c r="F373" s="1882">
        <v>0</v>
      </c>
      <c r="G373" s="1646">
        <f t="shared" ref="G373:G378" si="15">E373*F373</f>
        <v>0</v>
      </c>
      <c r="H373" s="1651"/>
    </row>
    <row r="374" spans="2:8" s="147" customFormat="1" ht="114.75" x14ac:dyDescent="0.25">
      <c r="B374" s="1643" t="s">
        <v>2090</v>
      </c>
      <c r="C374" s="1914" t="s">
        <v>778</v>
      </c>
      <c r="D374" s="1675" t="s">
        <v>553</v>
      </c>
      <c r="E374" s="1675">
        <v>1</v>
      </c>
      <c r="F374" s="1882">
        <v>0</v>
      </c>
      <c r="G374" s="1646">
        <f t="shared" si="15"/>
        <v>0</v>
      </c>
      <c r="H374" s="1651"/>
    </row>
    <row r="375" spans="2:8" s="147" customFormat="1" ht="76.5" x14ac:dyDescent="0.25">
      <c r="B375" s="1643" t="s">
        <v>2091</v>
      </c>
      <c r="C375" s="1914" t="s">
        <v>2092</v>
      </c>
      <c r="D375" s="1675" t="s">
        <v>553</v>
      </c>
      <c r="E375" s="1675">
        <v>1</v>
      </c>
      <c r="F375" s="1882">
        <v>0</v>
      </c>
      <c r="G375" s="1646">
        <f t="shared" si="15"/>
        <v>0</v>
      </c>
      <c r="H375" s="1651"/>
    </row>
    <row r="376" spans="2:8" s="147" customFormat="1" ht="38.25" x14ac:dyDescent="0.25">
      <c r="B376" s="1643" t="s">
        <v>2093</v>
      </c>
      <c r="C376" s="1914" t="s">
        <v>790</v>
      </c>
      <c r="D376" s="1675" t="s">
        <v>98</v>
      </c>
      <c r="E376" s="1675">
        <v>1</v>
      </c>
      <c r="F376" s="1882">
        <v>0</v>
      </c>
      <c r="G376" s="1646">
        <f t="shared" si="15"/>
        <v>0</v>
      </c>
      <c r="H376" s="1651"/>
    </row>
    <row r="377" spans="2:8" s="147" customFormat="1" ht="51" x14ac:dyDescent="0.25">
      <c r="B377" s="1643" t="s">
        <v>2094</v>
      </c>
      <c r="C377" s="1914" t="s">
        <v>791</v>
      </c>
      <c r="D377" s="1675" t="s">
        <v>98</v>
      </c>
      <c r="E377" s="1675">
        <v>1</v>
      </c>
      <c r="F377" s="1882">
        <v>0</v>
      </c>
      <c r="G377" s="1646">
        <f t="shared" si="15"/>
        <v>0</v>
      </c>
      <c r="H377" s="1651"/>
    </row>
    <row r="378" spans="2:8" s="147" customFormat="1" ht="51.75" thickBot="1" x14ac:dyDescent="0.3">
      <c r="B378" s="1643" t="s">
        <v>2095</v>
      </c>
      <c r="C378" s="1914" t="s">
        <v>792</v>
      </c>
      <c r="D378" s="1675" t="s">
        <v>98</v>
      </c>
      <c r="E378" s="1675">
        <v>1</v>
      </c>
      <c r="F378" s="1882">
        <v>0</v>
      </c>
      <c r="G378" s="1646">
        <f t="shared" si="15"/>
        <v>0</v>
      </c>
      <c r="H378" s="1651"/>
    </row>
    <row r="379" spans="2:8" s="147" customFormat="1" ht="23.25" customHeight="1" thickBot="1" x14ac:dyDescent="0.3">
      <c r="B379" s="2966" t="s">
        <v>33</v>
      </c>
      <c r="C379" s="2996" t="s">
        <v>679</v>
      </c>
      <c r="D379" s="2962"/>
      <c r="E379" s="2963"/>
      <c r="F379" s="2968"/>
      <c r="G379" s="2969">
        <f>SUM(G373:G378)</f>
        <v>0</v>
      </c>
      <c r="H379" s="1651"/>
    </row>
    <row r="380" spans="2:8" s="1944" customFormat="1" ht="9" customHeight="1" x14ac:dyDescent="0.25">
      <c r="B380" s="3001"/>
      <c r="C380" s="3002"/>
      <c r="D380" s="2976"/>
      <c r="E380" s="3003"/>
      <c r="F380" s="3004"/>
      <c r="G380" s="3005"/>
      <c r="H380" s="3006"/>
    </row>
    <row r="381" spans="2:8" s="136" customFormat="1" ht="25.5" customHeight="1" x14ac:dyDescent="0.2">
      <c r="B381" s="293" t="s">
        <v>18</v>
      </c>
      <c r="C381" s="294" t="s">
        <v>2540</v>
      </c>
      <c r="D381" s="218"/>
      <c r="E381" s="203"/>
      <c r="F381" s="1516"/>
      <c r="G381" s="1449">
        <f>G379+G366+G348+G331+G276+G214</f>
        <v>0</v>
      </c>
      <c r="H381" s="565"/>
    </row>
    <row r="382" spans="2:8" s="147" customFormat="1" x14ac:dyDescent="0.25">
      <c r="B382" s="2989"/>
      <c r="C382" s="2990"/>
      <c r="D382" s="2991"/>
      <c r="E382" s="2992"/>
      <c r="F382" s="2993"/>
      <c r="G382" s="2994"/>
      <c r="H382" s="2995"/>
    </row>
    <row r="383" spans="2:8" s="147" customFormat="1" x14ac:dyDescent="0.25">
      <c r="B383" s="2989"/>
      <c r="C383" s="2990"/>
      <c r="D383" s="2991"/>
      <c r="E383" s="2992"/>
      <c r="F383" s="2993"/>
      <c r="G383" s="2994"/>
      <c r="H383" s="2995"/>
    </row>
    <row r="384" spans="2:8" ht="23.25" customHeight="1" x14ac:dyDescent="0.2">
      <c r="B384" s="3007" t="s">
        <v>22</v>
      </c>
      <c r="C384" s="3300" t="s">
        <v>2534</v>
      </c>
      <c r="D384" s="3301"/>
      <c r="E384" s="3301"/>
      <c r="F384" s="3301"/>
      <c r="G384" s="3302"/>
    </row>
    <row r="385" spans="2:8" x14ac:dyDescent="0.2">
      <c r="B385" s="555"/>
      <c r="C385" s="1600"/>
      <c r="D385" s="556"/>
      <c r="E385" s="557"/>
      <c r="F385" s="562"/>
      <c r="G385" s="559"/>
      <c r="H385" s="1532"/>
    </row>
    <row r="386" spans="2:8" x14ac:dyDescent="0.2">
      <c r="B386" s="526" t="s">
        <v>368</v>
      </c>
      <c r="C386" s="1711" t="s">
        <v>84</v>
      </c>
      <c r="D386" s="527" t="s">
        <v>546</v>
      </c>
      <c r="E386" s="528" t="s">
        <v>547</v>
      </c>
      <c r="F386" s="529" t="s">
        <v>1873</v>
      </c>
      <c r="G386" s="527" t="s">
        <v>1874</v>
      </c>
      <c r="H386" s="1532"/>
    </row>
    <row r="387" spans="2:8" x14ac:dyDescent="0.2">
      <c r="B387" s="530"/>
      <c r="C387" s="1073"/>
      <c r="D387" s="1203"/>
      <c r="E387" s="1204"/>
      <c r="F387" s="1522"/>
      <c r="G387" s="1523"/>
      <c r="H387" s="1532"/>
    </row>
    <row r="388" spans="2:8" x14ac:dyDescent="0.2">
      <c r="B388" s="1224" t="s">
        <v>8</v>
      </c>
      <c r="C388" s="1071" t="s">
        <v>1871</v>
      </c>
      <c r="D388" s="1199" t="s">
        <v>551</v>
      </c>
      <c r="E388" s="1200" t="s">
        <v>551</v>
      </c>
      <c r="F388" s="1524"/>
      <c r="G388" s="1524"/>
      <c r="H388" s="1532"/>
    </row>
    <row r="389" spans="2:8" x14ac:dyDescent="0.2">
      <c r="B389" s="1601"/>
      <c r="C389" s="1602"/>
      <c r="D389" s="1603"/>
      <c r="E389" s="1604"/>
      <c r="F389" s="1605"/>
      <c r="G389" s="1606"/>
      <c r="H389" s="1532"/>
    </row>
    <row r="390" spans="2:8" ht="38.25" x14ac:dyDescent="0.2">
      <c r="B390" s="1896" t="s">
        <v>167</v>
      </c>
      <c r="C390" s="1852" t="s">
        <v>2096</v>
      </c>
      <c r="D390" s="1853" t="s">
        <v>644</v>
      </c>
      <c r="E390" s="1853">
        <v>100</v>
      </c>
      <c r="F390" s="1854">
        <v>0</v>
      </c>
      <c r="G390" s="1854">
        <f t="shared" ref="G390:G399" si="16">E390*F390</f>
        <v>0</v>
      </c>
      <c r="H390" s="1532"/>
    </row>
    <row r="391" spans="2:8" ht="51" x14ac:dyDescent="0.2">
      <c r="B391" s="1896" t="s">
        <v>622</v>
      </c>
      <c r="C391" s="1852" t="s">
        <v>2097</v>
      </c>
      <c r="D391" s="1853" t="s">
        <v>98</v>
      </c>
      <c r="E391" s="1853">
        <v>1</v>
      </c>
      <c r="F391" s="1854">
        <v>0</v>
      </c>
      <c r="G391" s="1854">
        <f t="shared" si="16"/>
        <v>0</v>
      </c>
      <c r="H391" s="1532"/>
    </row>
    <row r="392" spans="2:8" ht="51" x14ac:dyDescent="0.2">
      <c r="B392" s="1896" t="s">
        <v>641</v>
      </c>
      <c r="C392" s="1852" t="s">
        <v>2098</v>
      </c>
      <c r="D392" s="1853" t="s">
        <v>112</v>
      </c>
      <c r="E392" s="1897">
        <f>100*0.4*1.2</f>
        <v>48</v>
      </c>
      <c r="F392" s="1854">
        <v>0</v>
      </c>
      <c r="G392" s="1854">
        <f t="shared" si="16"/>
        <v>0</v>
      </c>
      <c r="H392" s="1532"/>
    </row>
    <row r="393" spans="2:8" ht="51" x14ac:dyDescent="0.2">
      <c r="B393" s="1896" t="s">
        <v>653</v>
      </c>
      <c r="C393" s="1852" t="s">
        <v>2099</v>
      </c>
      <c r="D393" s="1853" t="s">
        <v>98</v>
      </c>
      <c r="E393" s="1897">
        <v>1</v>
      </c>
      <c r="F393" s="1854">
        <v>0</v>
      </c>
      <c r="G393" s="1854">
        <f t="shared" si="16"/>
        <v>0</v>
      </c>
      <c r="H393" s="1532"/>
    </row>
    <row r="394" spans="2:8" ht="51" x14ac:dyDescent="0.2">
      <c r="B394" s="1896" t="s">
        <v>664</v>
      </c>
      <c r="C394" s="1852" t="s">
        <v>2100</v>
      </c>
      <c r="D394" s="1853" t="s">
        <v>112</v>
      </c>
      <c r="E394" s="1897">
        <f>100*0.4*0.2</f>
        <v>8</v>
      </c>
      <c r="F394" s="1854">
        <v>0</v>
      </c>
      <c r="G394" s="1854">
        <f t="shared" si="16"/>
        <v>0</v>
      </c>
      <c r="H394" s="1532"/>
    </row>
    <row r="395" spans="2:8" ht="51" x14ac:dyDescent="0.2">
      <c r="B395" s="1896" t="s">
        <v>678</v>
      </c>
      <c r="C395" s="1852" t="s">
        <v>2101</v>
      </c>
      <c r="D395" s="1853" t="s">
        <v>112</v>
      </c>
      <c r="E395" s="1897">
        <f>100*0.4*1.2</f>
        <v>48</v>
      </c>
      <c r="F395" s="1854">
        <v>0</v>
      </c>
      <c r="G395" s="1854">
        <f t="shared" si="16"/>
        <v>0</v>
      </c>
      <c r="H395" s="1532"/>
    </row>
    <row r="396" spans="2:8" ht="38.25" x14ac:dyDescent="0.2">
      <c r="B396" s="1896" t="s">
        <v>688</v>
      </c>
      <c r="C396" s="1852" t="s">
        <v>2102</v>
      </c>
      <c r="D396" s="1853" t="s">
        <v>112</v>
      </c>
      <c r="E396" s="1897">
        <f>100*0.4*0.005</f>
        <v>0.2</v>
      </c>
      <c r="F396" s="1854">
        <v>0</v>
      </c>
      <c r="G396" s="1854">
        <f t="shared" si="16"/>
        <v>0</v>
      </c>
      <c r="H396" s="1532"/>
    </row>
    <row r="397" spans="2:8" ht="38.25" x14ac:dyDescent="0.2">
      <c r="B397" s="1896" t="s">
        <v>1199</v>
      </c>
      <c r="C397" s="1852" t="s">
        <v>2187</v>
      </c>
      <c r="D397" s="1853" t="s">
        <v>98</v>
      </c>
      <c r="E397" s="1897">
        <v>1</v>
      </c>
      <c r="F397" s="1854">
        <v>0</v>
      </c>
      <c r="G397" s="1854">
        <f t="shared" si="16"/>
        <v>0</v>
      </c>
      <c r="H397" s="1514"/>
    </row>
    <row r="398" spans="2:8" ht="38.25" x14ac:dyDescent="0.2">
      <c r="B398" s="1896" t="s">
        <v>1200</v>
      </c>
      <c r="C398" s="1852" t="s">
        <v>2104</v>
      </c>
      <c r="D398" s="1853" t="s">
        <v>98</v>
      </c>
      <c r="E398" s="1897">
        <v>1</v>
      </c>
      <c r="F398" s="1854">
        <v>0</v>
      </c>
      <c r="G398" s="1854">
        <f t="shared" si="16"/>
        <v>0</v>
      </c>
      <c r="H398" s="1514"/>
    </row>
    <row r="399" spans="2:8" ht="26.25" thickBot="1" x14ac:dyDescent="0.25">
      <c r="B399" s="1896" t="s">
        <v>1201</v>
      </c>
      <c r="C399" s="1852" t="s">
        <v>2105</v>
      </c>
      <c r="D399" s="1853" t="s">
        <v>98</v>
      </c>
      <c r="E399" s="1897">
        <v>1</v>
      </c>
      <c r="F399" s="1854">
        <v>0</v>
      </c>
      <c r="G399" s="1854">
        <f t="shared" si="16"/>
        <v>0</v>
      </c>
      <c r="H399" s="1514"/>
    </row>
    <row r="400" spans="2:8" ht="23.25" customHeight="1" thickBot="1" x14ac:dyDescent="0.25">
      <c r="B400" s="2955" t="s">
        <v>8</v>
      </c>
      <c r="C400" s="2961" t="s">
        <v>1871</v>
      </c>
      <c r="D400" s="2962"/>
      <c r="E400" s="2963"/>
      <c r="F400" s="2964"/>
      <c r="G400" s="2986">
        <f>SUM(G390:G399)</f>
        <v>0</v>
      </c>
      <c r="H400" s="1514"/>
    </row>
    <row r="401" spans="2:8" x14ac:dyDescent="0.2">
      <c r="B401" s="1898"/>
      <c r="C401" s="1899"/>
      <c r="D401" s="1900"/>
      <c r="E401" s="1901"/>
      <c r="F401" s="1902"/>
      <c r="G401" s="1903"/>
      <c r="H401" s="1532"/>
    </row>
    <row r="402" spans="2:8" x14ac:dyDescent="0.2">
      <c r="B402" s="1904"/>
      <c r="C402" s="1905"/>
      <c r="D402" s="1906"/>
      <c r="E402" s="1907"/>
      <c r="F402" s="1908"/>
      <c r="G402" s="1909"/>
      <c r="H402" s="1532"/>
    </row>
    <row r="403" spans="2:8" x14ac:dyDescent="0.2">
      <c r="B403" s="1542"/>
      <c r="C403" s="1543"/>
      <c r="D403" s="1544"/>
      <c r="E403" s="1545"/>
      <c r="F403" s="1546"/>
      <c r="G403" s="1547"/>
      <c r="H403" s="1514"/>
    </row>
    <row r="404" spans="2:8" x14ac:dyDescent="0.2">
      <c r="B404" s="1868" t="s">
        <v>15</v>
      </c>
      <c r="C404" s="1869" t="s">
        <v>1872</v>
      </c>
      <c r="D404" s="1870"/>
      <c r="E404" s="1870"/>
      <c r="F404" s="1871"/>
      <c r="G404" s="1872"/>
      <c r="H404" s="1514"/>
    </row>
    <row r="405" spans="2:8" x14ac:dyDescent="0.2">
      <c r="B405" s="555"/>
      <c r="C405" s="1600"/>
      <c r="D405" s="556"/>
      <c r="E405" s="557"/>
      <c r="F405" s="562"/>
      <c r="G405" s="559"/>
      <c r="H405" s="1514"/>
    </row>
    <row r="406" spans="2:8" x14ac:dyDescent="0.2">
      <c r="B406" s="1877" t="s">
        <v>83</v>
      </c>
      <c r="C406" s="1878" t="s">
        <v>84</v>
      </c>
      <c r="D406" s="1878" t="s">
        <v>1929</v>
      </c>
      <c r="E406" s="1878" t="s">
        <v>547</v>
      </c>
      <c r="F406" s="1878" t="s">
        <v>1873</v>
      </c>
      <c r="G406" s="1878" t="s">
        <v>1874</v>
      </c>
      <c r="H406" s="1514"/>
    </row>
    <row r="407" spans="2:8" ht="63.75" x14ac:dyDescent="0.2">
      <c r="B407" s="1896"/>
      <c r="C407" s="1852" t="s">
        <v>2106</v>
      </c>
      <c r="D407" s="1910"/>
      <c r="E407" s="1911"/>
      <c r="F407" s="1912"/>
      <c r="G407" s="1912"/>
      <c r="H407" s="1514"/>
    </row>
    <row r="408" spans="2:8" ht="76.5" x14ac:dyDescent="0.2">
      <c r="B408" s="1896" t="s">
        <v>173</v>
      </c>
      <c r="C408" s="1852" t="s">
        <v>2107</v>
      </c>
      <c r="D408" s="1853" t="s">
        <v>98</v>
      </c>
      <c r="E408" s="1897">
        <v>1</v>
      </c>
      <c r="F408" s="1854">
        <v>0</v>
      </c>
      <c r="G408" s="1854">
        <f t="shared" ref="G408:G418" si="17">E408*F408</f>
        <v>0</v>
      </c>
      <c r="H408" s="1514"/>
    </row>
    <row r="409" spans="2:8" ht="63.75" x14ac:dyDescent="0.2">
      <c r="B409" s="1896" t="s">
        <v>175</v>
      </c>
      <c r="C409" s="1852" t="s">
        <v>2108</v>
      </c>
      <c r="D409" s="1853" t="s">
        <v>98</v>
      </c>
      <c r="E409" s="1897">
        <v>1</v>
      </c>
      <c r="F409" s="1854">
        <v>0</v>
      </c>
      <c r="G409" s="1854">
        <f t="shared" si="17"/>
        <v>0</v>
      </c>
      <c r="H409" s="1514"/>
    </row>
    <row r="410" spans="2:8" ht="63.75" x14ac:dyDescent="0.2">
      <c r="B410" s="1896" t="s">
        <v>177</v>
      </c>
      <c r="C410" s="1852" t="s">
        <v>2109</v>
      </c>
      <c r="D410" s="1853" t="s">
        <v>98</v>
      </c>
      <c r="E410" s="1897">
        <v>1</v>
      </c>
      <c r="F410" s="1854">
        <v>0</v>
      </c>
      <c r="G410" s="1854">
        <f t="shared" si="17"/>
        <v>0</v>
      </c>
      <c r="H410" s="1514"/>
    </row>
    <row r="411" spans="2:8" ht="25.5" x14ac:dyDescent="0.2">
      <c r="B411" s="1896" t="s">
        <v>1210</v>
      </c>
      <c r="C411" s="1852" t="s">
        <v>2110</v>
      </c>
      <c r="D411" s="1853" t="s">
        <v>644</v>
      </c>
      <c r="E411" s="1897">
        <v>5</v>
      </c>
      <c r="F411" s="1854">
        <v>0</v>
      </c>
      <c r="G411" s="1854">
        <f t="shared" si="17"/>
        <v>0</v>
      </c>
      <c r="H411" s="1514"/>
    </row>
    <row r="412" spans="2:8" ht="51" x14ac:dyDescent="0.2">
      <c r="B412" s="1896" t="s">
        <v>1933</v>
      </c>
      <c r="C412" s="1852" t="s">
        <v>2111</v>
      </c>
      <c r="D412" s="1853" t="s">
        <v>98</v>
      </c>
      <c r="E412" s="1897">
        <v>1</v>
      </c>
      <c r="F412" s="1854">
        <v>0</v>
      </c>
      <c r="G412" s="1854">
        <f t="shared" si="17"/>
        <v>0</v>
      </c>
      <c r="H412" s="1514"/>
    </row>
    <row r="413" spans="2:8" ht="76.5" x14ac:dyDescent="0.2">
      <c r="B413" s="1896" t="s">
        <v>1214</v>
      </c>
      <c r="C413" s="1852" t="s">
        <v>2112</v>
      </c>
      <c r="D413" s="1853" t="s">
        <v>644</v>
      </c>
      <c r="E413" s="1853">
        <v>110</v>
      </c>
      <c r="F413" s="1854">
        <v>0</v>
      </c>
      <c r="G413" s="1854">
        <f t="shared" si="17"/>
        <v>0</v>
      </c>
      <c r="H413" s="1514"/>
    </row>
    <row r="414" spans="2:8" ht="63.75" x14ac:dyDescent="0.2">
      <c r="B414" s="1896" t="s">
        <v>1315</v>
      </c>
      <c r="C414" s="1852" t="s">
        <v>2113</v>
      </c>
      <c r="D414" s="1853" t="s">
        <v>123</v>
      </c>
      <c r="E414" s="1897">
        <f>102/6</f>
        <v>17</v>
      </c>
      <c r="F414" s="1854">
        <v>0</v>
      </c>
      <c r="G414" s="1854">
        <f t="shared" si="17"/>
        <v>0</v>
      </c>
      <c r="H414" s="1514"/>
    </row>
    <row r="415" spans="2:8" ht="25.5" x14ac:dyDescent="0.2">
      <c r="B415" s="1896" t="s">
        <v>1937</v>
      </c>
      <c r="C415" s="1852" t="s">
        <v>2114</v>
      </c>
      <c r="D415" s="1853" t="s">
        <v>644</v>
      </c>
      <c r="E415" s="1897">
        <v>110</v>
      </c>
      <c r="F415" s="1854">
        <v>0</v>
      </c>
      <c r="G415" s="1854">
        <f t="shared" si="17"/>
        <v>0</v>
      </c>
      <c r="H415" s="1514"/>
    </row>
    <row r="416" spans="2:8" ht="191.25" x14ac:dyDescent="0.2">
      <c r="B416" s="1896" t="s">
        <v>1939</v>
      </c>
      <c r="C416" s="1852" t="s">
        <v>2115</v>
      </c>
      <c r="D416" s="1853" t="s">
        <v>98</v>
      </c>
      <c r="E416" s="1897">
        <v>1</v>
      </c>
      <c r="F416" s="1854">
        <v>0</v>
      </c>
      <c r="G416" s="1854">
        <f t="shared" si="17"/>
        <v>0</v>
      </c>
      <c r="H416" s="1514"/>
    </row>
    <row r="417" spans="2:8" ht="89.25" x14ac:dyDescent="0.2">
      <c r="B417" s="1896" t="s">
        <v>1220</v>
      </c>
      <c r="C417" s="1852" t="s">
        <v>2116</v>
      </c>
      <c r="D417" s="1853" t="s">
        <v>98</v>
      </c>
      <c r="E417" s="1897">
        <v>1</v>
      </c>
      <c r="F417" s="1854">
        <v>0</v>
      </c>
      <c r="G417" s="1854">
        <f t="shared" si="17"/>
        <v>0</v>
      </c>
      <c r="H417" s="1514"/>
    </row>
    <row r="418" spans="2:8" ht="40.5" customHeight="1" thickBot="1" x14ac:dyDescent="0.25">
      <c r="B418" s="1896" t="s">
        <v>1222</v>
      </c>
      <c r="C418" s="1852" t="s">
        <v>2117</v>
      </c>
      <c r="D418" s="1853" t="s">
        <v>98</v>
      </c>
      <c r="E418" s="1897">
        <v>1</v>
      </c>
      <c r="F418" s="1854">
        <v>0</v>
      </c>
      <c r="G418" s="1854">
        <f t="shared" si="17"/>
        <v>0</v>
      </c>
      <c r="H418" s="1514"/>
    </row>
    <row r="419" spans="2:8" ht="23.25" customHeight="1" thickBot="1" x14ac:dyDescent="0.25">
      <c r="B419" s="2955" t="s">
        <v>15</v>
      </c>
      <c r="C419" s="2961" t="s">
        <v>1872</v>
      </c>
      <c r="D419" s="2962"/>
      <c r="E419" s="2963"/>
      <c r="F419" s="2964"/>
      <c r="G419" s="2986">
        <f>SUM(G408:G418)</f>
        <v>0</v>
      </c>
      <c r="H419" s="1514"/>
    </row>
    <row r="420" spans="2:8" x14ac:dyDescent="0.2">
      <c r="B420" s="1555"/>
      <c r="C420" s="1607"/>
      <c r="D420" s="1608"/>
      <c r="E420" s="1609"/>
      <c r="F420" s="1610"/>
      <c r="G420" s="1611"/>
      <c r="H420" s="1532"/>
    </row>
    <row r="421" spans="2:8" s="136" customFormat="1" ht="25.5" customHeight="1" x14ac:dyDescent="0.2">
      <c r="B421" s="293" t="s">
        <v>22</v>
      </c>
      <c r="C421" s="294" t="s">
        <v>2541</v>
      </c>
      <c r="D421" s="218"/>
      <c r="E421" s="203"/>
      <c r="F421" s="1516"/>
      <c r="G421" s="1449">
        <f>G419+G400</f>
        <v>0</v>
      </c>
      <c r="H421" s="565"/>
    </row>
    <row r="422" spans="2:8" x14ac:dyDescent="0.2">
      <c r="B422" s="555"/>
      <c r="C422" s="1600"/>
      <c r="D422" s="556"/>
      <c r="E422" s="557"/>
      <c r="F422" s="562"/>
      <c r="G422" s="559"/>
      <c r="H422" s="1532"/>
    </row>
    <row r="423" spans="2:8" x14ac:dyDescent="0.2">
      <c r="G423" s="1612"/>
      <c r="H423" s="1532"/>
    </row>
    <row r="424" spans="2:8" x14ac:dyDescent="0.2">
      <c r="G424" s="1612"/>
      <c r="H424" s="1532"/>
    </row>
    <row r="425" spans="2:8" x14ac:dyDescent="0.2">
      <c r="B425" s="121"/>
      <c r="C425" s="121"/>
      <c r="D425" s="121"/>
      <c r="E425" s="121"/>
      <c r="F425" s="121"/>
      <c r="G425" s="121"/>
      <c r="H425" s="1532"/>
    </row>
    <row r="426" spans="2:8" x14ac:dyDescent="0.2">
      <c r="B426" s="121"/>
      <c r="C426" s="121"/>
      <c r="D426" s="121"/>
      <c r="E426" s="121"/>
      <c r="F426" s="121"/>
      <c r="G426" s="121"/>
      <c r="H426" s="1532"/>
    </row>
    <row r="427" spans="2:8" x14ac:dyDescent="0.2">
      <c r="B427" s="121"/>
      <c r="C427" s="121"/>
      <c r="D427" s="121"/>
      <c r="E427" s="121"/>
      <c r="F427" s="121"/>
      <c r="G427" s="121"/>
      <c r="H427" s="1532"/>
    </row>
    <row r="428" spans="2:8" x14ac:dyDescent="0.2">
      <c r="B428" s="121"/>
      <c r="C428" s="121"/>
      <c r="D428" s="121"/>
      <c r="E428" s="121"/>
      <c r="F428" s="121"/>
      <c r="G428" s="121"/>
      <c r="H428" s="1532"/>
    </row>
    <row r="429" spans="2:8" x14ac:dyDescent="0.2">
      <c r="B429" s="121"/>
      <c r="C429" s="121"/>
      <c r="D429" s="121"/>
      <c r="E429" s="121"/>
      <c r="F429" s="121"/>
      <c r="G429" s="121"/>
      <c r="H429" s="1532"/>
    </row>
    <row r="430" spans="2:8" x14ac:dyDescent="0.2">
      <c r="B430" s="121"/>
      <c r="C430" s="121"/>
      <c r="D430" s="121"/>
      <c r="E430" s="121"/>
      <c r="F430" s="121"/>
      <c r="G430" s="121"/>
      <c r="H430" s="1532"/>
    </row>
    <row r="431" spans="2:8" x14ac:dyDescent="0.2">
      <c r="B431" s="121"/>
      <c r="C431" s="121"/>
      <c r="D431" s="121"/>
      <c r="E431" s="121"/>
      <c r="F431" s="121"/>
      <c r="G431" s="121"/>
      <c r="H431" s="1532"/>
    </row>
    <row r="432" spans="2:8" x14ac:dyDescent="0.2">
      <c r="B432" s="121"/>
      <c r="C432" s="121"/>
      <c r="D432" s="121"/>
      <c r="E432" s="121"/>
      <c r="F432" s="121"/>
      <c r="G432" s="121"/>
      <c r="H432" s="1532"/>
    </row>
    <row r="433" spans="2:8" x14ac:dyDescent="0.2">
      <c r="B433" s="121"/>
      <c r="C433" s="121"/>
      <c r="D433" s="121"/>
      <c r="E433" s="121"/>
      <c r="F433" s="121"/>
      <c r="G433" s="121"/>
      <c r="H433" s="1532"/>
    </row>
    <row r="434" spans="2:8" x14ac:dyDescent="0.2">
      <c r="B434" s="121"/>
      <c r="C434" s="121"/>
      <c r="D434" s="121"/>
      <c r="E434" s="121"/>
      <c r="F434" s="121"/>
      <c r="G434" s="121"/>
      <c r="H434" s="1532"/>
    </row>
    <row r="435" spans="2:8" x14ac:dyDescent="0.2">
      <c r="B435" s="121"/>
      <c r="C435" s="121"/>
      <c r="D435" s="121"/>
      <c r="E435" s="121"/>
      <c r="F435" s="121"/>
      <c r="G435" s="121"/>
      <c r="H435" s="1532"/>
    </row>
    <row r="436" spans="2:8" x14ac:dyDescent="0.2">
      <c r="B436" s="121"/>
      <c r="C436" s="121"/>
      <c r="D436" s="121"/>
      <c r="E436" s="121"/>
      <c r="F436" s="121"/>
      <c r="G436" s="121"/>
      <c r="H436" s="1532"/>
    </row>
    <row r="437" spans="2:8" x14ac:dyDescent="0.2">
      <c r="B437" s="121"/>
      <c r="C437" s="121"/>
      <c r="D437" s="121"/>
      <c r="E437" s="121"/>
      <c r="F437" s="121"/>
      <c r="G437" s="121"/>
      <c r="H437" s="1532"/>
    </row>
    <row r="438" spans="2:8" x14ac:dyDescent="0.2">
      <c r="B438" s="121"/>
      <c r="C438" s="121"/>
      <c r="D438" s="121"/>
      <c r="E438" s="121"/>
      <c r="F438" s="121"/>
      <c r="G438" s="121"/>
      <c r="H438" s="1532"/>
    </row>
    <row r="439" spans="2:8" x14ac:dyDescent="0.2">
      <c r="B439" s="121"/>
      <c r="C439" s="121"/>
      <c r="D439" s="121"/>
      <c r="E439" s="121"/>
      <c r="F439" s="121"/>
      <c r="G439" s="121"/>
      <c r="H439" s="1532"/>
    </row>
    <row r="440" spans="2:8" x14ac:dyDescent="0.2">
      <c r="B440" s="121"/>
      <c r="C440" s="121"/>
      <c r="D440" s="121"/>
      <c r="E440" s="121"/>
      <c r="F440" s="121"/>
      <c r="G440" s="121"/>
      <c r="H440" s="1532"/>
    </row>
    <row r="441" spans="2:8" x14ac:dyDescent="0.2">
      <c r="B441" s="121"/>
      <c r="C441" s="121"/>
      <c r="D441" s="121"/>
      <c r="E441" s="121"/>
      <c r="F441" s="121"/>
      <c r="G441" s="121"/>
      <c r="H441" s="1532"/>
    </row>
    <row r="442" spans="2:8" x14ac:dyDescent="0.2">
      <c r="B442" s="121"/>
      <c r="C442" s="121"/>
      <c r="D442" s="121"/>
      <c r="E442" s="121"/>
      <c r="F442" s="121"/>
      <c r="G442" s="121"/>
      <c r="H442" s="1532"/>
    </row>
    <row r="443" spans="2:8" x14ac:dyDescent="0.2">
      <c r="B443" s="121"/>
      <c r="C443" s="121"/>
      <c r="D443" s="121"/>
      <c r="E443" s="121"/>
      <c r="F443" s="121"/>
      <c r="G443" s="121"/>
      <c r="H443" s="1532"/>
    </row>
    <row r="444" spans="2:8" x14ac:dyDescent="0.2">
      <c r="B444" s="121"/>
      <c r="C444" s="121"/>
      <c r="D444" s="121"/>
      <c r="E444" s="121"/>
      <c r="F444" s="121"/>
      <c r="G444" s="121"/>
      <c r="H444" s="1532"/>
    </row>
    <row r="445" spans="2:8" x14ac:dyDescent="0.2">
      <c r="B445" s="121"/>
      <c r="C445" s="121"/>
      <c r="D445" s="121"/>
      <c r="E445" s="121"/>
      <c r="F445" s="121"/>
      <c r="G445" s="121"/>
      <c r="H445" s="1532"/>
    </row>
    <row r="446" spans="2:8" x14ac:dyDescent="0.2">
      <c r="B446" s="121"/>
      <c r="C446" s="121"/>
      <c r="D446" s="121"/>
      <c r="E446" s="121"/>
      <c r="F446" s="121"/>
      <c r="G446" s="121"/>
      <c r="H446" s="1532"/>
    </row>
    <row r="447" spans="2:8" x14ac:dyDescent="0.2">
      <c r="B447" s="121"/>
      <c r="C447" s="121"/>
      <c r="D447" s="121"/>
      <c r="E447" s="121"/>
      <c r="F447" s="121"/>
      <c r="G447" s="121"/>
      <c r="H447" s="1532"/>
    </row>
    <row r="448" spans="2:8" x14ac:dyDescent="0.2">
      <c r="B448" s="121"/>
      <c r="C448" s="121"/>
      <c r="D448" s="121"/>
      <c r="E448" s="121"/>
      <c r="F448" s="121"/>
      <c r="G448" s="121"/>
      <c r="H448" s="1532"/>
    </row>
    <row r="449" spans="2:8" x14ac:dyDescent="0.2">
      <c r="B449" s="121"/>
      <c r="C449" s="121"/>
      <c r="D449" s="121"/>
      <c r="E449" s="121"/>
      <c r="F449" s="121"/>
      <c r="G449" s="121"/>
      <c r="H449" s="1532"/>
    </row>
    <row r="450" spans="2:8" x14ac:dyDescent="0.2">
      <c r="B450" s="121"/>
      <c r="C450" s="121"/>
      <c r="D450" s="121"/>
      <c r="E450" s="121"/>
      <c r="F450" s="121"/>
      <c r="G450" s="121"/>
      <c r="H450" s="1532"/>
    </row>
    <row r="451" spans="2:8" x14ac:dyDescent="0.2">
      <c r="B451" s="121"/>
      <c r="C451" s="121"/>
      <c r="D451" s="121"/>
      <c r="E451" s="121"/>
      <c r="F451" s="121"/>
      <c r="G451" s="121"/>
      <c r="H451" s="1532"/>
    </row>
    <row r="452" spans="2:8" x14ac:dyDescent="0.2">
      <c r="B452" s="121"/>
      <c r="C452" s="121"/>
      <c r="D452" s="121"/>
      <c r="E452" s="121"/>
      <c r="F452" s="121"/>
      <c r="G452" s="121"/>
      <c r="H452" s="1532"/>
    </row>
    <row r="453" spans="2:8" x14ac:dyDescent="0.2">
      <c r="B453" s="121"/>
      <c r="C453" s="121"/>
      <c r="D453" s="121"/>
      <c r="E453" s="121"/>
      <c r="F453" s="121"/>
      <c r="G453" s="121"/>
      <c r="H453" s="1532"/>
    </row>
    <row r="454" spans="2:8" x14ac:dyDescent="0.2">
      <c r="B454" s="121"/>
      <c r="C454" s="121"/>
      <c r="D454" s="121"/>
      <c r="E454" s="121"/>
      <c r="F454" s="121"/>
      <c r="G454" s="121"/>
      <c r="H454" s="1532"/>
    </row>
    <row r="455" spans="2:8" x14ac:dyDescent="0.2">
      <c r="B455" s="121"/>
      <c r="C455" s="121"/>
      <c r="D455" s="121"/>
      <c r="E455" s="121"/>
      <c r="F455" s="121"/>
      <c r="G455" s="121"/>
      <c r="H455" s="1532"/>
    </row>
    <row r="456" spans="2:8" x14ac:dyDescent="0.2">
      <c r="B456" s="121"/>
      <c r="C456" s="121"/>
      <c r="D456" s="121"/>
      <c r="E456" s="121"/>
      <c r="F456" s="121"/>
      <c r="G456" s="121"/>
      <c r="H456" s="1532"/>
    </row>
    <row r="457" spans="2:8" x14ac:dyDescent="0.2">
      <c r="B457" s="121"/>
      <c r="C457" s="121"/>
      <c r="D457" s="121"/>
      <c r="E457" s="121"/>
      <c r="F457" s="121"/>
      <c r="G457" s="121"/>
      <c r="H457" s="1532"/>
    </row>
    <row r="458" spans="2:8" x14ac:dyDescent="0.2">
      <c r="B458" s="121"/>
      <c r="C458" s="121"/>
      <c r="D458" s="121"/>
      <c r="E458" s="121"/>
      <c r="F458" s="121"/>
      <c r="G458" s="121"/>
      <c r="H458" s="1532"/>
    </row>
    <row r="459" spans="2:8" x14ac:dyDescent="0.2">
      <c r="B459" s="121"/>
      <c r="C459" s="121"/>
      <c r="D459" s="121"/>
      <c r="E459" s="121"/>
      <c r="F459" s="121"/>
      <c r="G459" s="121"/>
      <c r="H459" s="1532"/>
    </row>
    <row r="460" spans="2:8" x14ac:dyDescent="0.2">
      <c r="B460" s="121"/>
      <c r="C460" s="121"/>
      <c r="D460" s="121"/>
      <c r="E460" s="121"/>
      <c r="F460" s="121"/>
      <c r="G460" s="121"/>
      <c r="H460" s="1532"/>
    </row>
    <row r="461" spans="2:8" x14ac:dyDescent="0.2">
      <c r="B461" s="121"/>
      <c r="C461" s="121"/>
      <c r="D461" s="121"/>
      <c r="E461" s="121"/>
      <c r="F461" s="121"/>
      <c r="G461" s="121"/>
      <c r="H461" s="1532"/>
    </row>
    <row r="462" spans="2:8" x14ac:dyDescent="0.2">
      <c r="B462" s="121"/>
      <c r="C462" s="121"/>
      <c r="D462" s="121"/>
      <c r="E462" s="121"/>
      <c r="F462" s="121"/>
      <c r="G462" s="121"/>
      <c r="H462" s="1532"/>
    </row>
    <row r="463" spans="2:8" x14ac:dyDescent="0.2">
      <c r="B463" s="121"/>
      <c r="C463" s="121"/>
      <c r="D463" s="121"/>
      <c r="E463" s="121"/>
      <c r="F463" s="121"/>
      <c r="G463" s="121"/>
      <c r="H463" s="1532"/>
    </row>
    <row r="464" spans="2:8" x14ac:dyDescent="0.2">
      <c r="B464" s="121"/>
      <c r="C464" s="121"/>
      <c r="D464" s="121"/>
      <c r="E464" s="121"/>
      <c r="F464" s="121"/>
      <c r="G464" s="121"/>
      <c r="H464" s="1532"/>
    </row>
    <row r="465" spans="2:8" x14ac:dyDescent="0.2">
      <c r="B465" s="121"/>
      <c r="C465" s="121"/>
      <c r="D465" s="121"/>
      <c r="E465" s="121"/>
      <c r="F465" s="121"/>
      <c r="G465" s="121"/>
      <c r="H465" s="1532"/>
    </row>
    <row r="466" spans="2:8" x14ac:dyDescent="0.2">
      <c r="B466" s="121"/>
      <c r="C466" s="121"/>
      <c r="D466" s="121"/>
      <c r="E466" s="121"/>
      <c r="F466" s="121"/>
      <c r="G466" s="121"/>
      <c r="H466" s="1532"/>
    </row>
    <row r="467" spans="2:8" x14ac:dyDescent="0.2">
      <c r="B467" s="121"/>
      <c r="C467" s="121"/>
      <c r="D467" s="121"/>
      <c r="E467" s="121"/>
      <c r="F467" s="121"/>
      <c r="G467" s="121"/>
      <c r="H467" s="1532"/>
    </row>
    <row r="468" spans="2:8" x14ac:dyDescent="0.2">
      <c r="B468" s="121"/>
      <c r="C468" s="121"/>
      <c r="D468" s="121"/>
      <c r="E468" s="121"/>
      <c r="F468" s="121"/>
      <c r="G468" s="121"/>
      <c r="H468" s="1532"/>
    </row>
    <row r="469" spans="2:8" x14ac:dyDescent="0.2">
      <c r="B469" s="121"/>
      <c r="C469" s="121"/>
      <c r="D469" s="121"/>
      <c r="E469" s="121"/>
      <c r="F469" s="121"/>
      <c r="G469" s="121"/>
      <c r="H469" s="1532"/>
    </row>
    <row r="470" spans="2:8" x14ac:dyDescent="0.2">
      <c r="B470" s="121"/>
      <c r="C470" s="121"/>
      <c r="D470" s="121"/>
      <c r="E470" s="121"/>
      <c r="F470" s="121"/>
      <c r="G470" s="121"/>
      <c r="H470" s="1532"/>
    </row>
    <row r="471" spans="2:8" x14ac:dyDescent="0.2">
      <c r="B471" s="121"/>
      <c r="C471" s="121"/>
      <c r="D471" s="121"/>
      <c r="E471" s="121"/>
      <c r="F471" s="121"/>
      <c r="G471" s="121"/>
      <c r="H471" s="1532"/>
    </row>
    <row r="472" spans="2:8" x14ac:dyDescent="0.2">
      <c r="B472" s="121"/>
      <c r="C472" s="121"/>
      <c r="D472" s="121"/>
      <c r="E472" s="121"/>
      <c r="F472" s="121"/>
      <c r="G472" s="121"/>
      <c r="H472" s="1532"/>
    </row>
    <row r="473" spans="2:8" x14ac:dyDescent="0.2">
      <c r="B473" s="121"/>
      <c r="C473" s="121"/>
      <c r="D473" s="121"/>
      <c r="E473" s="121"/>
      <c r="F473" s="121"/>
      <c r="G473" s="121"/>
      <c r="H473" s="1532"/>
    </row>
    <row r="474" spans="2:8" x14ac:dyDescent="0.2">
      <c r="B474" s="121"/>
      <c r="C474" s="121"/>
      <c r="D474" s="121"/>
      <c r="E474" s="121"/>
      <c r="F474" s="121"/>
      <c r="G474" s="121"/>
      <c r="H474" s="1532"/>
    </row>
    <row r="475" spans="2:8" x14ac:dyDescent="0.2">
      <c r="B475" s="121"/>
      <c r="C475" s="121"/>
      <c r="D475" s="121"/>
      <c r="E475" s="121"/>
      <c r="F475" s="121"/>
      <c r="G475" s="121"/>
      <c r="H475" s="1532"/>
    </row>
    <row r="476" spans="2:8" x14ac:dyDescent="0.2">
      <c r="B476" s="121"/>
      <c r="C476" s="121"/>
      <c r="D476" s="121"/>
      <c r="E476" s="121"/>
      <c r="F476" s="121"/>
      <c r="G476" s="121"/>
      <c r="H476" s="1532"/>
    </row>
    <row r="477" spans="2:8" x14ac:dyDescent="0.2">
      <c r="B477" s="121"/>
      <c r="C477" s="121"/>
      <c r="D477" s="121"/>
      <c r="E477" s="121"/>
      <c r="F477" s="121"/>
      <c r="G477" s="121"/>
      <c r="H477" s="1532"/>
    </row>
    <row r="478" spans="2:8" x14ac:dyDescent="0.2">
      <c r="B478" s="121"/>
      <c r="C478" s="121"/>
      <c r="D478" s="121"/>
      <c r="E478" s="121"/>
      <c r="F478" s="121"/>
      <c r="G478" s="121"/>
      <c r="H478" s="1532"/>
    </row>
    <row r="479" spans="2:8" x14ac:dyDescent="0.2">
      <c r="B479" s="121"/>
      <c r="C479" s="121"/>
      <c r="D479" s="121"/>
      <c r="E479" s="121"/>
      <c r="F479" s="121"/>
      <c r="G479" s="121"/>
      <c r="H479" s="1532"/>
    </row>
    <row r="480" spans="2:8" x14ac:dyDescent="0.2">
      <c r="B480" s="121"/>
      <c r="C480" s="121"/>
      <c r="D480" s="121"/>
      <c r="E480" s="121"/>
      <c r="F480" s="121"/>
      <c r="G480" s="121"/>
      <c r="H480" s="1532"/>
    </row>
    <row r="481" spans="2:8" x14ac:dyDescent="0.2">
      <c r="B481" s="121"/>
      <c r="C481" s="121"/>
      <c r="D481" s="121"/>
      <c r="E481" s="121"/>
      <c r="F481" s="121"/>
      <c r="G481" s="121"/>
      <c r="H481" s="1532"/>
    </row>
    <row r="482" spans="2:8" x14ac:dyDescent="0.2">
      <c r="B482" s="121"/>
      <c r="C482" s="121"/>
      <c r="D482" s="121"/>
      <c r="E482" s="121"/>
      <c r="F482" s="121"/>
      <c r="G482" s="121"/>
      <c r="H482" s="1532"/>
    </row>
    <row r="483" spans="2:8" x14ac:dyDescent="0.2">
      <c r="B483" s="121"/>
      <c r="C483" s="121"/>
      <c r="D483" s="121"/>
      <c r="E483" s="121"/>
      <c r="F483" s="121"/>
      <c r="G483" s="121"/>
      <c r="H483" s="1532"/>
    </row>
    <row r="484" spans="2:8" x14ac:dyDescent="0.2">
      <c r="B484" s="121"/>
      <c r="C484" s="121"/>
      <c r="D484" s="121"/>
      <c r="E484" s="121"/>
      <c r="F484" s="121"/>
      <c r="G484" s="121"/>
      <c r="H484" s="1532"/>
    </row>
    <row r="485" spans="2:8" x14ac:dyDescent="0.2">
      <c r="B485" s="121"/>
      <c r="C485" s="121"/>
      <c r="D485" s="121"/>
      <c r="E485" s="121"/>
      <c r="F485" s="121"/>
      <c r="G485" s="121"/>
      <c r="H485" s="1532"/>
    </row>
    <row r="486" spans="2:8" x14ac:dyDescent="0.2">
      <c r="B486" s="121"/>
      <c r="C486" s="121"/>
      <c r="D486" s="121"/>
      <c r="E486" s="121"/>
      <c r="F486" s="121"/>
      <c r="G486" s="121"/>
      <c r="H486" s="1532"/>
    </row>
    <row r="487" spans="2:8" x14ac:dyDescent="0.2">
      <c r="B487" s="121"/>
      <c r="C487" s="121"/>
      <c r="D487" s="121"/>
      <c r="E487" s="121"/>
      <c r="F487" s="121"/>
      <c r="G487" s="121"/>
      <c r="H487" s="1532"/>
    </row>
    <row r="488" spans="2:8" x14ac:dyDescent="0.2">
      <c r="B488" s="121"/>
      <c r="C488" s="121"/>
      <c r="D488" s="121"/>
      <c r="E488" s="121"/>
      <c r="F488" s="121"/>
      <c r="G488" s="121"/>
      <c r="H488" s="1532"/>
    </row>
    <row r="489" spans="2:8" x14ac:dyDescent="0.2">
      <c r="B489" s="121"/>
      <c r="C489" s="121"/>
      <c r="D489" s="121"/>
      <c r="E489" s="121"/>
      <c r="F489" s="121"/>
      <c r="G489" s="121"/>
      <c r="H489" s="1532"/>
    </row>
    <row r="490" spans="2:8" x14ac:dyDescent="0.2">
      <c r="B490" s="121"/>
      <c r="C490" s="121"/>
      <c r="D490" s="121"/>
      <c r="E490" s="121"/>
      <c r="F490" s="121"/>
      <c r="G490" s="121"/>
      <c r="H490" s="1532"/>
    </row>
    <row r="491" spans="2:8" x14ac:dyDescent="0.2">
      <c r="B491" s="121"/>
      <c r="C491" s="121"/>
      <c r="D491" s="121"/>
      <c r="E491" s="121"/>
      <c r="F491" s="121"/>
      <c r="G491" s="121"/>
      <c r="H491" s="1532"/>
    </row>
    <row r="492" spans="2:8" x14ac:dyDescent="0.2">
      <c r="B492" s="121"/>
      <c r="C492" s="121"/>
      <c r="D492" s="121"/>
      <c r="E492" s="121"/>
      <c r="F492" s="121"/>
      <c r="G492" s="121"/>
      <c r="H492" s="1532"/>
    </row>
    <row r="493" spans="2:8" x14ac:dyDescent="0.2">
      <c r="B493" s="121"/>
      <c r="C493" s="121"/>
      <c r="D493" s="121"/>
      <c r="E493" s="121"/>
      <c r="F493" s="121"/>
      <c r="G493" s="121"/>
      <c r="H493" s="1532"/>
    </row>
    <row r="494" spans="2:8" x14ac:dyDescent="0.2">
      <c r="B494" s="121"/>
      <c r="C494" s="121"/>
      <c r="D494" s="121"/>
      <c r="E494" s="121"/>
      <c r="F494" s="121"/>
      <c r="G494" s="121"/>
      <c r="H494" s="1532"/>
    </row>
    <row r="495" spans="2:8" x14ac:dyDescent="0.2">
      <c r="B495" s="121"/>
      <c r="C495" s="121"/>
      <c r="D495" s="121"/>
      <c r="E495" s="121"/>
      <c r="F495" s="121"/>
      <c r="G495" s="121"/>
      <c r="H495" s="1532"/>
    </row>
    <row r="496" spans="2:8" x14ac:dyDescent="0.2">
      <c r="B496" s="121"/>
      <c r="C496" s="121"/>
      <c r="D496" s="121"/>
      <c r="E496" s="121"/>
      <c r="F496" s="121"/>
      <c r="G496" s="121"/>
      <c r="H496" s="1532"/>
    </row>
    <row r="497" spans="2:8" x14ac:dyDescent="0.2">
      <c r="B497" s="121"/>
      <c r="C497" s="121"/>
      <c r="D497" s="121"/>
      <c r="E497" s="121"/>
      <c r="F497" s="121"/>
      <c r="G497" s="121"/>
      <c r="H497" s="1532"/>
    </row>
    <row r="498" spans="2:8" x14ac:dyDescent="0.2">
      <c r="B498" s="121"/>
      <c r="C498" s="121"/>
      <c r="D498" s="121"/>
      <c r="E498" s="121"/>
      <c r="F498" s="121"/>
      <c r="G498" s="121"/>
      <c r="H498" s="1532"/>
    </row>
    <row r="499" spans="2:8" x14ac:dyDescent="0.2">
      <c r="B499" s="121"/>
      <c r="C499" s="121"/>
      <c r="D499" s="121"/>
      <c r="E499" s="121"/>
      <c r="F499" s="121"/>
      <c r="G499" s="121"/>
      <c r="H499" s="1532"/>
    </row>
    <row r="500" spans="2:8" x14ac:dyDescent="0.2">
      <c r="B500" s="121"/>
      <c r="C500" s="121"/>
      <c r="D500" s="121"/>
      <c r="E500" s="121"/>
      <c r="F500" s="121"/>
      <c r="G500" s="121"/>
      <c r="H500" s="1532"/>
    </row>
    <row r="501" spans="2:8" x14ac:dyDescent="0.2">
      <c r="B501" s="121"/>
      <c r="C501" s="121"/>
      <c r="D501" s="121"/>
      <c r="E501" s="121"/>
      <c r="F501" s="121"/>
      <c r="G501" s="121"/>
      <c r="H501" s="1532"/>
    </row>
    <row r="502" spans="2:8" x14ac:dyDescent="0.2">
      <c r="B502" s="121"/>
      <c r="C502" s="121"/>
      <c r="D502" s="121"/>
      <c r="E502" s="121"/>
      <c r="F502" s="121"/>
      <c r="G502" s="121"/>
      <c r="H502" s="1532"/>
    </row>
    <row r="503" spans="2:8" x14ac:dyDescent="0.2">
      <c r="B503" s="121"/>
      <c r="C503" s="121"/>
      <c r="D503" s="121"/>
      <c r="E503" s="121"/>
      <c r="F503" s="121"/>
      <c r="G503" s="121"/>
      <c r="H503" s="1532"/>
    </row>
    <row r="504" spans="2:8" x14ac:dyDescent="0.2">
      <c r="B504" s="121"/>
      <c r="C504" s="121"/>
      <c r="D504" s="121"/>
      <c r="E504" s="121"/>
      <c r="F504" s="121"/>
      <c r="G504" s="121"/>
      <c r="H504" s="1532"/>
    </row>
    <row r="505" spans="2:8" x14ac:dyDescent="0.2">
      <c r="B505" s="121"/>
      <c r="C505" s="121"/>
      <c r="D505" s="121"/>
      <c r="E505" s="121"/>
      <c r="F505" s="121"/>
      <c r="G505" s="121"/>
      <c r="H505" s="1532"/>
    </row>
    <row r="506" spans="2:8" x14ac:dyDescent="0.2">
      <c r="B506" s="121"/>
      <c r="C506" s="121"/>
      <c r="D506" s="121"/>
      <c r="E506" s="121"/>
      <c r="F506" s="121"/>
      <c r="G506" s="121"/>
      <c r="H506" s="1532"/>
    </row>
    <row r="507" spans="2:8" x14ac:dyDescent="0.2">
      <c r="B507" s="121"/>
      <c r="C507" s="121"/>
      <c r="D507" s="121"/>
      <c r="E507" s="121"/>
      <c r="F507" s="121"/>
      <c r="G507" s="121"/>
      <c r="H507" s="1532"/>
    </row>
    <row r="508" spans="2:8" x14ac:dyDescent="0.2">
      <c r="B508" s="121"/>
      <c r="C508" s="121"/>
      <c r="D508" s="121"/>
      <c r="E508" s="121"/>
      <c r="F508" s="121"/>
      <c r="G508" s="121"/>
      <c r="H508" s="1532"/>
    </row>
    <row r="509" spans="2:8" x14ac:dyDescent="0.2">
      <c r="B509" s="121"/>
      <c r="C509" s="121"/>
      <c r="D509" s="121"/>
      <c r="E509" s="121"/>
      <c r="F509" s="121"/>
      <c r="G509" s="121"/>
      <c r="H509" s="1532"/>
    </row>
    <row r="510" spans="2:8" x14ac:dyDescent="0.2">
      <c r="B510" s="121"/>
      <c r="C510" s="121"/>
      <c r="D510" s="121"/>
      <c r="E510" s="121"/>
      <c r="F510" s="121"/>
      <c r="G510" s="121"/>
      <c r="H510" s="1532"/>
    </row>
    <row r="511" spans="2:8" x14ac:dyDescent="0.2">
      <c r="B511" s="121"/>
      <c r="C511" s="121"/>
      <c r="D511" s="121"/>
      <c r="E511" s="121"/>
      <c r="F511" s="121"/>
      <c r="G511" s="121"/>
      <c r="H511" s="1532"/>
    </row>
    <row r="512" spans="2:8" x14ac:dyDescent="0.2">
      <c r="B512" s="121"/>
      <c r="C512" s="121"/>
      <c r="D512" s="121"/>
      <c r="E512" s="121"/>
      <c r="F512" s="121"/>
      <c r="G512" s="121"/>
      <c r="H512" s="1532"/>
    </row>
    <row r="513" spans="2:8" x14ac:dyDescent="0.2">
      <c r="B513" s="121"/>
      <c r="C513" s="121"/>
      <c r="D513" s="121"/>
      <c r="E513" s="121"/>
      <c r="F513" s="121"/>
      <c r="G513" s="121"/>
      <c r="H513" s="1532"/>
    </row>
    <row r="514" spans="2:8" x14ac:dyDescent="0.2">
      <c r="B514" s="121"/>
      <c r="C514" s="121"/>
      <c r="D514" s="121"/>
      <c r="E514" s="121"/>
      <c r="F514" s="121"/>
      <c r="G514" s="121"/>
      <c r="H514" s="1532"/>
    </row>
    <row r="515" spans="2:8" x14ac:dyDescent="0.2">
      <c r="B515" s="121"/>
      <c r="C515" s="121"/>
      <c r="D515" s="121"/>
      <c r="E515" s="121"/>
      <c r="F515" s="121"/>
      <c r="G515" s="121"/>
      <c r="H515" s="1532"/>
    </row>
    <row r="516" spans="2:8" x14ac:dyDescent="0.2">
      <c r="B516" s="121"/>
      <c r="C516" s="121"/>
      <c r="D516" s="121"/>
      <c r="E516" s="121"/>
      <c r="F516" s="121"/>
      <c r="G516" s="121"/>
      <c r="H516" s="1532"/>
    </row>
    <row r="517" spans="2:8" x14ac:dyDescent="0.2">
      <c r="B517" s="121"/>
      <c r="C517" s="121"/>
      <c r="D517" s="121"/>
      <c r="E517" s="121"/>
      <c r="F517" s="121"/>
      <c r="G517" s="121"/>
      <c r="H517" s="1532"/>
    </row>
    <row r="518" spans="2:8" x14ac:dyDescent="0.2">
      <c r="B518" s="121"/>
      <c r="C518" s="121"/>
      <c r="D518" s="121"/>
      <c r="E518" s="121"/>
      <c r="F518" s="121"/>
      <c r="G518" s="121"/>
      <c r="H518" s="1532"/>
    </row>
    <row r="519" spans="2:8" x14ac:dyDescent="0.2">
      <c r="B519" s="121"/>
      <c r="C519" s="121"/>
      <c r="D519" s="121"/>
      <c r="E519" s="121"/>
      <c r="F519" s="121"/>
      <c r="G519" s="121"/>
      <c r="H519" s="1532"/>
    </row>
    <row r="520" spans="2:8" x14ac:dyDescent="0.2">
      <c r="B520" s="121"/>
      <c r="C520" s="121"/>
      <c r="D520" s="121"/>
      <c r="E520" s="121"/>
      <c r="F520" s="121"/>
      <c r="G520" s="121"/>
      <c r="H520" s="1532"/>
    </row>
    <row r="521" spans="2:8" x14ac:dyDescent="0.2">
      <c r="B521" s="121"/>
      <c r="C521" s="121"/>
      <c r="D521" s="121"/>
      <c r="E521" s="121"/>
      <c r="F521" s="121"/>
      <c r="G521" s="121"/>
      <c r="H521" s="1532"/>
    </row>
    <row r="522" spans="2:8" x14ac:dyDescent="0.2">
      <c r="B522" s="121"/>
      <c r="C522" s="121"/>
      <c r="D522" s="121"/>
      <c r="E522" s="121"/>
      <c r="F522" s="121"/>
      <c r="G522" s="121"/>
      <c r="H522" s="1532"/>
    </row>
    <row r="523" spans="2:8" x14ac:dyDescent="0.2">
      <c r="B523" s="121"/>
      <c r="C523" s="121"/>
      <c r="D523" s="121"/>
      <c r="E523" s="121"/>
      <c r="F523" s="121"/>
      <c r="G523" s="121"/>
      <c r="H523" s="1532"/>
    </row>
    <row r="524" spans="2:8" x14ac:dyDescent="0.2">
      <c r="B524" s="121"/>
      <c r="C524" s="121"/>
      <c r="D524" s="121"/>
      <c r="E524" s="121"/>
      <c r="F524" s="121"/>
      <c r="G524" s="121"/>
      <c r="H524" s="1532"/>
    </row>
    <row r="525" spans="2:8" x14ac:dyDescent="0.2">
      <c r="B525" s="121"/>
      <c r="C525" s="121"/>
      <c r="D525" s="121"/>
      <c r="E525" s="121"/>
      <c r="F525" s="121"/>
      <c r="G525" s="121"/>
      <c r="H525" s="1532"/>
    </row>
    <row r="526" spans="2:8" x14ac:dyDescent="0.2">
      <c r="B526" s="121"/>
      <c r="C526" s="121"/>
      <c r="D526" s="121"/>
      <c r="E526" s="121"/>
      <c r="F526" s="121"/>
      <c r="G526" s="121"/>
      <c r="H526" s="1532"/>
    </row>
    <row r="527" spans="2:8" x14ac:dyDescent="0.2">
      <c r="B527" s="121"/>
      <c r="C527" s="121"/>
      <c r="D527" s="121"/>
      <c r="E527" s="121"/>
      <c r="F527" s="121"/>
      <c r="G527" s="121"/>
      <c r="H527" s="1532"/>
    </row>
    <row r="528" spans="2:8" x14ac:dyDescent="0.2">
      <c r="B528" s="121"/>
      <c r="C528" s="121"/>
      <c r="D528" s="121"/>
      <c r="E528" s="121"/>
      <c r="F528" s="121"/>
      <c r="G528" s="121"/>
      <c r="H528" s="1532"/>
    </row>
    <row r="529" spans="2:8" x14ac:dyDescent="0.2">
      <c r="B529" s="121"/>
      <c r="C529" s="121"/>
      <c r="D529" s="121"/>
      <c r="E529" s="121"/>
      <c r="F529" s="121"/>
      <c r="G529" s="121"/>
      <c r="H529" s="1532"/>
    </row>
    <row r="530" spans="2:8" x14ac:dyDescent="0.2">
      <c r="B530" s="121"/>
      <c r="C530" s="121"/>
      <c r="D530" s="121"/>
      <c r="E530" s="121"/>
      <c r="F530" s="121"/>
      <c r="G530" s="121"/>
      <c r="H530" s="1532"/>
    </row>
    <row r="531" spans="2:8" x14ac:dyDescent="0.2">
      <c r="B531" s="121"/>
      <c r="C531" s="121"/>
      <c r="D531" s="121"/>
      <c r="E531" s="121"/>
      <c r="F531" s="121"/>
      <c r="G531" s="121"/>
      <c r="H531" s="1532"/>
    </row>
    <row r="532" spans="2:8" x14ac:dyDescent="0.2">
      <c r="B532" s="121"/>
      <c r="C532" s="121"/>
      <c r="D532" s="121"/>
      <c r="E532" s="121"/>
      <c r="F532" s="121"/>
      <c r="G532" s="121"/>
      <c r="H532" s="1532"/>
    </row>
    <row r="533" spans="2:8" x14ac:dyDescent="0.2">
      <c r="B533" s="121"/>
      <c r="C533" s="121"/>
      <c r="D533" s="121"/>
      <c r="E533" s="121"/>
      <c r="F533" s="121"/>
      <c r="G533" s="121"/>
      <c r="H533" s="1532"/>
    </row>
    <row r="534" spans="2:8" x14ac:dyDescent="0.2">
      <c r="B534" s="121"/>
      <c r="C534" s="121"/>
      <c r="D534" s="121"/>
      <c r="E534" s="121"/>
      <c r="F534" s="121"/>
      <c r="G534" s="121"/>
      <c r="H534" s="1532"/>
    </row>
    <row r="535" spans="2:8" x14ac:dyDescent="0.2">
      <c r="B535" s="121"/>
      <c r="C535" s="121"/>
      <c r="D535" s="121"/>
      <c r="E535" s="121"/>
      <c r="F535" s="121"/>
      <c r="G535" s="121"/>
      <c r="H535" s="1532"/>
    </row>
    <row r="536" spans="2:8" x14ac:dyDescent="0.2">
      <c r="B536" s="121"/>
      <c r="C536" s="121"/>
      <c r="D536" s="121"/>
      <c r="E536" s="121"/>
      <c r="F536" s="121"/>
      <c r="G536" s="121"/>
      <c r="H536" s="1532"/>
    </row>
    <row r="537" spans="2:8" x14ac:dyDescent="0.2">
      <c r="B537" s="121"/>
      <c r="C537" s="121"/>
      <c r="D537" s="121"/>
      <c r="E537" s="121"/>
      <c r="F537" s="121"/>
      <c r="G537" s="121"/>
      <c r="H537" s="1532"/>
    </row>
    <row r="538" spans="2:8" x14ac:dyDescent="0.2">
      <c r="B538" s="121"/>
      <c r="C538" s="121"/>
      <c r="D538" s="121"/>
      <c r="E538" s="121"/>
      <c r="F538" s="121"/>
      <c r="G538" s="121"/>
      <c r="H538" s="1532"/>
    </row>
    <row r="539" spans="2:8" x14ac:dyDescent="0.2">
      <c r="B539" s="121"/>
      <c r="C539" s="121"/>
      <c r="D539" s="121"/>
      <c r="E539" s="121"/>
      <c r="F539" s="121"/>
      <c r="G539" s="121"/>
      <c r="H539" s="1532"/>
    </row>
    <row r="540" spans="2:8" x14ac:dyDescent="0.2">
      <c r="B540" s="121"/>
      <c r="C540" s="121"/>
      <c r="D540" s="121"/>
      <c r="E540" s="121"/>
      <c r="F540" s="121"/>
      <c r="G540" s="121"/>
      <c r="H540" s="1532"/>
    </row>
    <row r="541" spans="2:8" x14ac:dyDescent="0.2">
      <c r="B541" s="121"/>
      <c r="C541" s="121"/>
      <c r="D541" s="121"/>
      <c r="E541" s="121"/>
      <c r="F541" s="121"/>
      <c r="G541" s="121"/>
      <c r="H541" s="1532"/>
    </row>
    <row r="542" spans="2:8" x14ac:dyDescent="0.2">
      <c r="B542" s="121"/>
      <c r="C542" s="121"/>
      <c r="D542" s="121"/>
      <c r="E542" s="121"/>
      <c r="F542" s="121"/>
      <c r="G542" s="121"/>
      <c r="H542" s="1532"/>
    </row>
    <row r="543" spans="2:8" x14ac:dyDescent="0.2">
      <c r="B543" s="121"/>
      <c r="C543" s="121"/>
      <c r="D543" s="121"/>
      <c r="E543" s="121"/>
      <c r="F543" s="121"/>
      <c r="G543" s="121"/>
      <c r="H543" s="1532"/>
    </row>
    <row r="544" spans="2:8" x14ac:dyDescent="0.2">
      <c r="B544" s="121"/>
      <c r="C544" s="121"/>
      <c r="D544" s="121"/>
      <c r="E544" s="121"/>
      <c r="F544" s="121"/>
      <c r="G544" s="121"/>
      <c r="H544" s="1532"/>
    </row>
    <row r="545" spans="2:8" x14ac:dyDescent="0.2">
      <c r="B545" s="121"/>
      <c r="C545" s="121"/>
      <c r="D545" s="121"/>
      <c r="E545" s="121"/>
      <c r="F545" s="121"/>
      <c r="G545" s="121"/>
      <c r="H545" s="1532"/>
    </row>
    <row r="546" spans="2:8" x14ac:dyDescent="0.2">
      <c r="B546" s="121"/>
      <c r="C546" s="121"/>
      <c r="D546" s="121"/>
      <c r="E546" s="121"/>
      <c r="F546" s="121"/>
      <c r="G546" s="121"/>
      <c r="H546" s="1532"/>
    </row>
    <row r="547" spans="2:8" x14ac:dyDescent="0.2">
      <c r="B547" s="121"/>
      <c r="C547" s="121"/>
      <c r="D547" s="121"/>
      <c r="E547" s="121"/>
      <c r="F547" s="121"/>
      <c r="G547" s="121"/>
      <c r="H547" s="1532"/>
    </row>
    <row r="548" spans="2:8" x14ac:dyDescent="0.2">
      <c r="B548" s="121"/>
      <c r="C548" s="121"/>
      <c r="D548" s="121"/>
      <c r="E548" s="121"/>
      <c r="F548" s="121"/>
      <c r="G548" s="121"/>
      <c r="H548" s="1532"/>
    </row>
    <row r="549" spans="2:8" x14ac:dyDescent="0.2">
      <c r="B549" s="121"/>
      <c r="C549" s="121"/>
      <c r="D549" s="121"/>
      <c r="E549" s="121"/>
      <c r="F549" s="121"/>
      <c r="G549" s="121"/>
      <c r="H549" s="1532"/>
    </row>
    <row r="550" spans="2:8" x14ac:dyDescent="0.2">
      <c r="B550" s="121"/>
      <c r="C550" s="121"/>
      <c r="D550" s="121"/>
      <c r="E550" s="121"/>
      <c r="F550" s="121"/>
      <c r="G550" s="121"/>
      <c r="H550" s="1532"/>
    </row>
    <row r="551" spans="2:8" x14ac:dyDescent="0.2">
      <c r="B551" s="121"/>
      <c r="C551" s="121"/>
      <c r="D551" s="121"/>
      <c r="E551" s="121"/>
      <c r="F551" s="121"/>
      <c r="G551" s="121"/>
      <c r="H551" s="1532"/>
    </row>
    <row r="552" spans="2:8" x14ac:dyDescent="0.2">
      <c r="B552" s="121"/>
      <c r="C552" s="121"/>
      <c r="D552" s="121"/>
      <c r="E552" s="121"/>
      <c r="F552" s="121"/>
      <c r="G552" s="121"/>
      <c r="H552" s="1532"/>
    </row>
    <row r="553" spans="2:8" x14ac:dyDescent="0.2">
      <c r="B553" s="121"/>
      <c r="C553" s="121"/>
      <c r="D553" s="121"/>
      <c r="E553" s="121"/>
      <c r="F553" s="121"/>
      <c r="G553" s="121"/>
      <c r="H553" s="1532"/>
    </row>
    <row r="554" spans="2:8" x14ac:dyDescent="0.2">
      <c r="B554" s="121"/>
      <c r="C554" s="121"/>
      <c r="D554" s="121"/>
      <c r="E554" s="121"/>
      <c r="F554" s="121"/>
      <c r="G554" s="121"/>
      <c r="H554" s="1532"/>
    </row>
    <row r="555" spans="2:8" x14ac:dyDescent="0.2">
      <c r="B555" s="121"/>
      <c r="C555" s="121"/>
      <c r="D555" s="121"/>
      <c r="E555" s="121"/>
      <c r="F555" s="121"/>
      <c r="G555" s="121"/>
      <c r="H555" s="1532"/>
    </row>
    <row r="556" spans="2:8" x14ac:dyDescent="0.2">
      <c r="B556" s="121"/>
      <c r="C556" s="121"/>
      <c r="D556" s="121"/>
      <c r="E556" s="121"/>
      <c r="F556" s="121"/>
      <c r="G556" s="121"/>
      <c r="H556" s="1532"/>
    </row>
    <row r="557" spans="2:8" x14ac:dyDescent="0.2">
      <c r="B557" s="121"/>
      <c r="C557" s="121"/>
      <c r="D557" s="121"/>
      <c r="E557" s="121"/>
      <c r="F557" s="121"/>
      <c r="G557" s="121"/>
      <c r="H557" s="1532"/>
    </row>
    <row r="558" spans="2:8" x14ac:dyDescent="0.2">
      <c r="B558" s="121"/>
      <c r="C558" s="121"/>
      <c r="D558" s="121"/>
      <c r="E558" s="121"/>
      <c r="F558" s="121"/>
      <c r="G558" s="121"/>
      <c r="H558" s="1532"/>
    </row>
    <row r="559" spans="2:8" x14ac:dyDescent="0.2">
      <c r="B559" s="121"/>
      <c r="C559" s="121"/>
      <c r="D559" s="121"/>
      <c r="E559" s="121"/>
      <c r="F559" s="121"/>
      <c r="G559" s="121"/>
      <c r="H559" s="1532"/>
    </row>
    <row r="560" spans="2:8" x14ac:dyDescent="0.2">
      <c r="B560" s="121"/>
      <c r="C560" s="121"/>
      <c r="D560" s="121"/>
      <c r="E560" s="121"/>
      <c r="F560" s="121"/>
      <c r="G560" s="121"/>
      <c r="H560" s="1532"/>
    </row>
    <row r="561" spans="2:8" x14ac:dyDescent="0.2">
      <c r="B561" s="121"/>
      <c r="C561" s="121"/>
      <c r="D561" s="121"/>
      <c r="E561" s="121"/>
      <c r="F561" s="121"/>
      <c r="G561" s="121"/>
      <c r="H561" s="1532"/>
    </row>
    <row r="562" spans="2:8" x14ac:dyDescent="0.2">
      <c r="B562" s="121"/>
      <c r="C562" s="121"/>
      <c r="D562" s="121"/>
      <c r="E562" s="121"/>
      <c r="F562" s="121"/>
      <c r="G562" s="121"/>
      <c r="H562" s="1532"/>
    </row>
    <row r="563" spans="2:8" x14ac:dyDescent="0.2">
      <c r="B563" s="121"/>
      <c r="C563" s="121"/>
      <c r="D563" s="121"/>
      <c r="E563" s="121"/>
      <c r="F563" s="121"/>
      <c r="G563" s="121"/>
      <c r="H563" s="1532"/>
    </row>
    <row r="564" spans="2:8" x14ac:dyDescent="0.2">
      <c r="B564" s="121"/>
      <c r="C564" s="121"/>
      <c r="D564" s="121"/>
      <c r="E564" s="121"/>
      <c r="F564" s="121"/>
      <c r="G564" s="121"/>
      <c r="H564" s="1532"/>
    </row>
    <row r="565" spans="2:8" x14ac:dyDescent="0.2">
      <c r="B565" s="121"/>
      <c r="C565" s="121"/>
      <c r="D565" s="121"/>
      <c r="E565" s="121"/>
      <c r="F565" s="121"/>
      <c r="G565" s="121"/>
      <c r="H565" s="1532"/>
    </row>
    <row r="566" spans="2:8" x14ac:dyDescent="0.2">
      <c r="B566" s="121"/>
      <c r="C566" s="121"/>
      <c r="D566" s="121"/>
      <c r="E566" s="121"/>
      <c r="F566" s="121"/>
      <c r="G566" s="121"/>
      <c r="H566" s="1532"/>
    </row>
    <row r="567" spans="2:8" x14ac:dyDescent="0.2">
      <c r="B567" s="121"/>
      <c r="C567" s="121"/>
      <c r="D567" s="121"/>
      <c r="E567" s="121"/>
      <c r="F567" s="121"/>
      <c r="G567" s="121"/>
      <c r="H567" s="1532"/>
    </row>
    <row r="568" spans="2:8" x14ac:dyDescent="0.2">
      <c r="B568" s="121"/>
      <c r="C568" s="121"/>
      <c r="D568" s="121"/>
      <c r="E568" s="121"/>
      <c r="F568" s="121"/>
      <c r="G568" s="121"/>
      <c r="H568" s="1532"/>
    </row>
    <row r="569" spans="2:8" x14ac:dyDescent="0.2">
      <c r="B569" s="121"/>
      <c r="C569" s="121"/>
      <c r="D569" s="121"/>
      <c r="E569" s="121"/>
      <c r="F569" s="121"/>
      <c r="G569" s="121"/>
      <c r="H569" s="1532"/>
    </row>
    <row r="570" spans="2:8" x14ac:dyDescent="0.2">
      <c r="B570" s="121"/>
      <c r="C570" s="121"/>
      <c r="D570" s="121"/>
      <c r="E570" s="121"/>
      <c r="F570" s="121"/>
      <c r="G570" s="121"/>
      <c r="H570" s="1532"/>
    </row>
    <row r="571" spans="2:8" x14ac:dyDescent="0.2">
      <c r="B571" s="121"/>
      <c r="C571" s="121"/>
      <c r="D571" s="121"/>
      <c r="E571" s="121"/>
      <c r="F571" s="121"/>
      <c r="G571" s="121"/>
      <c r="H571" s="1532"/>
    </row>
    <row r="572" spans="2:8" x14ac:dyDescent="0.2">
      <c r="B572" s="121"/>
      <c r="C572" s="121"/>
      <c r="D572" s="121"/>
      <c r="E572" s="121"/>
      <c r="F572" s="121"/>
      <c r="G572" s="121"/>
      <c r="H572" s="1532"/>
    </row>
    <row r="573" spans="2:8" x14ac:dyDescent="0.2">
      <c r="B573" s="121"/>
      <c r="C573" s="121"/>
      <c r="D573" s="121"/>
      <c r="E573" s="121"/>
      <c r="F573" s="121"/>
      <c r="G573" s="121"/>
      <c r="H573" s="1532"/>
    </row>
    <row r="574" spans="2:8" x14ac:dyDescent="0.2">
      <c r="B574" s="121"/>
      <c r="C574" s="121"/>
      <c r="D574" s="121"/>
      <c r="E574" s="121"/>
      <c r="F574" s="121"/>
      <c r="G574" s="121"/>
      <c r="H574" s="1532"/>
    </row>
    <row r="575" spans="2:8" x14ac:dyDescent="0.2">
      <c r="B575" s="121"/>
      <c r="C575" s="121"/>
      <c r="D575" s="121"/>
      <c r="E575" s="121"/>
      <c r="F575" s="121"/>
      <c r="G575" s="121"/>
      <c r="H575" s="1532"/>
    </row>
    <row r="576" spans="2:8" x14ac:dyDescent="0.2">
      <c r="B576" s="121"/>
      <c r="C576" s="121"/>
      <c r="D576" s="121"/>
      <c r="E576" s="121"/>
      <c r="F576" s="121"/>
      <c r="G576" s="121"/>
      <c r="H576" s="1532"/>
    </row>
    <row r="577" spans="2:8" x14ac:dyDescent="0.2">
      <c r="B577" s="121"/>
      <c r="C577" s="121"/>
      <c r="D577" s="121"/>
      <c r="E577" s="121"/>
      <c r="F577" s="121"/>
      <c r="G577" s="121"/>
      <c r="H577" s="1532"/>
    </row>
    <row r="578" spans="2:8" x14ac:dyDescent="0.2">
      <c r="B578" s="121"/>
      <c r="C578" s="121"/>
      <c r="D578" s="121"/>
      <c r="E578" s="121"/>
      <c r="F578" s="121"/>
      <c r="G578" s="121"/>
      <c r="H578" s="1532"/>
    </row>
    <row r="579" spans="2:8" x14ac:dyDescent="0.2">
      <c r="B579" s="121"/>
      <c r="C579" s="121"/>
      <c r="D579" s="121"/>
      <c r="E579" s="121"/>
      <c r="F579" s="121"/>
      <c r="G579" s="121"/>
      <c r="H579" s="1532"/>
    </row>
    <row r="580" spans="2:8" x14ac:dyDescent="0.2">
      <c r="B580" s="121"/>
      <c r="C580" s="121"/>
      <c r="D580" s="121"/>
      <c r="E580" s="121"/>
      <c r="F580" s="121"/>
      <c r="G580" s="121"/>
      <c r="H580" s="1532"/>
    </row>
    <row r="581" spans="2:8" x14ac:dyDescent="0.2">
      <c r="B581" s="121"/>
      <c r="C581" s="121"/>
      <c r="D581" s="121"/>
      <c r="E581" s="121"/>
      <c r="F581" s="121"/>
      <c r="G581" s="121"/>
      <c r="H581" s="1532"/>
    </row>
    <row r="582" spans="2:8" x14ac:dyDescent="0.2">
      <c r="B582" s="121"/>
      <c r="C582" s="121"/>
      <c r="D582" s="121"/>
      <c r="E582" s="121"/>
      <c r="F582" s="121"/>
      <c r="G582" s="121"/>
      <c r="H582" s="1532"/>
    </row>
    <row r="583" spans="2:8" x14ac:dyDescent="0.2">
      <c r="B583" s="121"/>
      <c r="C583" s="121"/>
      <c r="D583" s="121"/>
      <c r="E583" s="121"/>
      <c r="F583" s="121"/>
      <c r="G583" s="121"/>
      <c r="H583" s="1532"/>
    </row>
    <row r="584" spans="2:8" x14ac:dyDescent="0.2">
      <c r="B584" s="121"/>
      <c r="C584" s="121"/>
      <c r="D584" s="121"/>
      <c r="E584" s="121"/>
      <c r="F584" s="121"/>
      <c r="G584" s="121"/>
      <c r="H584" s="1532"/>
    </row>
    <row r="585" spans="2:8" x14ac:dyDescent="0.2">
      <c r="B585" s="121"/>
      <c r="C585" s="121"/>
      <c r="D585" s="121"/>
      <c r="E585" s="121"/>
      <c r="F585" s="121"/>
      <c r="G585" s="121"/>
      <c r="H585" s="1532"/>
    </row>
    <row r="586" spans="2:8" x14ac:dyDescent="0.2">
      <c r="B586" s="121"/>
      <c r="C586" s="121"/>
      <c r="D586" s="121"/>
      <c r="E586" s="121"/>
      <c r="F586" s="121"/>
      <c r="G586" s="121"/>
      <c r="H586" s="1532"/>
    </row>
    <row r="587" spans="2:8" x14ac:dyDescent="0.2">
      <c r="B587" s="121"/>
      <c r="C587" s="121"/>
      <c r="D587" s="121"/>
      <c r="E587" s="121"/>
      <c r="F587" s="121"/>
      <c r="G587" s="121"/>
      <c r="H587" s="1532"/>
    </row>
    <row r="588" spans="2:8" x14ac:dyDescent="0.2">
      <c r="B588" s="121"/>
      <c r="C588" s="121"/>
      <c r="D588" s="121"/>
      <c r="E588" s="121"/>
      <c r="F588" s="121"/>
      <c r="G588" s="121"/>
      <c r="H588" s="1532"/>
    </row>
    <row r="589" spans="2:8" x14ac:dyDescent="0.2">
      <c r="B589" s="121"/>
      <c r="C589" s="121"/>
      <c r="D589" s="121"/>
      <c r="E589" s="121"/>
      <c r="F589" s="121"/>
      <c r="G589" s="121"/>
      <c r="H589" s="1532"/>
    </row>
    <row r="590" spans="2:8" x14ac:dyDescent="0.2">
      <c r="B590" s="121"/>
      <c r="C590" s="121"/>
      <c r="D590" s="121"/>
      <c r="E590" s="121"/>
      <c r="F590" s="121"/>
      <c r="G590" s="121"/>
      <c r="H590" s="1532"/>
    </row>
    <row r="591" spans="2:8" x14ac:dyDescent="0.2">
      <c r="B591" s="121"/>
      <c r="C591" s="121"/>
      <c r="D591" s="121"/>
      <c r="E591" s="121"/>
      <c r="F591" s="121"/>
      <c r="G591" s="121"/>
      <c r="H591" s="1532"/>
    </row>
    <row r="592" spans="2:8" x14ac:dyDescent="0.2">
      <c r="B592" s="121"/>
      <c r="C592" s="121"/>
      <c r="D592" s="121"/>
      <c r="E592" s="121"/>
      <c r="F592" s="121"/>
      <c r="G592" s="121"/>
      <c r="H592" s="1532"/>
    </row>
    <row r="593" spans="2:8" x14ac:dyDescent="0.2">
      <c r="B593" s="121"/>
      <c r="C593" s="121"/>
      <c r="D593" s="121"/>
      <c r="E593" s="121"/>
      <c r="F593" s="121"/>
      <c r="G593" s="121"/>
      <c r="H593" s="1532"/>
    </row>
    <row r="594" spans="2:8" x14ac:dyDescent="0.2">
      <c r="B594" s="121"/>
      <c r="C594" s="121"/>
      <c r="D594" s="121"/>
      <c r="E594" s="121"/>
      <c r="F594" s="121"/>
      <c r="G594" s="121"/>
      <c r="H594" s="1532"/>
    </row>
    <row r="595" spans="2:8" x14ac:dyDescent="0.2">
      <c r="B595" s="121"/>
      <c r="C595" s="121"/>
      <c r="D595" s="121"/>
      <c r="E595" s="121"/>
      <c r="F595" s="121"/>
      <c r="G595" s="121"/>
      <c r="H595" s="1532"/>
    </row>
    <row r="596" spans="2:8" x14ac:dyDescent="0.2">
      <c r="B596" s="121"/>
      <c r="C596" s="121"/>
      <c r="D596" s="121"/>
      <c r="E596" s="121"/>
      <c r="F596" s="121"/>
      <c r="G596" s="121"/>
      <c r="H596" s="1532"/>
    </row>
    <row r="597" spans="2:8" x14ac:dyDescent="0.2">
      <c r="B597" s="121"/>
      <c r="C597" s="121"/>
      <c r="D597" s="121"/>
      <c r="E597" s="121"/>
      <c r="F597" s="121"/>
      <c r="G597" s="121"/>
      <c r="H597" s="1532"/>
    </row>
    <row r="598" spans="2:8" x14ac:dyDescent="0.2">
      <c r="B598" s="121"/>
      <c r="C598" s="121"/>
      <c r="D598" s="121"/>
      <c r="E598" s="121"/>
      <c r="F598" s="121"/>
      <c r="G598" s="121"/>
      <c r="H598" s="1532"/>
    </row>
    <row r="599" spans="2:8" x14ac:dyDescent="0.2">
      <c r="B599" s="121"/>
      <c r="C599" s="121"/>
      <c r="D599" s="121"/>
      <c r="E599" s="121"/>
      <c r="F599" s="121"/>
      <c r="G599" s="121"/>
      <c r="H599" s="1532"/>
    </row>
    <row r="600" spans="2:8" x14ac:dyDescent="0.2">
      <c r="B600" s="121"/>
      <c r="C600" s="121"/>
      <c r="D600" s="121"/>
      <c r="E600" s="121"/>
      <c r="F600" s="121"/>
      <c r="G600" s="121"/>
      <c r="H600" s="1532"/>
    </row>
    <row r="601" spans="2:8" x14ac:dyDescent="0.2">
      <c r="B601" s="121"/>
      <c r="C601" s="121"/>
      <c r="D601" s="121"/>
      <c r="E601" s="121"/>
      <c r="F601" s="121"/>
      <c r="G601" s="121"/>
      <c r="H601" s="1532"/>
    </row>
    <row r="602" spans="2:8" x14ac:dyDescent="0.2">
      <c r="B602" s="121"/>
      <c r="C602" s="121"/>
      <c r="D602" s="121"/>
      <c r="E602" s="121"/>
      <c r="F602" s="121"/>
      <c r="G602" s="121"/>
      <c r="H602" s="1532"/>
    </row>
    <row r="603" spans="2:8" x14ac:dyDescent="0.2">
      <c r="B603" s="121"/>
      <c r="C603" s="121"/>
      <c r="D603" s="121"/>
      <c r="E603" s="121"/>
      <c r="F603" s="121"/>
      <c r="G603" s="121"/>
      <c r="H603" s="1532"/>
    </row>
    <row r="604" spans="2:8" x14ac:dyDescent="0.2">
      <c r="B604" s="121"/>
      <c r="C604" s="121"/>
      <c r="D604" s="121"/>
      <c r="E604" s="121"/>
      <c r="F604" s="121"/>
      <c r="G604" s="121"/>
      <c r="H604" s="1532"/>
    </row>
    <row r="605" spans="2:8" x14ac:dyDescent="0.2">
      <c r="B605" s="121"/>
      <c r="C605" s="121"/>
      <c r="D605" s="121"/>
      <c r="E605" s="121"/>
      <c r="F605" s="121"/>
      <c r="G605" s="121"/>
      <c r="H605" s="1532"/>
    </row>
    <row r="606" spans="2:8" x14ac:dyDescent="0.2">
      <c r="B606" s="121"/>
      <c r="C606" s="121"/>
      <c r="D606" s="121"/>
      <c r="E606" s="121"/>
      <c r="F606" s="121"/>
      <c r="G606" s="121"/>
      <c r="H606" s="1532"/>
    </row>
    <row r="607" spans="2:8" x14ac:dyDescent="0.2">
      <c r="B607" s="121"/>
      <c r="C607" s="121"/>
      <c r="D607" s="121"/>
      <c r="E607" s="121"/>
      <c r="F607" s="121"/>
      <c r="G607" s="121"/>
      <c r="H607" s="1532"/>
    </row>
    <row r="608" spans="2:8" x14ac:dyDescent="0.2">
      <c r="B608" s="121"/>
      <c r="C608" s="121"/>
      <c r="D608" s="121"/>
      <c r="E608" s="121"/>
      <c r="F608" s="121"/>
      <c r="G608" s="121"/>
      <c r="H608" s="1532"/>
    </row>
    <row r="609" spans="1:14" x14ac:dyDescent="0.2">
      <c r="B609" s="121"/>
      <c r="C609" s="121"/>
      <c r="D609" s="121"/>
      <c r="E609" s="121"/>
      <c r="F609" s="121"/>
      <c r="G609" s="121"/>
      <c r="H609" s="1532"/>
    </row>
    <row r="610" spans="1:14" x14ac:dyDescent="0.2">
      <c r="B610" s="121"/>
      <c r="C610" s="121"/>
      <c r="D610" s="121"/>
      <c r="E610" s="121"/>
      <c r="F610" s="121"/>
      <c r="G610" s="121"/>
      <c r="H610" s="1532"/>
    </row>
    <row r="611" spans="1:14" x14ac:dyDescent="0.2">
      <c r="B611" s="121"/>
      <c r="C611" s="121"/>
      <c r="D611" s="121"/>
      <c r="E611" s="121"/>
      <c r="F611" s="121"/>
      <c r="G611" s="121"/>
      <c r="H611" s="1532"/>
    </row>
    <row r="612" spans="1:14" x14ac:dyDescent="0.2">
      <c r="B612" s="121"/>
      <c r="C612" s="121"/>
      <c r="D612" s="121"/>
      <c r="E612" s="121"/>
      <c r="F612" s="121"/>
      <c r="G612" s="121"/>
      <c r="H612" s="1532"/>
    </row>
    <row r="613" spans="1:14" x14ac:dyDescent="0.2">
      <c r="B613" s="121"/>
      <c r="C613" s="121"/>
      <c r="D613" s="121"/>
      <c r="E613" s="121"/>
      <c r="F613" s="121"/>
      <c r="G613" s="121"/>
      <c r="H613" s="1532"/>
    </row>
    <row r="614" spans="1:14" x14ac:dyDescent="0.2">
      <c r="B614" s="121"/>
      <c r="C614" s="121"/>
      <c r="D614" s="121"/>
      <c r="E614" s="121"/>
      <c r="F614" s="121"/>
      <c r="G614" s="121"/>
      <c r="H614" s="1532"/>
    </row>
    <row r="615" spans="1:14" x14ac:dyDescent="0.2">
      <c r="B615" s="121"/>
      <c r="C615" s="121"/>
      <c r="D615" s="121"/>
      <c r="E615" s="121"/>
      <c r="F615" s="121"/>
      <c r="G615" s="121"/>
      <c r="H615" s="1532"/>
    </row>
    <row r="616" spans="1:14" x14ac:dyDescent="0.2">
      <c r="B616" s="121"/>
      <c r="C616" s="121"/>
      <c r="D616" s="121"/>
      <c r="E616" s="121"/>
      <c r="F616" s="121"/>
      <c r="G616" s="121"/>
      <c r="H616" s="1532"/>
    </row>
    <row r="617" spans="1:14" x14ac:dyDescent="0.2">
      <c r="B617" s="121"/>
      <c r="C617" s="121"/>
      <c r="D617" s="121"/>
      <c r="E617" s="121"/>
      <c r="F617" s="121"/>
      <c r="G617" s="121"/>
      <c r="H617" s="1532"/>
    </row>
    <row r="618" spans="1:14" x14ac:dyDescent="0.2">
      <c r="B618" s="121"/>
      <c r="C618" s="121"/>
      <c r="D618" s="121"/>
      <c r="E618" s="121"/>
      <c r="F618" s="121"/>
      <c r="G618" s="121"/>
    </row>
    <row r="619" spans="1:14" x14ac:dyDescent="0.2">
      <c r="B619" s="121"/>
      <c r="C619" s="121"/>
      <c r="D619" s="121"/>
      <c r="E619" s="121"/>
      <c r="F619" s="121"/>
      <c r="G619" s="121"/>
    </row>
    <row r="620" spans="1:14" x14ac:dyDescent="0.2">
      <c r="B620" s="121"/>
      <c r="C620" s="121"/>
      <c r="D620" s="121"/>
      <c r="E620" s="121"/>
      <c r="F620" s="121"/>
      <c r="G620" s="121"/>
    </row>
    <row r="621" spans="1:14" x14ac:dyDescent="0.2">
      <c r="B621" s="121"/>
      <c r="C621" s="121"/>
      <c r="D621" s="121"/>
      <c r="E621" s="121"/>
      <c r="F621" s="121"/>
      <c r="G621" s="121"/>
    </row>
    <row r="622" spans="1:14" x14ac:dyDescent="0.2">
      <c r="B622" s="121"/>
      <c r="C622" s="121"/>
      <c r="D622" s="121"/>
      <c r="E622" s="121"/>
      <c r="F622" s="121"/>
      <c r="G622" s="121"/>
    </row>
    <row r="623" spans="1:14" x14ac:dyDescent="0.2">
      <c r="B623" s="121"/>
      <c r="C623" s="121"/>
      <c r="D623" s="121"/>
      <c r="E623" s="121"/>
      <c r="F623" s="121"/>
      <c r="G623" s="121"/>
    </row>
    <row r="624" spans="1:14" s="1423" customFormat="1" x14ac:dyDescent="0.2">
      <c r="A624" s="121"/>
      <c r="B624" s="121"/>
      <c r="C624" s="121"/>
      <c r="D624" s="121"/>
      <c r="E624" s="121"/>
      <c r="F624" s="121"/>
      <c r="G624" s="121"/>
      <c r="I624" s="121"/>
      <c r="J624" s="121"/>
      <c r="K624" s="121"/>
      <c r="L624" s="121"/>
      <c r="M624" s="121"/>
      <c r="N624" s="121"/>
    </row>
    <row r="625" spans="1:14" s="1423" customFormat="1" x14ac:dyDescent="0.2">
      <c r="A625" s="121"/>
      <c r="B625" s="121"/>
      <c r="C625" s="121"/>
      <c r="D625" s="121"/>
      <c r="E625" s="121"/>
      <c r="F625" s="121"/>
      <c r="G625" s="121"/>
      <c r="I625" s="121"/>
      <c r="J625" s="121"/>
      <c r="K625" s="121"/>
      <c r="L625" s="121"/>
      <c r="M625" s="121"/>
      <c r="N625" s="121"/>
    </row>
    <row r="626" spans="1:14" s="1423" customFormat="1" x14ac:dyDescent="0.2">
      <c r="A626" s="121"/>
      <c r="B626" s="121"/>
      <c r="C626" s="121"/>
      <c r="D626" s="121"/>
      <c r="E626" s="121"/>
      <c r="F626" s="121"/>
      <c r="G626" s="121"/>
      <c r="I626" s="121"/>
      <c r="J626" s="121"/>
      <c r="K626" s="121"/>
      <c r="L626" s="121"/>
      <c r="M626" s="121"/>
      <c r="N626" s="121"/>
    </row>
    <row r="627" spans="1:14" s="1423" customFormat="1" x14ac:dyDescent="0.2">
      <c r="A627" s="121"/>
      <c r="B627" s="121"/>
      <c r="C627" s="121"/>
      <c r="D627" s="121"/>
      <c r="E627" s="121"/>
      <c r="F627" s="121"/>
      <c r="G627" s="121"/>
      <c r="I627" s="121"/>
      <c r="J627" s="121"/>
      <c r="K627" s="121"/>
      <c r="L627" s="121"/>
      <c r="M627" s="121"/>
      <c r="N627" s="121"/>
    </row>
    <row r="628" spans="1:14" s="1423" customFormat="1" x14ac:dyDescent="0.2">
      <c r="A628" s="121"/>
      <c r="B628" s="121"/>
      <c r="C628" s="121"/>
      <c r="D628" s="121"/>
      <c r="E628" s="121"/>
      <c r="F628" s="121"/>
      <c r="G628" s="121"/>
      <c r="I628" s="121"/>
      <c r="J628" s="121"/>
      <c r="K628" s="121"/>
      <c r="L628" s="121"/>
      <c r="M628" s="121"/>
      <c r="N628" s="121"/>
    </row>
    <row r="629" spans="1:14" s="1423" customFormat="1" x14ac:dyDescent="0.2">
      <c r="A629" s="121"/>
      <c r="B629" s="121"/>
      <c r="C629" s="121"/>
      <c r="D629" s="121"/>
      <c r="E629" s="121"/>
      <c r="F629" s="121"/>
      <c r="G629" s="121"/>
      <c r="I629" s="121"/>
      <c r="J629" s="121"/>
      <c r="K629" s="121"/>
      <c r="L629" s="121"/>
      <c r="M629" s="121"/>
      <c r="N629" s="121"/>
    </row>
    <row r="630" spans="1:14" s="1423" customFormat="1" x14ac:dyDescent="0.2">
      <c r="A630" s="121"/>
      <c r="B630" s="121"/>
      <c r="C630" s="121"/>
      <c r="D630" s="121"/>
      <c r="E630" s="121"/>
      <c r="F630" s="121"/>
      <c r="G630" s="121"/>
      <c r="I630" s="121"/>
      <c r="J630" s="121"/>
      <c r="K630" s="121"/>
      <c r="L630" s="121"/>
      <c r="M630" s="121"/>
      <c r="N630" s="121"/>
    </row>
    <row r="631" spans="1:14" s="1423" customFormat="1" x14ac:dyDescent="0.2">
      <c r="A631" s="121"/>
      <c r="B631" s="121"/>
      <c r="C631" s="121"/>
      <c r="D631" s="121"/>
      <c r="E631" s="121"/>
      <c r="F631" s="121"/>
      <c r="G631" s="121"/>
      <c r="I631" s="121"/>
      <c r="J631" s="121"/>
      <c r="K631" s="121"/>
      <c r="L631" s="121"/>
      <c r="M631" s="121"/>
      <c r="N631" s="121"/>
    </row>
    <row r="632" spans="1:14" s="1423" customFormat="1" x14ac:dyDescent="0.2">
      <c r="A632" s="121"/>
      <c r="B632" s="121"/>
      <c r="C632" s="121"/>
      <c r="D632" s="121"/>
      <c r="E632" s="121"/>
      <c r="F632" s="121"/>
      <c r="G632" s="121"/>
      <c r="I632" s="121"/>
      <c r="J632" s="121"/>
      <c r="K632" s="121"/>
      <c r="L632" s="121"/>
      <c r="M632" s="121"/>
      <c r="N632" s="121"/>
    </row>
    <row r="633" spans="1:14" s="1423" customFormat="1" x14ac:dyDescent="0.2">
      <c r="A633" s="121"/>
      <c r="B633" s="121"/>
      <c r="C633" s="121"/>
      <c r="D633" s="121"/>
      <c r="E633" s="121"/>
      <c r="F633" s="121"/>
      <c r="G633" s="187"/>
      <c r="I633" s="121"/>
      <c r="J633" s="121"/>
      <c r="K633" s="121"/>
      <c r="L633" s="121"/>
      <c r="M633" s="121"/>
      <c r="N633" s="121"/>
    </row>
    <row r="634" spans="1:14" s="1423" customFormat="1" x14ac:dyDescent="0.2">
      <c r="A634" s="121"/>
      <c r="B634" s="121"/>
      <c r="C634" s="121"/>
      <c r="D634" s="121"/>
      <c r="E634" s="121"/>
      <c r="F634" s="121"/>
      <c r="G634" s="187"/>
      <c r="I634" s="121"/>
      <c r="J634" s="121"/>
      <c r="K634" s="121"/>
      <c r="L634" s="121"/>
      <c r="M634" s="121"/>
      <c r="N634" s="121"/>
    </row>
    <row r="635" spans="1:14" s="1423" customFormat="1" x14ac:dyDescent="0.2">
      <c r="A635" s="121"/>
      <c r="B635" s="121"/>
      <c r="C635" s="121"/>
      <c r="D635" s="121"/>
      <c r="E635" s="121"/>
      <c r="F635" s="121"/>
      <c r="G635" s="187"/>
      <c r="I635" s="121"/>
      <c r="J635" s="121"/>
      <c r="K635" s="121"/>
      <c r="L635" s="121"/>
      <c r="M635" s="121"/>
      <c r="N635" s="121"/>
    </row>
    <row r="636" spans="1:14" s="1423" customFormat="1" x14ac:dyDescent="0.2">
      <c r="A636" s="121"/>
      <c r="B636" s="121"/>
      <c r="C636" s="121"/>
      <c r="D636" s="121"/>
      <c r="E636" s="121"/>
      <c r="F636" s="121"/>
      <c r="G636" s="187"/>
      <c r="I636" s="121"/>
      <c r="J636" s="121"/>
      <c r="K636" s="121"/>
      <c r="L636" s="121"/>
      <c r="M636" s="121"/>
      <c r="N636" s="121"/>
    </row>
    <row r="637" spans="1:14" s="1423" customFormat="1" x14ac:dyDescent="0.2">
      <c r="A637" s="121"/>
      <c r="B637" s="121"/>
      <c r="C637" s="121"/>
      <c r="D637" s="121"/>
      <c r="E637" s="121"/>
      <c r="F637" s="121"/>
      <c r="G637" s="187"/>
      <c r="I637" s="121"/>
      <c r="J637" s="121"/>
      <c r="K637" s="121"/>
      <c r="L637" s="121"/>
      <c r="M637" s="121"/>
      <c r="N637" s="121"/>
    </row>
    <row r="638" spans="1:14" s="1423" customFormat="1" x14ac:dyDescent="0.2">
      <c r="A638" s="121"/>
      <c r="B638" s="121"/>
      <c r="C638" s="121"/>
      <c r="D638" s="121"/>
      <c r="E638" s="121"/>
      <c r="F638" s="121"/>
      <c r="G638" s="187"/>
      <c r="I638" s="121"/>
      <c r="J638" s="121"/>
      <c r="K638" s="121"/>
      <c r="L638" s="121"/>
      <c r="M638" s="121"/>
      <c r="N638" s="121"/>
    </row>
    <row r="639" spans="1:14" s="1423" customFormat="1" x14ac:dyDescent="0.2">
      <c r="A639" s="121"/>
      <c r="B639" s="121"/>
      <c r="C639" s="121"/>
      <c r="D639" s="121"/>
      <c r="E639" s="121"/>
      <c r="F639" s="121"/>
      <c r="G639" s="187"/>
      <c r="I639" s="121"/>
      <c r="J639" s="121"/>
      <c r="K639" s="121"/>
      <c r="L639" s="121"/>
      <c r="M639" s="121"/>
      <c r="N639" s="121"/>
    </row>
    <row r="640" spans="1:14" s="187" customFormat="1" x14ac:dyDescent="0.2">
      <c r="A640" s="121"/>
      <c r="B640" s="121"/>
      <c r="C640" s="121"/>
      <c r="D640" s="121"/>
      <c r="E640" s="121"/>
      <c r="F640" s="121"/>
      <c r="H640" s="1423"/>
      <c r="I640" s="121"/>
      <c r="J640" s="121"/>
      <c r="K640" s="121"/>
      <c r="L640" s="121"/>
      <c r="M640" s="121"/>
      <c r="N640" s="121"/>
    </row>
    <row r="641" spans="1:14" s="187" customFormat="1" x14ac:dyDescent="0.2">
      <c r="A641" s="121"/>
      <c r="B641" s="121"/>
      <c r="C641" s="121"/>
      <c r="D641" s="121"/>
      <c r="E641" s="121"/>
      <c r="F641" s="121"/>
      <c r="H641" s="1423"/>
      <c r="I641" s="121"/>
      <c r="J641" s="121"/>
      <c r="K641" s="121"/>
      <c r="L641" s="121"/>
      <c r="M641" s="121"/>
      <c r="N641" s="121"/>
    </row>
    <row r="642" spans="1:14" s="187" customFormat="1" x14ac:dyDescent="0.2">
      <c r="A642" s="121"/>
      <c r="B642" s="121"/>
      <c r="C642" s="121"/>
      <c r="D642" s="121"/>
      <c r="E642" s="121"/>
      <c r="F642" s="121"/>
      <c r="H642" s="1423"/>
      <c r="I642" s="121"/>
      <c r="J642" s="121"/>
      <c r="K642" s="121"/>
      <c r="L642" s="121"/>
      <c r="M642" s="121"/>
      <c r="N642" s="121"/>
    </row>
    <row r="643" spans="1:14" s="187" customFormat="1" x14ac:dyDescent="0.2">
      <c r="A643" s="121"/>
      <c r="B643" s="121"/>
      <c r="C643" s="121"/>
      <c r="D643" s="121"/>
      <c r="E643" s="121"/>
      <c r="F643" s="121"/>
      <c r="H643" s="1423"/>
      <c r="I643" s="121"/>
      <c r="J643" s="121"/>
      <c r="K643" s="121"/>
      <c r="L643" s="121"/>
      <c r="M643" s="121"/>
      <c r="N643" s="121"/>
    </row>
    <row r="644" spans="1:14" s="187" customFormat="1" x14ac:dyDescent="0.2">
      <c r="A644" s="121"/>
      <c r="B644" s="121"/>
      <c r="C644" s="121"/>
      <c r="D644" s="121"/>
      <c r="E644" s="121"/>
      <c r="F644" s="121"/>
      <c r="H644" s="1423"/>
      <c r="I644" s="121"/>
      <c r="J644" s="121"/>
      <c r="K644" s="121"/>
      <c r="L644" s="121"/>
      <c r="M644" s="121"/>
      <c r="N644" s="121"/>
    </row>
    <row r="645" spans="1:14" s="187" customFormat="1" x14ac:dyDescent="0.2">
      <c r="A645" s="121"/>
      <c r="B645" s="121"/>
      <c r="C645" s="121"/>
      <c r="D645" s="121"/>
      <c r="E645" s="121"/>
      <c r="F645" s="121"/>
      <c r="H645" s="1423"/>
      <c r="I645" s="121"/>
      <c r="J645" s="121"/>
      <c r="K645" s="121"/>
      <c r="L645" s="121"/>
      <c r="M645" s="121"/>
      <c r="N645" s="121"/>
    </row>
    <row r="646" spans="1:14" s="187" customFormat="1" x14ac:dyDescent="0.2">
      <c r="A646" s="121"/>
      <c r="B646" s="121"/>
      <c r="C646" s="121"/>
      <c r="D646" s="121"/>
      <c r="E646" s="121"/>
      <c r="F646" s="121"/>
      <c r="H646" s="1423"/>
      <c r="I646" s="121"/>
      <c r="J646" s="121"/>
      <c r="K646" s="121"/>
      <c r="L646" s="121"/>
      <c r="M646" s="121"/>
      <c r="N646" s="121"/>
    </row>
    <row r="647" spans="1:14" s="187" customFormat="1" x14ac:dyDescent="0.2">
      <c r="A647" s="121"/>
      <c r="B647" s="121"/>
      <c r="C647" s="121"/>
      <c r="D647" s="121"/>
      <c r="E647" s="121"/>
      <c r="F647" s="121"/>
      <c r="H647" s="1423"/>
      <c r="I647" s="121"/>
      <c r="J647" s="121"/>
      <c r="K647" s="121"/>
      <c r="L647" s="121"/>
      <c r="M647" s="121"/>
      <c r="N647" s="121"/>
    </row>
    <row r="648" spans="1:14" s="187" customFormat="1" x14ac:dyDescent="0.2">
      <c r="A648" s="121"/>
      <c r="B648" s="121"/>
      <c r="C648" s="121"/>
      <c r="D648" s="121"/>
      <c r="E648" s="121"/>
      <c r="F648" s="121"/>
      <c r="H648" s="1423"/>
      <c r="I648" s="121"/>
      <c r="J648" s="121"/>
      <c r="K648" s="121"/>
      <c r="L648" s="121"/>
      <c r="M648" s="121"/>
      <c r="N648" s="121"/>
    </row>
    <row r="649" spans="1:14" s="187" customFormat="1" x14ac:dyDescent="0.2">
      <c r="A649" s="121"/>
      <c r="B649" s="121"/>
      <c r="C649" s="121"/>
      <c r="D649" s="121"/>
      <c r="E649" s="121"/>
      <c r="F649" s="121"/>
      <c r="H649" s="1423"/>
      <c r="I649" s="121"/>
      <c r="J649" s="121"/>
      <c r="K649" s="121"/>
      <c r="L649" s="121"/>
      <c r="M649" s="121"/>
      <c r="N649" s="121"/>
    </row>
    <row r="650" spans="1:14" s="187" customFormat="1" x14ac:dyDescent="0.2">
      <c r="A650" s="121"/>
      <c r="B650" s="121"/>
      <c r="C650" s="121"/>
      <c r="D650" s="121"/>
      <c r="E650" s="121"/>
      <c r="F650" s="121"/>
      <c r="H650" s="1423"/>
      <c r="I650" s="121"/>
      <c r="J650" s="121"/>
      <c r="K650" s="121"/>
      <c r="L650" s="121"/>
      <c r="M650" s="121"/>
      <c r="N650" s="121"/>
    </row>
    <row r="651" spans="1:14" s="187" customFormat="1" x14ac:dyDescent="0.2">
      <c r="A651" s="121"/>
      <c r="B651" s="121"/>
      <c r="C651" s="121"/>
      <c r="D651" s="121"/>
      <c r="E651" s="121"/>
      <c r="F651" s="121"/>
      <c r="H651" s="1423"/>
      <c r="I651" s="121"/>
      <c r="J651" s="121"/>
      <c r="K651" s="121"/>
      <c r="L651" s="121"/>
      <c r="M651" s="121"/>
      <c r="N651" s="121"/>
    </row>
    <row r="652" spans="1:14" s="187" customFormat="1" x14ac:dyDescent="0.2">
      <c r="A652" s="121"/>
      <c r="B652" s="121"/>
      <c r="C652" s="121"/>
      <c r="D652" s="121"/>
      <c r="E652" s="121"/>
      <c r="F652" s="121"/>
      <c r="H652" s="1423"/>
      <c r="I652" s="121"/>
      <c r="J652" s="121"/>
      <c r="K652" s="121"/>
      <c r="L652" s="121"/>
      <c r="M652" s="121"/>
      <c r="N652" s="121"/>
    </row>
    <row r="653" spans="1:14" s="187" customFormat="1" x14ac:dyDescent="0.2">
      <c r="A653" s="121"/>
      <c r="B653" s="121"/>
      <c r="C653" s="121"/>
      <c r="D653" s="121"/>
      <c r="E653" s="121"/>
      <c r="F653" s="121"/>
      <c r="H653" s="1423"/>
      <c r="I653" s="121"/>
      <c r="J653" s="121"/>
      <c r="K653" s="121"/>
      <c r="L653" s="121"/>
      <c r="M653" s="121"/>
      <c r="N653" s="121"/>
    </row>
    <row r="654" spans="1:14" s="187" customFormat="1" x14ac:dyDescent="0.2">
      <c r="A654" s="121"/>
      <c r="B654" s="121"/>
      <c r="C654" s="121"/>
      <c r="D654" s="121"/>
      <c r="E654" s="121"/>
      <c r="F654" s="121"/>
      <c r="H654" s="1423"/>
      <c r="I654" s="121"/>
      <c r="J654" s="121"/>
      <c r="K654" s="121"/>
      <c r="L654" s="121"/>
      <c r="M654" s="121"/>
      <c r="N654" s="121"/>
    </row>
    <row r="655" spans="1:14" s="187" customFormat="1" x14ac:dyDescent="0.2">
      <c r="A655" s="121"/>
      <c r="B655" s="121"/>
      <c r="C655" s="121"/>
      <c r="D655" s="121"/>
      <c r="E655" s="121"/>
      <c r="F655" s="121"/>
      <c r="H655" s="1423"/>
      <c r="I655" s="121"/>
      <c r="J655" s="121"/>
      <c r="K655" s="121"/>
      <c r="L655" s="121"/>
      <c r="M655" s="121"/>
      <c r="N655" s="121"/>
    </row>
    <row r="656" spans="1:14" s="187" customFormat="1" x14ac:dyDescent="0.2">
      <c r="A656" s="121"/>
      <c r="B656" s="121"/>
      <c r="C656" s="121"/>
      <c r="D656" s="121"/>
      <c r="E656" s="121"/>
      <c r="F656" s="121"/>
      <c r="H656" s="1423"/>
      <c r="I656" s="121"/>
      <c r="J656" s="121"/>
      <c r="K656" s="121"/>
      <c r="L656" s="121"/>
      <c r="M656" s="121"/>
      <c r="N656" s="121"/>
    </row>
    <row r="657" spans="1:14" s="187" customFormat="1" x14ac:dyDescent="0.2">
      <c r="A657" s="121"/>
      <c r="B657" s="121"/>
      <c r="C657" s="121"/>
      <c r="D657" s="121"/>
      <c r="E657" s="121"/>
      <c r="F657" s="121"/>
      <c r="H657" s="1423"/>
      <c r="I657" s="121"/>
      <c r="J657" s="121"/>
      <c r="K657" s="121"/>
      <c r="L657" s="121"/>
      <c r="M657" s="121"/>
      <c r="N657" s="121"/>
    </row>
    <row r="658" spans="1:14" s="187" customFormat="1" x14ac:dyDescent="0.2">
      <c r="A658" s="121"/>
      <c r="B658" s="121"/>
      <c r="C658" s="121"/>
      <c r="D658" s="121"/>
      <c r="E658" s="121"/>
      <c r="F658" s="121"/>
      <c r="H658" s="1423"/>
      <c r="I658" s="121"/>
      <c r="J658" s="121"/>
      <c r="K658" s="121"/>
      <c r="L658" s="121"/>
      <c r="M658" s="121"/>
      <c r="N658" s="121"/>
    </row>
    <row r="659" spans="1:14" s="187" customFormat="1" x14ac:dyDescent="0.2">
      <c r="A659" s="121"/>
      <c r="B659" s="121"/>
      <c r="C659" s="121"/>
      <c r="D659" s="121"/>
      <c r="E659" s="121"/>
      <c r="F659" s="121"/>
      <c r="H659" s="1423"/>
      <c r="I659" s="121"/>
      <c r="J659" s="121"/>
      <c r="K659" s="121"/>
      <c r="L659" s="121"/>
      <c r="M659" s="121"/>
      <c r="N659" s="121"/>
    </row>
    <row r="660" spans="1:14" s="187" customFormat="1" x14ac:dyDescent="0.2">
      <c r="A660" s="121"/>
      <c r="B660" s="121"/>
      <c r="C660" s="121"/>
      <c r="D660" s="121"/>
      <c r="E660" s="121"/>
      <c r="F660" s="121"/>
      <c r="H660" s="1423"/>
      <c r="I660" s="121"/>
      <c r="J660" s="121"/>
      <c r="K660" s="121"/>
      <c r="L660" s="121"/>
      <c r="M660" s="121"/>
      <c r="N660" s="121"/>
    </row>
  </sheetData>
  <mergeCells count="12">
    <mergeCell ref="C384:G384"/>
    <mergeCell ref="B136:G136"/>
    <mergeCell ref="B137:G137"/>
    <mergeCell ref="C169:G169"/>
    <mergeCell ref="B170:G170"/>
    <mergeCell ref="B217:G217"/>
    <mergeCell ref="B135:G135"/>
    <mergeCell ref="C6:F6"/>
    <mergeCell ref="B37:G37"/>
    <mergeCell ref="B57:G57"/>
    <mergeCell ref="B70:G70"/>
    <mergeCell ref="B82:G82"/>
  </mergeCells>
  <pageMargins left="0.7" right="0.7" top="0.75" bottom="0.75" header="0.3" footer="0.3"/>
  <pageSetup paperSize="9" scale="86" orientation="portrait" r:id="rId1"/>
  <rowBreaks count="14" manualBreakCount="14">
    <brk id="21" max="6" man="1"/>
    <brk id="32" max="6" man="1"/>
    <brk id="53" max="6" man="1"/>
    <brk id="66" max="6" man="1"/>
    <brk id="78" max="6" man="1"/>
    <brk id="94" max="6" man="1"/>
    <brk id="127" max="6" man="1"/>
    <brk id="168" max="6" man="1"/>
    <brk id="170" max="6" man="1"/>
    <brk id="214" max="6" man="1"/>
    <brk id="276" max="6" man="1"/>
    <brk id="331" max="6" man="1"/>
    <brk id="348" max="6" man="1"/>
    <brk id="366" max="6" man="1"/>
  </rowBreaks>
  <colBreaks count="1" manualBreakCount="1">
    <brk id="7" min="1" max="693"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52DF9-55A4-4452-BCF3-7F4F02419D33}">
  <sheetPr codeName="Sheet40">
    <tabColor theme="0" tint="-0.14999847407452621"/>
  </sheetPr>
  <dimension ref="A2:K124"/>
  <sheetViews>
    <sheetView showZeros="0" topLeftCell="A18" zoomScale="110" zoomScaleNormal="110" workbookViewId="0">
      <selection activeCell="B47" sqref="B47:G4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10.42578125" style="1" customWidth="1"/>
    <col min="10" max="256" width="10.42578125" style="1"/>
    <col min="257" max="257" width="7.42578125" style="1" customWidth="1"/>
    <col min="258" max="258" width="37.42578125" style="1" customWidth="1"/>
    <col min="259" max="259" width="10.42578125" style="1"/>
    <col min="260" max="260" width="9.28515625" style="1" customWidth="1"/>
    <col min="261" max="262" width="12.140625" style="1" customWidth="1"/>
    <col min="263" max="263" width="16" style="1" customWidth="1"/>
    <col min="264" max="264" width="26.28515625" style="1" customWidth="1"/>
    <col min="265" max="512" width="10.42578125" style="1"/>
    <col min="513" max="513" width="7.42578125" style="1" customWidth="1"/>
    <col min="514" max="514" width="37.42578125" style="1" customWidth="1"/>
    <col min="515" max="515" width="10.42578125" style="1"/>
    <col min="516" max="516" width="9.28515625" style="1" customWidth="1"/>
    <col min="517" max="518" width="12.140625" style="1" customWidth="1"/>
    <col min="519" max="519" width="16" style="1" customWidth="1"/>
    <col min="520" max="520" width="26.28515625" style="1" customWidth="1"/>
    <col min="521" max="768" width="10.42578125" style="1"/>
    <col min="769" max="769" width="7.42578125" style="1" customWidth="1"/>
    <col min="770" max="770" width="37.42578125" style="1" customWidth="1"/>
    <col min="771" max="771" width="10.42578125" style="1"/>
    <col min="772" max="772" width="9.28515625" style="1" customWidth="1"/>
    <col min="773" max="774" width="12.140625" style="1" customWidth="1"/>
    <col min="775" max="775" width="16" style="1" customWidth="1"/>
    <col min="776" max="776" width="26.28515625" style="1" customWidth="1"/>
    <col min="777" max="1024" width="10.42578125" style="1"/>
    <col min="1025" max="1025" width="7.42578125" style="1" customWidth="1"/>
    <col min="1026" max="1026" width="37.42578125" style="1" customWidth="1"/>
    <col min="1027" max="1027" width="10.42578125" style="1"/>
    <col min="1028" max="1028" width="9.28515625" style="1" customWidth="1"/>
    <col min="1029" max="1030" width="12.140625" style="1" customWidth="1"/>
    <col min="1031" max="1031" width="16" style="1" customWidth="1"/>
    <col min="1032" max="1032" width="26.28515625" style="1" customWidth="1"/>
    <col min="1033" max="1280" width="10.42578125" style="1"/>
    <col min="1281" max="1281" width="7.42578125" style="1" customWidth="1"/>
    <col min="1282" max="1282" width="37.42578125" style="1" customWidth="1"/>
    <col min="1283" max="1283" width="10.42578125" style="1"/>
    <col min="1284" max="1284" width="9.28515625" style="1" customWidth="1"/>
    <col min="1285" max="1286" width="12.140625" style="1" customWidth="1"/>
    <col min="1287" max="1287" width="16" style="1" customWidth="1"/>
    <col min="1288" max="1288" width="26.28515625" style="1" customWidth="1"/>
    <col min="1289" max="1536" width="10.42578125" style="1"/>
    <col min="1537" max="1537" width="7.42578125" style="1" customWidth="1"/>
    <col min="1538" max="1538" width="37.42578125" style="1" customWidth="1"/>
    <col min="1539" max="1539" width="10.42578125" style="1"/>
    <col min="1540" max="1540" width="9.28515625" style="1" customWidth="1"/>
    <col min="1541" max="1542" width="12.140625" style="1" customWidth="1"/>
    <col min="1543" max="1543" width="16" style="1" customWidth="1"/>
    <col min="1544" max="1544" width="26.28515625" style="1" customWidth="1"/>
    <col min="1545" max="1792" width="10.42578125" style="1"/>
    <col min="1793" max="1793" width="7.42578125" style="1" customWidth="1"/>
    <col min="1794" max="1794" width="37.42578125" style="1" customWidth="1"/>
    <col min="1795" max="1795" width="10.42578125" style="1"/>
    <col min="1796" max="1796" width="9.28515625" style="1" customWidth="1"/>
    <col min="1797" max="1798" width="12.140625" style="1" customWidth="1"/>
    <col min="1799" max="1799" width="16" style="1" customWidth="1"/>
    <col min="1800" max="1800" width="26.28515625" style="1" customWidth="1"/>
    <col min="1801" max="2048" width="10.42578125" style="1"/>
    <col min="2049" max="2049" width="7.42578125" style="1" customWidth="1"/>
    <col min="2050" max="2050" width="37.42578125" style="1" customWidth="1"/>
    <col min="2051" max="2051" width="10.42578125" style="1"/>
    <col min="2052" max="2052" width="9.28515625" style="1" customWidth="1"/>
    <col min="2053" max="2054" width="12.140625" style="1" customWidth="1"/>
    <col min="2055" max="2055" width="16" style="1" customWidth="1"/>
    <col min="2056" max="2056" width="26.28515625" style="1" customWidth="1"/>
    <col min="2057" max="2304" width="10.42578125" style="1"/>
    <col min="2305" max="2305" width="7.42578125" style="1" customWidth="1"/>
    <col min="2306" max="2306" width="37.42578125" style="1" customWidth="1"/>
    <col min="2307" max="2307" width="10.42578125" style="1"/>
    <col min="2308" max="2308" width="9.28515625" style="1" customWidth="1"/>
    <col min="2309" max="2310" width="12.140625" style="1" customWidth="1"/>
    <col min="2311" max="2311" width="16" style="1" customWidth="1"/>
    <col min="2312" max="2312" width="26.28515625" style="1" customWidth="1"/>
    <col min="2313" max="2560" width="10.42578125" style="1"/>
    <col min="2561" max="2561" width="7.42578125" style="1" customWidth="1"/>
    <col min="2562" max="2562" width="37.42578125" style="1" customWidth="1"/>
    <col min="2563" max="2563" width="10.42578125" style="1"/>
    <col min="2564" max="2564" width="9.28515625" style="1" customWidth="1"/>
    <col min="2565" max="2566" width="12.140625" style="1" customWidth="1"/>
    <col min="2567" max="2567" width="16" style="1" customWidth="1"/>
    <col min="2568" max="2568" width="26.28515625" style="1" customWidth="1"/>
    <col min="2569" max="2816" width="10.42578125" style="1"/>
    <col min="2817" max="2817" width="7.42578125" style="1" customWidth="1"/>
    <col min="2818" max="2818" width="37.42578125" style="1" customWidth="1"/>
    <col min="2819" max="2819" width="10.42578125" style="1"/>
    <col min="2820" max="2820" width="9.28515625" style="1" customWidth="1"/>
    <col min="2821" max="2822" width="12.140625" style="1" customWidth="1"/>
    <col min="2823" max="2823" width="16" style="1" customWidth="1"/>
    <col min="2824" max="2824" width="26.28515625" style="1" customWidth="1"/>
    <col min="2825" max="3072" width="10.42578125" style="1"/>
    <col min="3073" max="3073" width="7.42578125" style="1" customWidth="1"/>
    <col min="3074" max="3074" width="37.42578125" style="1" customWidth="1"/>
    <col min="3075" max="3075" width="10.42578125" style="1"/>
    <col min="3076" max="3076" width="9.28515625" style="1" customWidth="1"/>
    <col min="3077" max="3078" width="12.140625" style="1" customWidth="1"/>
    <col min="3079" max="3079" width="16" style="1" customWidth="1"/>
    <col min="3080" max="3080" width="26.28515625" style="1" customWidth="1"/>
    <col min="3081" max="3328" width="10.42578125" style="1"/>
    <col min="3329" max="3329" width="7.42578125" style="1" customWidth="1"/>
    <col min="3330" max="3330" width="37.42578125" style="1" customWidth="1"/>
    <col min="3331" max="3331" width="10.42578125" style="1"/>
    <col min="3332" max="3332" width="9.28515625" style="1" customWidth="1"/>
    <col min="3333" max="3334" width="12.140625" style="1" customWidth="1"/>
    <col min="3335" max="3335" width="16" style="1" customWidth="1"/>
    <col min="3336" max="3336" width="26.28515625" style="1" customWidth="1"/>
    <col min="3337" max="3584" width="10.42578125" style="1"/>
    <col min="3585" max="3585" width="7.42578125" style="1" customWidth="1"/>
    <col min="3586" max="3586" width="37.42578125" style="1" customWidth="1"/>
    <col min="3587" max="3587" width="10.42578125" style="1"/>
    <col min="3588" max="3588" width="9.28515625" style="1" customWidth="1"/>
    <col min="3589" max="3590" width="12.140625" style="1" customWidth="1"/>
    <col min="3591" max="3591" width="16" style="1" customWidth="1"/>
    <col min="3592" max="3592" width="26.28515625" style="1" customWidth="1"/>
    <col min="3593" max="3840" width="10.42578125" style="1"/>
    <col min="3841" max="3841" width="7.42578125" style="1" customWidth="1"/>
    <col min="3842" max="3842" width="37.42578125" style="1" customWidth="1"/>
    <col min="3843" max="3843" width="10.42578125" style="1"/>
    <col min="3844" max="3844" width="9.28515625" style="1" customWidth="1"/>
    <col min="3845" max="3846" width="12.140625" style="1" customWidth="1"/>
    <col min="3847" max="3847" width="16" style="1" customWidth="1"/>
    <col min="3848" max="3848" width="26.28515625" style="1" customWidth="1"/>
    <col min="3849" max="4096" width="10.42578125" style="1"/>
    <col min="4097" max="4097" width="7.42578125" style="1" customWidth="1"/>
    <col min="4098" max="4098" width="37.42578125" style="1" customWidth="1"/>
    <col min="4099" max="4099" width="10.42578125" style="1"/>
    <col min="4100" max="4100" width="9.28515625" style="1" customWidth="1"/>
    <col min="4101" max="4102" width="12.140625" style="1" customWidth="1"/>
    <col min="4103" max="4103" width="16" style="1" customWidth="1"/>
    <col min="4104" max="4104" width="26.28515625" style="1" customWidth="1"/>
    <col min="4105" max="4352" width="10.42578125" style="1"/>
    <col min="4353" max="4353" width="7.42578125" style="1" customWidth="1"/>
    <col min="4354" max="4354" width="37.42578125" style="1" customWidth="1"/>
    <col min="4355" max="4355" width="10.42578125" style="1"/>
    <col min="4356" max="4356" width="9.28515625" style="1" customWidth="1"/>
    <col min="4357" max="4358" width="12.140625" style="1" customWidth="1"/>
    <col min="4359" max="4359" width="16" style="1" customWidth="1"/>
    <col min="4360" max="4360" width="26.28515625" style="1" customWidth="1"/>
    <col min="4361" max="4608" width="10.42578125" style="1"/>
    <col min="4609" max="4609" width="7.42578125" style="1" customWidth="1"/>
    <col min="4610" max="4610" width="37.42578125" style="1" customWidth="1"/>
    <col min="4611" max="4611" width="10.42578125" style="1"/>
    <col min="4612" max="4612" width="9.28515625" style="1" customWidth="1"/>
    <col min="4613" max="4614" width="12.140625" style="1" customWidth="1"/>
    <col min="4615" max="4615" width="16" style="1" customWidth="1"/>
    <col min="4616" max="4616" width="26.28515625" style="1" customWidth="1"/>
    <col min="4617" max="4864" width="10.42578125" style="1"/>
    <col min="4865" max="4865" width="7.42578125" style="1" customWidth="1"/>
    <col min="4866" max="4866" width="37.42578125" style="1" customWidth="1"/>
    <col min="4867" max="4867" width="10.42578125" style="1"/>
    <col min="4868" max="4868" width="9.28515625" style="1" customWidth="1"/>
    <col min="4869" max="4870" width="12.140625" style="1" customWidth="1"/>
    <col min="4871" max="4871" width="16" style="1" customWidth="1"/>
    <col min="4872" max="4872" width="26.28515625" style="1" customWidth="1"/>
    <col min="4873" max="5120" width="10.42578125" style="1"/>
    <col min="5121" max="5121" width="7.42578125" style="1" customWidth="1"/>
    <col min="5122" max="5122" width="37.42578125" style="1" customWidth="1"/>
    <col min="5123" max="5123" width="10.42578125" style="1"/>
    <col min="5124" max="5124" width="9.28515625" style="1" customWidth="1"/>
    <col min="5125" max="5126" width="12.140625" style="1" customWidth="1"/>
    <col min="5127" max="5127" width="16" style="1" customWidth="1"/>
    <col min="5128" max="5128" width="26.28515625" style="1" customWidth="1"/>
    <col min="5129" max="5376" width="10.42578125" style="1"/>
    <col min="5377" max="5377" width="7.42578125" style="1" customWidth="1"/>
    <col min="5378" max="5378" width="37.42578125" style="1" customWidth="1"/>
    <col min="5379" max="5379" width="10.42578125" style="1"/>
    <col min="5380" max="5380" width="9.28515625" style="1" customWidth="1"/>
    <col min="5381" max="5382" width="12.140625" style="1" customWidth="1"/>
    <col min="5383" max="5383" width="16" style="1" customWidth="1"/>
    <col min="5384" max="5384" width="26.28515625" style="1" customWidth="1"/>
    <col min="5385" max="5632" width="10.42578125" style="1"/>
    <col min="5633" max="5633" width="7.42578125" style="1" customWidth="1"/>
    <col min="5634" max="5634" width="37.42578125" style="1" customWidth="1"/>
    <col min="5635" max="5635" width="10.42578125" style="1"/>
    <col min="5636" max="5636" width="9.28515625" style="1" customWidth="1"/>
    <col min="5637" max="5638" width="12.140625" style="1" customWidth="1"/>
    <col min="5639" max="5639" width="16" style="1" customWidth="1"/>
    <col min="5640" max="5640" width="26.28515625" style="1" customWidth="1"/>
    <col min="5641" max="5888" width="10.42578125" style="1"/>
    <col min="5889" max="5889" width="7.42578125" style="1" customWidth="1"/>
    <col min="5890" max="5890" width="37.42578125" style="1" customWidth="1"/>
    <col min="5891" max="5891" width="10.42578125" style="1"/>
    <col min="5892" max="5892" width="9.28515625" style="1" customWidth="1"/>
    <col min="5893" max="5894" width="12.140625" style="1" customWidth="1"/>
    <col min="5895" max="5895" width="16" style="1" customWidth="1"/>
    <col min="5896" max="5896" width="26.28515625" style="1" customWidth="1"/>
    <col min="5897" max="6144" width="10.42578125" style="1"/>
    <col min="6145" max="6145" width="7.42578125" style="1" customWidth="1"/>
    <col min="6146" max="6146" width="37.42578125" style="1" customWidth="1"/>
    <col min="6147" max="6147" width="10.42578125" style="1"/>
    <col min="6148" max="6148" width="9.28515625" style="1" customWidth="1"/>
    <col min="6149" max="6150" width="12.140625" style="1" customWidth="1"/>
    <col min="6151" max="6151" width="16" style="1" customWidth="1"/>
    <col min="6152" max="6152" width="26.28515625" style="1" customWidth="1"/>
    <col min="6153" max="6400" width="10.42578125" style="1"/>
    <col min="6401" max="6401" width="7.42578125" style="1" customWidth="1"/>
    <col min="6402" max="6402" width="37.42578125" style="1" customWidth="1"/>
    <col min="6403" max="6403" width="10.42578125" style="1"/>
    <col min="6404" max="6404" width="9.28515625" style="1" customWidth="1"/>
    <col min="6405" max="6406" width="12.140625" style="1" customWidth="1"/>
    <col min="6407" max="6407" width="16" style="1" customWidth="1"/>
    <col min="6408" max="6408" width="26.28515625" style="1" customWidth="1"/>
    <col min="6409" max="6656" width="10.42578125" style="1"/>
    <col min="6657" max="6657" width="7.42578125" style="1" customWidth="1"/>
    <col min="6658" max="6658" width="37.42578125" style="1" customWidth="1"/>
    <col min="6659" max="6659" width="10.42578125" style="1"/>
    <col min="6660" max="6660" width="9.28515625" style="1" customWidth="1"/>
    <col min="6661" max="6662" width="12.140625" style="1" customWidth="1"/>
    <col min="6663" max="6663" width="16" style="1" customWidth="1"/>
    <col min="6664" max="6664" width="26.28515625" style="1" customWidth="1"/>
    <col min="6665" max="6912" width="10.42578125" style="1"/>
    <col min="6913" max="6913" width="7.42578125" style="1" customWidth="1"/>
    <col min="6914" max="6914" width="37.42578125" style="1" customWidth="1"/>
    <col min="6915" max="6915" width="10.42578125" style="1"/>
    <col min="6916" max="6916" width="9.28515625" style="1" customWidth="1"/>
    <col min="6917" max="6918" width="12.140625" style="1" customWidth="1"/>
    <col min="6919" max="6919" width="16" style="1" customWidth="1"/>
    <col min="6920" max="6920" width="26.28515625" style="1" customWidth="1"/>
    <col min="6921" max="7168" width="10.42578125" style="1"/>
    <col min="7169" max="7169" width="7.42578125" style="1" customWidth="1"/>
    <col min="7170" max="7170" width="37.42578125" style="1" customWidth="1"/>
    <col min="7171" max="7171" width="10.42578125" style="1"/>
    <col min="7172" max="7172" width="9.28515625" style="1" customWidth="1"/>
    <col min="7173" max="7174" width="12.140625" style="1" customWidth="1"/>
    <col min="7175" max="7175" width="16" style="1" customWidth="1"/>
    <col min="7176" max="7176" width="26.28515625" style="1" customWidth="1"/>
    <col min="7177" max="7424" width="10.42578125" style="1"/>
    <col min="7425" max="7425" width="7.42578125" style="1" customWidth="1"/>
    <col min="7426" max="7426" width="37.42578125" style="1" customWidth="1"/>
    <col min="7427" max="7427" width="10.42578125" style="1"/>
    <col min="7428" max="7428" width="9.28515625" style="1" customWidth="1"/>
    <col min="7429" max="7430" width="12.140625" style="1" customWidth="1"/>
    <col min="7431" max="7431" width="16" style="1" customWidth="1"/>
    <col min="7432" max="7432" width="26.28515625" style="1" customWidth="1"/>
    <col min="7433" max="7680" width="10.42578125" style="1"/>
    <col min="7681" max="7681" width="7.42578125" style="1" customWidth="1"/>
    <col min="7682" max="7682" width="37.42578125" style="1" customWidth="1"/>
    <col min="7683" max="7683" width="10.42578125" style="1"/>
    <col min="7684" max="7684" width="9.28515625" style="1" customWidth="1"/>
    <col min="7685" max="7686" width="12.140625" style="1" customWidth="1"/>
    <col min="7687" max="7687" width="16" style="1" customWidth="1"/>
    <col min="7688" max="7688" width="26.28515625" style="1" customWidth="1"/>
    <col min="7689" max="7936" width="10.42578125" style="1"/>
    <col min="7937" max="7937" width="7.42578125" style="1" customWidth="1"/>
    <col min="7938" max="7938" width="37.42578125" style="1" customWidth="1"/>
    <col min="7939" max="7939" width="10.42578125" style="1"/>
    <col min="7940" max="7940" width="9.28515625" style="1" customWidth="1"/>
    <col min="7941" max="7942" width="12.140625" style="1" customWidth="1"/>
    <col min="7943" max="7943" width="16" style="1" customWidth="1"/>
    <col min="7944" max="7944" width="26.28515625" style="1" customWidth="1"/>
    <col min="7945" max="8192" width="10.42578125" style="1"/>
    <col min="8193" max="8193" width="7.42578125" style="1" customWidth="1"/>
    <col min="8194" max="8194" width="37.42578125" style="1" customWidth="1"/>
    <col min="8195" max="8195" width="10.42578125" style="1"/>
    <col min="8196" max="8196" width="9.28515625" style="1" customWidth="1"/>
    <col min="8197" max="8198" width="12.140625" style="1" customWidth="1"/>
    <col min="8199" max="8199" width="16" style="1" customWidth="1"/>
    <col min="8200" max="8200" width="26.28515625" style="1" customWidth="1"/>
    <col min="8201" max="8448" width="10.42578125" style="1"/>
    <col min="8449" max="8449" width="7.42578125" style="1" customWidth="1"/>
    <col min="8450" max="8450" width="37.42578125" style="1" customWidth="1"/>
    <col min="8451" max="8451" width="10.42578125" style="1"/>
    <col min="8452" max="8452" width="9.28515625" style="1" customWidth="1"/>
    <col min="8453" max="8454" width="12.140625" style="1" customWidth="1"/>
    <col min="8455" max="8455" width="16" style="1" customWidth="1"/>
    <col min="8456" max="8456" width="26.28515625" style="1" customWidth="1"/>
    <col min="8457" max="8704" width="10.42578125" style="1"/>
    <col min="8705" max="8705" width="7.42578125" style="1" customWidth="1"/>
    <col min="8706" max="8706" width="37.42578125" style="1" customWidth="1"/>
    <col min="8707" max="8707" width="10.42578125" style="1"/>
    <col min="8708" max="8708" width="9.28515625" style="1" customWidth="1"/>
    <col min="8709" max="8710" width="12.140625" style="1" customWidth="1"/>
    <col min="8711" max="8711" width="16" style="1" customWidth="1"/>
    <col min="8712" max="8712" width="26.28515625" style="1" customWidth="1"/>
    <col min="8713" max="8960" width="10.42578125" style="1"/>
    <col min="8961" max="8961" width="7.42578125" style="1" customWidth="1"/>
    <col min="8962" max="8962" width="37.42578125" style="1" customWidth="1"/>
    <col min="8963" max="8963" width="10.42578125" style="1"/>
    <col min="8964" max="8964" width="9.28515625" style="1" customWidth="1"/>
    <col min="8965" max="8966" width="12.140625" style="1" customWidth="1"/>
    <col min="8967" max="8967" width="16" style="1" customWidth="1"/>
    <col min="8968" max="8968" width="26.28515625" style="1" customWidth="1"/>
    <col min="8969" max="9216" width="10.42578125" style="1"/>
    <col min="9217" max="9217" width="7.42578125" style="1" customWidth="1"/>
    <col min="9218" max="9218" width="37.42578125" style="1" customWidth="1"/>
    <col min="9219" max="9219" width="10.42578125" style="1"/>
    <col min="9220" max="9220" width="9.28515625" style="1" customWidth="1"/>
    <col min="9221" max="9222" width="12.140625" style="1" customWidth="1"/>
    <col min="9223" max="9223" width="16" style="1" customWidth="1"/>
    <col min="9224" max="9224" width="26.28515625" style="1" customWidth="1"/>
    <col min="9225" max="9472" width="10.42578125" style="1"/>
    <col min="9473" max="9473" width="7.42578125" style="1" customWidth="1"/>
    <col min="9474" max="9474" width="37.42578125" style="1" customWidth="1"/>
    <col min="9475" max="9475" width="10.42578125" style="1"/>
    <col min="9476" max="9476" width="9.28515625" style="1" customWidth="1"/>
    <col min="9477" max="9478" width="12.140625" style="1" customWidth="1"/>
    <col min="9479" max="9479" width="16" style="1" customWidth="1"/>
    <col min="9480" max="9480" width="26.28515625" style="1" customWidth="1"/>
    <col min="9481" max="9728" width="10.42578125" style="1"/>
    <col min="9729" max="9729" width="7.42578125" style="1" customWidth="1"/>
    <col min="9730" max="9730" width="37.42578125" style="1" customWidth="1"/>
    <col min="9731" max="9731" width="10.42578125" style="1"/>
    <col min="9732" max="9732" width="9.28515625" style="1" customWidth="1"/>
    <col min="9733" max="9734" width="12.140625" style="1" customWidth="1"/>
    <col min="9735" max="9735" width="16" style="1" customWidth="1"/>
    <col min="9736" max="9736" width="26.28515625" style="1" customWidth="1"/>
    <col min="9737" max="9984" width="10.42578125" style="1"/>
    <col min="9985" max="9985" width="7.42578125" style="1" customWidth="1"/>
    <col min="9986" max="9986" width="37.42578125" style="1" customWidth="1"/>
    <col min="9987" max="9987" width="10.42578125" style="1"/>
    <col min="9988" max="9988" width="9.28515625" style="1" customWidth="1"/>
    <col min="9989" max="9990" width="12.140625" style="1" customWidth="1"/>
    <col min="9991" max="9991" width="16" style="1" customWidth="1"/>
    <col min="9992" max="9992" width="26.28515625" style="1" customWidth="1"/>
    <col min="9993" max="10240" width="10.42578125" style="1"/>
    <col min="10241" max="10241" width="7.42578125" style="1" customWidth="1"/>
    <col min="10242" max="10242" width="37.42578125" style="1" customWidth="1"/>
    <col min="10243" max="10243" width="10.42578125" style="1"/>
    <col min="10244" max="10244" width="9.28515625" style="1" customWidth="1"/>
    <col min="10245" max="10246" width="12.140625" style="1" customWidth="1"/>
    <col min="10247" max="10247" width="16" style="1" customWidth="1"/>
    <col min="10248" max="10248" width="26.28515625" style="1" customWidth="1"/>
    <col min="10249" max="10496" width="10.42578125" style="1"/>
    <col min="10497" max="10497" width="7.42578125" style="1" customWidth="1"/>
    <col min="10498" max="10498" width="37.42578125" style="1" customWidth="1"/>
    <col min="10499" max="10499" width="10.42578125" style="1"/>
    <col min="10500" max="10500" width="9.28515625" style="1" customWidth="1"/>
    <col min="10501" max="10502" width="12.140625" style="1" customWidth="1"/>
    <col min="10503" max="10503" width="16" style="1" customWidth="1"/>
    <col min="10504" max="10504" width="26.28515625" style="1" customWidth="1"/>
    <col min="10505" max="10752" width="10.42578125" style="1"/>
    <col min="10753" max="10753" width="7.42578125" style="1" customWidth="1"/>
    <col min="10754" max="10754" width="37.42578125" style="1" customWidth="1"/>
    <col min="10755" max="10755" width="10.42578125" style="1"/>
    <col min="10756" max="10756" width="9.28515625" style="1" customWidth="1"/>
    <col min="10757" max="10758" width="12.140625" style="1" customWidth="1"/>
    <col min="10759" max="10759" width="16" style="1" customWidth="1"/>
    <col min="10760" max="10760" width="26.28515625" style="1" customWidth="1"/>
    <col min="10761" max="11008" width="10.42578125" style="1"/>
    <col min="11009" max="11009" width="7.42578125" style="1" customWidth="1"/>
    <col min="11010" max="11010" width="37.42578125" style="1" customWidth="1"/>
    <col min="11011" max="11011" width="10.42578125" style="1"/>
    <col min="11012" max="11012" width="9.28515625" style="1" customWidth="1"/>
    <col min="11013" max="11014" width="12.140625" style="1" customWidth="1"/>
    <col min="11015" max="11015" width="16" style="1" customWidth="1"/>
    <col min="11016" max="11016" width="26.28515625" style="1" customWidth="1"/>
    <col min="11017" max="11264" width="10.42578125" style="1"/>
    <col min="11265" max="11265" width="7.42578125" style="1" customWidth="1"/>
    <col min="11266" max="11266" width="37.42578125" style="1" customWidth="1"/>
    <col min="11267" max="11267" width="10.42578125" style="1"/>
    <col min="11268" max="11268" width="9.28515625" style="1" customWidth="1"/>
    <col min="11269" max="11270" width="12.140625" style="1" customWidth="1"/>
    <col min="11271" max="11271" width="16" style="1" customWidth="1"/>
    <col min="11272" max="11272" width="26.28515625" style="1" customWidth="1"/>
    <col min="11273" max="11520" width="10.42578125" style="1"/>
    <col min="11521" max="11521" width="7.42578125" style="1" customWidth="1"/>
    <col min="11522" max="11522" width="37.42578125" style="1" customWidth="1"/>
    <col min="11523" max="11523" width="10.42578125" style="1"/>
    <col min="11524" max="11524" width="9.28515625" style="1" customWidth="1"/>
    <col min="11525" max="11526" width="12.140625" style="1" customWidth="1"/>
    <col min="11527" max="11527" width="16" style="1" customWidth="1"/>
    <col min="11528" max="11528" width="26.28515625" style="1" customWidth="1"/>
    <col min="11529" max="11776" width="10.42578125" style="1"/>
    <col min="11777" max="11777" width="7.42578125" style="1" customWidth="1"/>
    <col min="11778" max="11778" width="37.42578125" style="1" customWidth="1"/>
    <col min="11779" max="11779" width="10.42578125" style="1"/>
    <col min="11780" max="11780" width="9.28515625" style="1" customWidth="1"/>
    <col min="11781" max="11782" width="12.140625" style="1" customWidth="1"/>
    <col min="11783" max="11783" width="16" style="1" customWidth="1"/>
    <col min="11784" max="11784" width="26.28515625" style="1" customWidth="1"/>
    <col min="11785" max="12032" width="10.42578125" style="1"/>
    <col min="12033" max="12033" width="7.42578125" style="1" customWidth="1"/>
    <col min="12034" max="12034" width="37.42578125" style="1" customWidth="1"/>
    <col min="12035" max="12035" width="10.42578125" style="1"/>
    <col min="12036" max="12036" width="9.28515625" style="1" customWidth="1"/>
    <col min="12037" max="12038" width="12.140625" style="1" customWidth="1"/>
    <col min="12039" max="12039" width="16" style="1" customWidth="1"/>
    <col min="12040" max="12040" width="26.28515625" style="1" customWidth="1"/>
    <col min="12041" max="12288" width="10.42578125" style="1"/>
    <col min="12289" max="12289" width="7.42578125" style="1" customWidth="1"/>
    <col min="12290" max="12290" width="37.42578125" style="1" customWidth="1"/>
    <col min="12291" max="12291" width="10.42578125" style="1"/>
    <col min="12292" max="12292" width="9.28515625" style="1" customWidth="1"/>
    <col min="12293" max="12294" width="12.140625" style="1" customWidth="1"/>
    <col min="12295" max="12295" width="16" style="1" customWidth="1"/>
    <col min="12296" max="12296" width="26.28515625" style="1" customWidth="1"/>
    <col min="12297" max="12544" width="10.42578125" style="1"/>
    <col min="12545" max="12545" width="7.42578125" style="1" customWidth="1"/>
    <col min="12546" max="12546" width="37.42578125" style="1" customWidth="1"/>
    <col min="12547" max="12547" width="10.42578125" style="1"/>
    <col min="12548" max="12548" width="9.28515625" style="1" customWidth="1"/>
    <col min="12549" max="12550" width="12.140625" style="1" customWidth="1"/>
    <col min="12551" max="12551" width="16" style="1" customWidth="1"/>
    <col min="12552" max="12552" width="26.28515625" style="1" customWidth="1"/>
    <col min="12553" max="12800" width="10.42578125" style="1"/>
    <col min="12801" max="12801" width="7.42578125" style="1" customWidth="1"/>
    <col min="12802" max="12802" width="37.42578125" style="1" customWidth="1"/>
    <col min="12803" max="12803" width="10.42578125" style="1"/>
    <col min="12804" max="12804" width="9.28515625" style="1" customWidth="1"/>
    <col min="12805" max="12806" width="12.140625" style="1" customWidth="1"/>
    <col min="12807" max="12807" width="16" style="1" customWidth="1"/>
    <col min="12808" max="12808" width="26.28515625" style="1" customWidth="1"/>
    <col min="12809" max="13056" width="10.42578125" style="1"/>
    <col min="13057" max="13057" width="7.42578125" style="1" customWidth="1"/>
    <col min="13058" max="13058" width="37.42578125" style="1" customWidth="1"/>
    <col min="13059" max="13059" width="10.42578125" style="1"/>
    <col min="13060" max="13060" width="9.28515625" style="1" customWidth="1"/>
    <col min="13061" max="13062" width="12.140625" style="1" customWidth="1"/>
    <col min="13063" max="13063" width="16" style="1" customWidth="1"/>
    <col min="13064" max="13064" width="26.28515625" style="1" customWidth="1"/>
    <col min="13065" max="13312" width="10.42578125" style="1"/>
    <col min="13313" max="13313" width="7.42578125" style="1" customWidth="1"/>
    <col min="13314" max="13314" width="37.42578125" style="1" customWidth="1"/>
    <col min="13315" max="13315" width="10.42578125" style="1"/>
    <col min="13316" max="13316" width="9.28515625" style="1" customWidth="1"/>
    <col min="13317" max="13318" width="12.140625" style="1" customWidth="1"/>
    <col min="13319" max="13319" width="16" style="1" customWidth="1"/>
    <col min="13320" max="13320" width="26.28515625" style="1" customWidth="1"/>
    <col min="13321" max="13568" width="10.42578125" style="1"/>
    <col min="13569" max="13569" width="7.42578125" style="1" customWidth="1"/>
    <col min="13570" max="13570" width="37.42578125" style="1" customWidth="1"/>
    <col min="13571" max="13571" width="10.42578125" style="1"/>
    <col min="13572" max="13572" width="9.28515625" style="1" customWidth="1"/>
    <col min="13573" max="13574" width="12.140625" style="1" customWidth="1"/>
    <col min="13575" max="13575" width="16" style="1" customWidth="1"/>
    <col min="13576" max="13576" width="26.28515625" style="1" customWidth="1"/>
    <col min="13577" max="13824" width="10.42578125" style="1"/>
    <col min="13825" max="13825" width="7.42578125" style="1" customWidth="1"/>
    <col min="13826" max="13826" width="37.42578125" style="1" customWidth="1"/>
    <col min="13827" max="13827" width="10.42578125" style="1"/>
    <col min="13828" max="13828" width="9.28515625" style="1" customWidth="1"/>
    <col min="13829" max="13830" width="12.140625" style="1" customWidth="1"/>
    <col min="13831" max="13831" width="16" style="1" customWidth="1"/>
    <col min="13832" max="13832" width="26.28515625" style="1" customWidth="1"/>
    <col min="13833" max="14080" width="10.42578125" style="1"/>
    <col min="14081" max="14081" width="7.42578125" style="1" customWidth="1"/>
    <col min="14082" max="14082" width="37.42578125" style="1" customWidth="1"/>
    <col min="14083" max="14083" width="10.42578125" style="1"/>
    <col min="14084" max="14084" width="9.28515625" style="1" customWidth="1"/>
    <col min="14085" max="14086" width="12.140625" style="1" customWidth="1"/>
    <col min="14087" max="14087" width="16" style="1" customWidth="1"/>
    <col min="14088" max="14088" width="26.28515625" style="1" customWidth="1"/>
    <col min="14089" max="14336" width="10.42578125" style="1"/>
    <col min="14337" max="14337" width="7.42578125" style="1" customWidth="1"/>
    <col min="14338" max="14338" width="37.42578125" style="1" customWidth="1"/>
    <col min="14339" max="14339" width="10.42578125" style="1"/>
    <col min="14340" max="14340" width="9.28515625" style="1" customWidth="1"/>
    <col min="14341" max="14342" width="12.140625" style="1" customWidth="1"/>
    <col min="14343" max="14343" width="16" style="1" customWidth="1"/>
    <col min="14344" max="14344" width="26.28515625" style="1" customWidth="1"/>
    <col min="14345" max="14592" width="10.42578125" style="1"/>
    <col min="14593" max="14593" width="7.42578125" style="1" customWidth="1"/>
    <col min="14594" max="14594" width="37.42578125" style="1" customWidth="1"/>
    <col min="14595" max="14595" width="10.42578125" style="1"/>
    <col min="14596" max="14596" width="9.28515625" style="1" customWidth="1"/>
    <col min="14597" max="14598" width="12.140625" style="1" customWidth="1"/>
    <col min="14599" max="14599" width="16" style="1" customWidth="1"/>
    <col min="14600" max="14600" width="26.28515625" style="1" customWidth="1"/>
    <col min="14601" max="14848" width="10.42578125" style="1"/>
    <col min="14849" max="14849" width="7.42578125" style="1" customWidth="1"/>
    <col min="14850" max="14850" width="37.42578125" style="1" customWidth="1"/>
    <col min="14851" max="14851" width="10.42578125" style="1"/>
    <col min="14852" max="14852" width="9.28515625" style="1" customWidth="1"/>
    <col min="14853" max="14854" width="12.140625" style="1" customWidth="1"/>
    <col min="14855" max="14855" width="16" style="1" customWidth="1"/>
    <col min="14856" max="14856" width="26.28515625" style="1" customWidth="1"/>
    <col min="14857" max="15104" width="10.42578125" style="1"/>
    <col min="15105" max="15105" width="7.42578125" style="1" customWidth="1"/>
    <col min="15106" max="15106" width="37.42578125" style="1" customWidth="1"/>
    <col min="15107" max="15107" width="10.42578125" style="1"/>
    <col min="15108" max="15108" width="9.28515625" style="1" customWidth="1"/>
    <col min="15109" max="15110" width="12.140625" style="1" customWidth="1"/>
    <col min="15111" max="15111" width="16" style="1" customWidth="1"/>
    <col min="15112" max="15112" width="26.28515625" style="1" customWidth="1"/>
    <col min="15113" max="15360" width="10.42578125" style="1"/>
    <col min="15361" max="15361" width="7.42578125" style="1" customWidth="1"/>
    <col min="15362" max="15362" width="37.42578125" style="1" customWidth="1"/>
    <col min="15363" max="15363" width="10.42578125" style="1"/>
    <col min="15364" max="15364" width="9.28515625" style="1" customWidth="1"/>
    <col min="15365" max="15366" width="12.140625" style="1" customWidth="1"/>
    <col min="15367" max="15367" width="16" style="1" customWidth="1"/>
    <col min="15368" max="15368" width="26.28515625" style="1" customWidth="1"/>
    <col min="15369" max="15616" width="10.42578125" style="1"/>
    <col min="15617" max="15617" width="7.42578125" style="1" customWidth="1"/>
    <col min="15618" max="15618" width="37.42578125" style="1" customWidth="1"/>
    <col min="15619" max="15619" width="10.42578125" style="1"/>
    <col min="15620" max="15620" width="9.28515625" style="1" customWidth="1"/>
    <col min="15621" max="15622" width="12.140625" style="1" customWidth="1"/>
    <col min="15623" max="15623" width="16" style="1" customWidth="1"/>
    <col min="15624" max="15624" width="26.28515625" style="1" customWidth="1"/>
    <col min="15625" max="15872" width="10.42578125" style="1"/>
    <col min="15873" max="15873" width="7.42578125" style="1" customWidth="1"/>
    <col min="15874" max="15874" width="37.42578125" style="1" customWidth="1"/>
    <col min="15875" max="15875" width="10.42578125" style="1"/>
    <col min="15876" max="15876" width="9.28515625" style="1" customWidth="1"/>
    <col min="15877" max="15878" width="12.140625" style="1" customWidth="1"/>
    <col min="15879" max="15879" width="16" style="1" customWidth="1"/>
    <col min="15880" max="15880" width="26.28515625" style="1" customWidth="1"/>
    <col min="15881" max="16128" width="10.42578125" style="1"/>
    <col min="16129" max="16129" width="7.42578125" style="1" customWidth="1"/>
    <col min="16130" max="16130" width="37.42578125" style="1" customWidth="1"/>
    <col min="16131" max="16131" width="10.42578125" style="1"/>
    <col min="16132" max="16132" width="9.28515625" style="1" customWidth="1"/>
    <col min="16133" max="16134" width="12.140625" style="1" customWidth="1"/>
    <col min="16135" max="16135" width="16" style="1" customWidth="1"/>
    <col min="16136" max="16136" width="26.28515625" style="1" customWidth="1"/>
    <col min="16137" max="16384" width="10.42578125" style="1"/>
  </cols>
  <sheetData>
    <row r="2" spans="1:11" ht="24.75" customHeight="1" x14ac:dyDescent="0.2">
      <c r="A2" s="121"/>
      <c r="B2" s="137"/>
      <c r="C2" s="354" t="s">
        <v>59</v>
      </c>
      <c r="D2" s="155"/>
      <c r="E2" s="156"/>
      <c r="F2" s="157"/>
      <c r="G2" s="355" t="s">
        <v>60</v>
      </c>
      <c r="H2" s="122"/>
      <c r="I2" s="121"/>
      <c r="J2" s="121"/>
      <c r="K2" s="121"/>
    </row>
    <row r="4" spans="1:11" s="25" customFormat="1" ht="15" x14ac:dyDescent="0.25">
      <c r="A4" s="119"/>
      <c r="B4" s="146" t="s">
        <v>7</v>
      </c>
      <c r="C4" s="330" t="s">
        <v>2188</v>
      </c>
      <c r="D4" s="158"/>
      <c r="E4" s="159"/>
      <c r="F4" s="160"/>
      <c r="G4" s="161"/>
      <c r="H4" s="26"/>
      <c r="I4" s="119"/>
      <c r="J4" s="119"/>
      <c r="K4" s="119"/>
    </row>
    <row r="5" spans="1:11" s="25" customFormat="1" ht="12" customHeight="1" x14ac:dyDescent="0.25">
      <c r="A5" s="119"/>
      <c r="B5" s="145"/>
      <c r="C5" s="162"/>
      <c r="D5" s="163"/>
      <c r="E5" s="164"/>
      <c r="F5" s="165"/>
      <c r="G5" s="166"/>
      <c r="H5" s="26"/>
      <c r="I5" s="119"/>
      <c r="J5" s="119"/>
      <c r="K5" s="119"/>
    </row>
    <row r="6" spans="1:11" s="23" customFormat="1" ht="21" customHeight="1" x14ac:dyDescent="0.2">
      <c r="A6" s="125"/>
      <c r="B6" s="328" t="s">
        <v>80</v>
      </c>
      <c r="C6" s="329" t="s">
        <v>2189</v>
      </c>
      <c r="D6" s="158"/>
      <c r="E6" s="159"/>
      <c r="F6" s="160"/>
      <c r="G6" s="161"/>
      <c r="H6" s="123"/>
      <c r="I6" s="124"/>
      <c r="J6" s="124"/>
      <c r="K6" s="124"/>
    </row>
    <row r="7" spans="1:11" s="23" customFormat="1" ht="14.25" x14ac:dyDescent="0.2">
      <c r="A7" s="125"/>
      <c r="B7" s="145"/>
      <c r="C7" s="162"/>
      <c r="D7" s="163"/>
      <c r="E7" s="164"/>
      <c r="F7" s="165"/>
      <c r="G7" s="167"/>
      <c r="H7" s="123"/>
      <c r="I7" s="124"/>
      <c r="J7" s="124"/>
      <c r="K7" s="124"/>
    </row>
    <row r="8" spans="1:11" s="24" customFormat="1" ht="18" customHeight="1" x14ac:dyDescent="0.2">
      <c r="A8" s="140"/>
      <c r="B8" s="143" t="s">
        <v>1</v>
      </c>
      <c r="C8" s="168"/>
      <c r="D8" s="170"/>
      <c r="E8" s="170"/>
      <c r="F8" s="170"/>
      <c r="G8" s="169"/>
      <c r="H8" s="139"/>
      <c r="I8" s="139"/>
      <c r="J8" s="139"/>
      <c r="K8" s="139"/>
    </row>
    <row r="9" spans="1:11" s="24" customFormat="1" ht="18" customHeight="1" x14ac:dyDescent="0.25">
      <c r="A9" s="141"/>
      <c r="B9" s="144" t="s">
        <v>2</v>
      </c>
      <c r="C9" s="171"/>
      <c r="D9" s="172"/>
      <c r="E9" s="173"/>
      <c r="F9" s="173"/>
      <c r="G9" s="172"/>
      <c r="H9" s="139"/>
      <c r="I9" s="139"/>
      <c r="J9" s="139"/>
      <c r="K9" s="139"/>
    </row>
    <row r="10" spans="1:11" s="24" customFormat="1" ht="18" customHeight="1" x14ac:dyDescent="0.2">
      <c r="A10" s="140"/>
      <c r="B10" s="143" t="s">
        <v>3</v>
      </c>
      <c r="C10" s="168"/>
      <c r="D10" s="170"/>
      <c r="E10" s="170"/>
      <c r="F10" s="170"/>
      <c r="G10" s="169"/>
      <c r="H10" s="139"/>
      <c r="I10" s="139"/>
      <c r="J10" s="139"/>
      <c r="K10" s="139"/>
    </row>
    <row r="11" spans="1:11" s="24" customFormat="1" ht="18" customHeight="1" x14ac:dyDescent="0.25">
      <c r="A11" s="141"/>
      <c r="B11" s="144" t="s">
        <v>4</v>
      </c>
      <c r="C11" s="171"/>
      <c r="D11" s="173"/>
      <c r="E11" s="173"/>
      <c r="F11" s="173"/>
      <c r="G11" s="172"/>
      <c r="H11" s="139"/>
      <c r="I11" s="139"/>
      <c r="J11" s="139"/>
      <c r="K11" s="139"/>
    </row>
    <row r="12" spans="1:11" s="23" customFormat="1" ht="14.25" x14ac:dyDescent="0.2">
      <c r="A12" s="125"/>
      <c r="B12" s="142"/>
      <c r="C12" s="174"/>
      <c r="D12" s="175"/>
      <c r="E12" s="176"/>
      <c r="F12" s="177"/>
      <c r="G12" s="178"/>
      <c r="H12" s="123"/>
      <c r="I12" s="124"/>
      <c r="J12" s="124"/>
      <c r="K12" s="124"/>
    </row>
    <row r="13" spans="1:11" s="23" customFormat="1" ht="18.75" customHeight="1" x14ac:dyDescent="0.2">
      <c r="A13" s="125"/>
      <c r="B13" s="138"/>
      <c r="C13" s="334" t="s">
        <v>82</v>
      </c>
      <c r="D13" s="179"/>
      <c r="E13" s="180"/>
      <c r="F13" s="181"/>
      <c r="G13" s="182"/>
      <c r="H13" s="123"/>
      <c r="I13" s="124"/>
      <c r="J13" s="124"/>
      <c r="K13" s="124"/>
    </row>
    <row r="14" spans="1:11" s="21" customFormat="1" ht="18.75" customHeight="1" x14ac:dyDescent="0.2">
      <c r="A14" s="126"/>
      <c r="B14" s="315" t="s">
        <v>83</v>
      </c>
      <c r="C14" s="335" t="s">
        <v>84</v>
      </c>
      <c r="D14" s="336"/>
      <c r="E14" s="337"/>
      <c r="F14" s="338"/>
      <c r="G14" s="339" t="s">
        <v>64</v>
      </c>
      <c r="H14" s="22"/>
      <c r="I14" s="126"/>
      <c r="J14" s="126"/>
      <c r="K14" s="126"/>
    </row>
    <row r="15" spans="1:11" s="331" customFormat="1" ht="18.75" customHeight="1" x14ac:dyDescent="0.25">
      <c r="B15" s="332" t="s">
        <v>17</v>
      </c>
      <c r="C15" s="340" t="s">
        <v>87</v>
      </c>
      <c r="D15" s="341"/>
      <c r="E15" s="342"/>
      <c r="F15" s="343"/>
      <c r="G15" s="20">
        <f>G39</f>
        <v>0</v>
      </c>
      <c r="H15" s="18"/>
    </row>
    <row r="16" spans="1:11" s="17" customFormat="1" ht="18.75" customHeight="1" x14ac:dyDescent="0.25">
      <c r="A16" s="331"/>
      <c r="B16" s="332" t="s">
        <v>18</v>
      </c>
      <c r="C16" s="340" t="s">
        <v>367</v>
      </c>
      <c r="D16" s="341"/>
      <c r="E16" s="342"/>
      <c r="F16" s="343"/>
      <c r="G16" s="20">
        <f>G124</f>
        <v>0</v>
      </c>
      <c r="H16" s="18"/>
      <c r="I16" s="331"/>
      <c r="J16" s="331"/>
      <c r="K16" s="331"/>
    </row>
    <row r="17" spans="2:8" s="17" customFormat="1" ht="18.75" customHeight="1" x14ac:dyDescent="0.25">
      <c r="B17" s="333"/>
      <c r="C17" s="344" t="s">
        <v>88</v>
      </c>
      <c r="D17" s="345"/>
      <c r="E17" s="346"/>
      <c r="F17" s="347"/>
      <c r="G17" s="19">
        <f>SUM(G15:G16)</f>
        <v>0</v>
      </c>
      <c r="H17" s="18"/>
    </row>
    <row r="18" spans="2:8" x14ac:dyDescent="0.2">
      <c r="B18" s="127"/>
      <c r="C18" s="183"/>
      <c r="D18" s="184"/>
      <c r="E18" s="185"/>
      <c r="F18" s="186"/>
      <c r="G18" s="187"/>
      <c r="H18"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21" customFormat="1" x14ac:dyDescent="0.2">
      <c r="B21" s="2487" t="s">
        <v>17</v>
      </c>
      <c r="C21" s="2488" t="s">
        <v>87</v>
      </c>
      <c r="D21" s="231"/>
      <c r="E21" s="265"/>
      <c r="F21" s="279"/>
      <c r="G21" s="272"/>
      <c r="H21" s="565"/>
    </row>
    <row r="22" spans="2:8" s="121" customFormat="1" x14ac:dyDescent="0.2">
      <c r="B22" s="2487"/>
      <c r="C22" s="272" t="s">
        <v>2190</v>
      </c>
      <c r="D22" s="272" t="s">
        <v>149</v>
      </c>
      <c r="E22" s="272">
        <v>5</v>
      </c>
      <c r="F22" s="272">
        <v>0</v>
      </c>
      <c r="G22" s="272">
        <f>F22*E22</f>
        <v>0</v>
      </c>
      <c r="H22" s="565"/>
    </row>
    <row r="23" spans="2:8" s="121" customFormat="1" x14ac:dyDescent="0.2">
      <c r="B23" s="2487"/>
      <c r="C23" s="272" t="s">
        <v>2191</v>
      </c>
      <c r="D23" s="272" t="s">
        <v>149</v>
      </c>
      <c r="E23" s="272">
        <v>1</v>
      </c>
      <c r="F23" s="272">
        <v>0</v>
      </c>
      <c r="G23" s="272">
        <f t="shared" ref="G23:G38" si="0">F23*E23</f>
        <v>0</v>
      </c>
      <c r="H23" s="565"/>
    </row>
    <row r="24" spans="2:8" s="121" customFormat="1" x14ac:dyDescent="0.2">
      <c r="B24" s="2487"/>
      <c r="C24" s="272" t="s">
        <v>2192</v>
      </c>
      <c r="D24" s="272" t="s">
        <v>149</v>
      </c>
      <c r="E24" s="272">
        <v>5</v>
      </c>
      <c r="F24" s="272">
        <v>0</v>
      </c>
      <c r="G24" s="272">
        <f t="shared" si="0"/>
        <v>0</v>
      </c>
      <c r="H24" s="565"/>
    </row>
    <row r="25" spans="2:8" s="121" customFormat="1" x14ac:dyDescent="0.2">
      <c r="B25" s="2487"/>
      <c r="C25" s="272" t="s">
        <v>2193</v>
      </c>
      <c r="D25" s="272" t="s">
        <v>149</v>
      </c>
      <c r="E25" s="272">
        <v>1</v>
      </c>
      <c r="F25" s="272">
        <v>0</v>
      </c>
      <c r="G25" s="272">
        <f t="shared" si="0"/>
        <v>0</v>
      </c>
      <c r="H25" s="565"/>
    </row>
    <row r="26" spans="2:8" s="121" customFormat="1" x14ac:dyDescent="0.2">
      <c r="B26" s="2487"/>
      <c r="C26" s="272" t="s">
        <v>2194</v>
      </c>
      <c r="D26" s="272" t="s">
        <v>149</v>
      </c>
      <c r="E26" s="272">
        <v>2</v>
      </c>
      <c r="F26" s="272">
        <v>0</v>
      </c>
      <c r="G26" s="272">
        <f t="shared" si="0"/>
        <v>0</v>
      </c>
      <c r="H26" s="565"/>
    </row>
    <row r="27" spans="2:8" s="121" customFormat="1" x14ac:dyDescent="0.2">
      <c r="B27" s="2487"/>
      <c r="C27" s="272" t="s">
        <v>2195</v>
      </c>
      <c r="D27" s="272" t="s">
        <v>149</v>
      </c>
      <c r="E27" s="272">
        <v>5</v>
      </c>
      <c r="F27" s="272">
        <v>0</v>
      </c>
      <c r="G27" s="272">
        <f t="shared" si="0"/>
        <v>0</v>
      </c>
      <c r="H27" s="565"/>
    </row>
    <row r="28" spans="2:8" s="121" customFormat="1" ht="38.25" customHeight="1" x14ac:dyDescent="0.2">
      <c r="B28" s="2487"/>
      <c r="C28" s="2489" t="s">
        <v>1519</v>
      </c>
      <c r="D28" s="272" t="s">
        <v>149</v>
      </c>
      <c r="E28" s="272">
        <v>1</v>
      </c>
      <c r="F28" s="272">
        <v>0</v>
      </c>
      <c r="G28" s="272">
        <f t="shared" si="0"/>
        <v>0</v>
      </c>
      <c r="H28" s="565"/>
    </row>
    <row r="29" spans="2:8" s="121" customFormat="1" x14ac:dyDescent="0.2">
      <c r="B29" s="2487"/>
      <c r="C29" s="272" t="s">
        <v>2196</v>
      </c>
      <c r="D29" s="272" t="s">
        <v>149</v>
      </c>
      <c r="E29" s="272">
        <v>1</v>
      </c>
      <c r="F29" s="272">
        <v>0</v>
      </c>
      <c r="G29" s="272">
        <f t="shared" si="0"/>
        <v>0</v>
      </c>
      <c r="H29" s="565"/>
    </row>
    <row r="30" spans="2:8" s="121" customFormat="1" x14ac:dyDescent="0.2">
      <c r="B30" s="2487"/>
      <c r="C30" s="272" t="s">
        <v>2197</v>
      </c>
      <c r="D30" s="272" t="s">
        <v>149</v>
      </c>
      <c r="E30" s="272">
        <v>1</v>
      </c>
      <c r="F30" s="272">
        <v>0</v>
      </c>
      <c r="G30" s="272">
        <f t="shared" si="0"/>
        <v>0</v>
      </c>
      <c r="H30" s="565"/>
    </row>
    <row r="31" spans="2:8" s="121" customFormat="1" x14ac:dyDescent="0.2">
      <c r="B31" s="2487"/>
      <c r="C31" s="272" t="s">
        <v>2198</v>
      </c>
      <c r="D31" s="272" t="s">
        <v>149</v>
      </c>
      <c r="E31" s="272">
        <v>1</v>
      </c>
      <c r="F31" s="272">
        <v>0</v>
      </c>
      <c r="G31" s="272">
        <f t="shared" si="0"/>
        <v>0</v>
      </c>
      <c r="H31" s="565"/>
    </row>
    <row r="32" spans="2:8" s="121" customFormat="1" x14ac:dyDescent="0.2">
      <c r="B32" s="2487"/>
      <c r="C32" s="272" t="s">
        <v>2199</v>
      </c>
      <c r="D32" s="272" t="s">
        <v>149</v>
      </c>
      <c r="E32" s="272">
        <v>2</v>
      </c>
      <c r="F32" s="272">
        <v>0</v>
      </c>
      <c r="G32" s="272">
        <f t="shared" si="0"/>
        <v>0</v>
      </c>
      <c r="H32" s="565"/>
    </row>
    <row r="33" spans="2:8" s="121" customFormat="1" x14ac:dyDescent="0.2">
      <c r="B33" s="2487"/>
      <c r="C33" s="272" t="s">
        <v>899</v>
      </c>
      <c r="D33" s="272" t="s">
        <v>149</v>
      </c>
      <c r="E33" s="272">
        <v>2</v>
      </c>
      <c r="F33" s="272">
        <v>0</v>
      </c>
      <c r="G33" s="272">
        <f t="shared" si="0"/>
        <v>0</v>
      </c>
      <c r="H33" s="565"/>
    </row>
    <row r="34" spans="2:8" s="121" customFormat="1" x14ac:dyDescent="0.2">
      <c r="B34" s="2487"/>
      <c r="C34" s="272" t="s">
        <v>2200</v>
      </c>
      <c r="D34" s="272" t="s">
        <v>149</v>
      </c>
      <c r="E34" s="272">
        <v>1</v>
      </c>
      <c r="F34" s="272">
        <v>0</v>
      </c>
      <c r="G34" s="272">
        <f t="shared" si="0"/>
        <v>0</v>
      </c>
      <c r="H34" s="565"/>
    </row>
    <row r="35" spans="2:8" s="121" customFormat="1" x14ac:dyDescent="0.2">
      <c r="B35" s="2487"/>
      <c r="C35" s="272" t="s">
        <v>2201</v>
      </c>
      <c r="D35" s="272" t="s">
        <v>149</v>
      </c>
      <c r="E35" s="272">
        <v>1</v>
      </c>
      <c r="F35" s="272">
        <v>0</v>
      </c>
      <c r="G35" s="272">
        <f t="shared" si="0"/>
        <v>0</v>
      </c>
      <c r="H35" s="565"/>
    </row>
    <row r="36" spans="2:8" s="121" customFormat="1" x14ac:dyDescent="0.2">
      <c r="B36" s="2478"/>
      <c r="C36" s="272" t="s">
        <v>2202</v>
      </c>
      <c r="D36" s="272" t="s">
        <v>149</v>
      </c>
      <c r="E36" s="272">
        <v>2</v>
      </c>
      <c r="F36" s="272">
        <v>0</v>
      </c>
      <c r="G36" s="272">
        <f t="shared" si="0"/>
        <v>0</v>
      </c>
      <c r="H36" s="565"/>
    </row>
    <row r="37" spans="2:8" s="121" customFormat="1" x14ac:dyDescent="0.2">
      <c r="B37" s="2478"/>
      <c r="C37" s="272" t="s">
        <v>2203</v>
      </c>
      <c r="D37" s="272" t="s">
        <v>149</v>
      </c>
      <c r="E37" s="272">
        <v>1</v>
      </c>
      <c r="F37" s="272">
        <v>0</v>
      </c>
      <c r="G37" s="272">
        <f t="shared" si="0"/>
        <v>0</v>
      </c>
      <c r="H37" s="565"/>
    </row>
    <row r="38" spans="2:8" s="121" customFormat="1" x14ac:dyDescent="0.2">
      <c r="B38" s="2478"/>
      <c r="C38" s="272" t="s">
        <v>2204</v>
      </c>
      <c r="D38" s="272" t="s">
        <v>149</v>
      </c>
      <c r="E38" s="272">
        <v>1</v>
      </c>
      <c r="F38" s="272">
        <v>0</v>
      </c>
      <c r="G38" s="272">
        <f t="shared" si="0"/>
        <v>0</v>
      </c>
      <c r="H38" s="565"/>
    </row>
    <row r="39" spans="2:8" s="147" customFormat="1" ht="23.25" customHeight="1" x14ac:dyDescent="0.25">
      <c r="B39" s="327" t="s">
        <v>17</v>
      </c>
      <c r="C39" s="214" t="s">
        <v>2205</v>
      </c>
      <c r="D39" s="214"/>
      <c r="E39" s="215"/>
      <c r="F39" s="216"/>
      <c r="G39" s="290">
        <f>SUM(G22:G38)</f>
        <v>0</v>
      </c>
      <c r="H39" s="150"/>
    </row>
    <row r="41" spans="2:8" s="16" customFormat="1" ht="20.25" x14ac:dyDescent="0.3">
      <c r="B41" s="303" t="s">
        <v>18</v>
      </c>
      <c r="C41" s="306" t="s">
        <v>367</v>
      </c>
      <c r="D41" s="305"/>
      <c r="E41" s="299"/>
      <c r="F41" s="300"/>
      <c r="G41" s="301"/>
      <c r="H41" s="302"/>
    </row>
    <row r="42" spans="2:8" s="16" customFormat="1" ht="24" customHeight="1" x14ac:dyDescent="0.3">
      <c r="B42" s="3210" t="s">
        <v>539</v>
      </c>
      <c r="C42" s="3211"/>
      <c r="D42" s="3211"/>
      <c r="E42" s="3211"/>
      <c r="F42" s="3211"/>
      <c r="G42" s="3212"/>
      <c r="H42" s="302"/>
    </row>
    <row r="43" spans="2:8" s="16" customFormat="1" ht="24" customHeight="1" x14ac:dyDescent="0.3">
      <c r="B43" s="3205" t="s">
        <v>540</v>
      </c>
      <c r="C43" s="3206"/>
      <c r="D43" s="3206"/>
      <c r="E43" s="3206"/>
      <c r="F43" s="3206"/>
      <c r="G43" s="3207"/>
      <c r="H43" s="302"/>
    </row>
    <row r="44" spans="2:8" s="16" customFormat="1" ht="24" customHeight="1" x14ac:dyDescent="0.3">
      <c r="B44" s="3205" t="s">
        <v>541</v>
      </c>
      <c r="C44" s="3206"/>
      <c r="D44" s="3206"/>
      <c r="E44" s="3206"/>
      <c r="F44" s="3206"/>
      <c r="G44" s="3207"/>
      <c r="H44" s="302"/>
    </row>
    <row r="45" spans="2:8" s="16" customFormat="1" ht="24" customHeight="1" x14ac:dyDescent="0.3">
      <c r="B45" s="3205" t="s">
        <v>542</v>
      </c>
      <c r="C45" s="3206"/>
      <c r="D45" s="3206"/>
      <c r="E45" s="3206"/>
      <c r="F45" s="3206"/>
      <c r="G45" s="3207"/>
      <c r="H45" s="302"/>
    </row>
    <row r="46" spans="2:8" s="16" customFormat="1" ht="24" customHeight="1" x14ac:dyDescent="0.3">
      <c r="B46" s="3205" t="s">
        <v>543</v>
      </c>
      <c r="C46" s="3206"/>
      <c r="D46" s="3206"/>
      <c r="E46" s="3206"/>
      <c r="F46" s="3206"/>
      <c r="G46" s="3207"/>
      <c r="H46" s="302"/>
    </row>
    <row r="47" spans="2:8" s="16" customFormat="1" ht="24" customHeight="1" x14ac:dyDescent="0.3">
      <c r="B47" s="3205" t="s">
        <v>544</v>
      </c>
      <c r="C47" s="3206"/>
      <c r="D47" s="3206"/>
      <c r="E47" s="3206"/>
      <c r="F47" s="3206"/>
      <c r="G47" s="3207"/>
      <c r="H47" s="302"/>
    </row>
    <row r="48" spans="2:8" s="16" customFormat="1" ht="24" customHeight="1" x14ac:dyDescent="0.3">
      <c r="B48" s="3205" t="s">
        <v>545</v>
      </c>
      <c r="C48" s="3206"/>
      <c r="D48" s="3206"/>
      <c r="E48" s="3206"/>
      <c r="F48" s="3206"/>
      <c r="G48" s="3207"/>
      <c r="H48" s="302"/>
    </row>
    <row r="49" spans="1:11" x14ac:dyDescent="0.2">
      <c r="A49" s="121"/>
      <c r="B49" s="153">
        <v>1</v>
      </c>
      <c r="C49" s="357" t="s">
        <v>550</v>
      </c>
      <c r="D49" s="207"/>
      <c r="E49" s="199"/>
      <c r="F49" s="269"/>
      <c r="G49" s="270"/>
      <c r="H49" s="122"/>
      <c r="I49" s="121"/>
      <c r="J49" s="121"/>
      <c r="K49" s="121"/>
    </row>
    <row r="50" spans="1:11" ht="108" x14ac:dyDescent="0.2">
      <c r="A50" s="121"/>
      <c r="B50" s="153"/>
      <c r="C50" s="311" t="s">
        <v>815</v>
      </c>
      <c r="D50" s="10" t="s">
        <v>98</v>
      </c>
      <c r="E50" s="199">
        <v>1</v>
      </c>
      <c r="F50" s="269">
        <v>0</v>
      </c>
      <c r="G50" s="270">
        <f t="shared" ref="G50:G70" si="1">E50*F50</f>
        <v>0</v>
      </c>
      <c r="H50" s="122"/>
      <c r="I50" s="121"/>
      <c r="J50" s="121"/>
      <c r="K50" s="121"/>
    </row>
    <row r="51" spans="1:11" ht="60" x14ac:dyDescent="0.2">
      <c r="A51" s="121"/>
      <c r="B51" s="153"/>
      <c r="C51" s="311" t="s">
        <v>751</v>
      </c>
      <c r="D51" s="10" t="s">
        <v>123</v>
      </c>
      <c r="E51" s="199">
        <v>1</v>
      </c>
      <c r="F51" s="269">
        <v>0</v>
      </c>
      <c r="G51" s="270">
        <f t="shared" si="1"/>
        <v>0</v>
      </c>
      <c r="H51" s="122"/>
      <c r="I51" s="121"/>
      <c r="J51" s="121"/>
      <c r="K51" s="121"/>
    </row>
    <row r="52" spans="1:11" ht="60" x14ac:dyDescent="0.2">
      <c r="A52" s="121"/>
      <c r="B52" s="153"/>
      <c r="C52" s="311" t="s">
        <v>752</v>
      </c>
      <c r="D52" s="10" t="s">
        <v>123</v>
      </c>
      <c r="E52" s="199">
        <v>1</v>
      </c>
      <c r="F52" s="269">
        <v>0</v>
      </c>
      <c r="G52" s="270">
        <f t="shared" si="1"/>
        <v>0</v>
      </c>
      <c r="H52" s="122"/>
      <c r="I52" s="121"/>
      <c r="J52" s="121"/>
      <c r="K52" s="121"/>
    </row>
    <row r="53" spans="1:11" ht="60" x14ac:dyDescent="0.2">
      <c r="A53" s="121"/>
      <c r="B53" s="153"/>
      <c r="C53" s="311" t="s">
        <v>753</v>
      </c>
      <c r="D53" s="10" t="s">
        <v>123</v>
      </c>
      <c r="E53" s="199">
        <v>2</v>
      </c>
      <c r="F53" s="269">
        <v>0</v>
      </c>
      <c r="G53" s="270">
        <f t="shared" si="1"/>
        <v>0</v>
      </c>
      <c r="H53" s="122"/>
      <c r="I53" s="121"/>
      <c r="J53" s="121"/>
      <c r="K53" s="121"/>
    </row>
    <row r="54" spans="1:11" ht="60" x14ac:dyDescent="0.2">
      <c r="A54" s="121"/>
      <c r="B54" s="153"/>
      <c r="C54" s="311" t="s">
        <v>754</v>
      </c>
      <c r="D54" s="10" t="s">
        <v>123</v>
      </c>
      <c r="E54" s="199">
        <v>1</v>
      </c>
      <c r="F54" s="269">
        <v>0</v>
      </c>
      <c r="G54" s="270">
        <f t="shared" si="1"/>
        <v>0</v>
      </c>
      <c r="H54" s="122"/>
      <c r="I54" s="121"/>
      <c r="J54" s="121"/>
      <c r="K54" s="121"/>
    </row>
    <row r="55" spans="1:11" ht="48" x14ac:dyDescent="0.2">
      <c r="A55" s="121"/>
      <c r="B55" s="153"/>
      <c r="C55" s="311" t="s">
        <v>755</v>
      </c>
      <c r="D55" s="10" t="s">
        <v>123</v>
      </c>
      <c r="E55" s="199">
        <v>1</v>
      </c>
      <c r="F55" s="269">
        <v>0</v>
      </c>
      <c r="G55" s="270">
        <f t="shared" si="1"/>
        <v>0</v>
      </c>
      <c r="H55" s="122"/>
      <c r="I55" s="121"/>
      <c r="J55" s="121"/>
      <c r="K55" s="121"/>
    </row>
    <row r="56" spans="1:11" ht="60" x14ac:dyDescent="0.2">
      <c r="A56" s="121"/>
      <c r="B56" s="153"/>
      <c r="C56" s="311" t="s">
        <v>756</v>
      </c>
      <c r="D56" s="10" t="s">
        <v>98</v>
      </c>
      <c r="E56" s="199">
        <v>1</v>
      </c>
      <c r="F56" s="269">
        <v>0</v>
      </c>
      <c r="G56" s="270">
        <f t="shared" si="1"/>
        <v>0</v>
      </c>
      <c r="H56" s="122"/>
      <c r="I56" s="121"/>
      <c r="J56" s="121"/>
      <c r="K56" s="121"/>
    </row>
    <row r="57" spans="1:11" ht="48" x14ac:dyDescent="0.2">
      <c r="A57" s="121"/>
      <c r="B57" s="153"/>
      <c r="C57" s="311" t="s">
        <v>757</v>
      </c>
      <c r="D57" s="10" t="s">
        <v>123</v>
      </c>
      <c r="E57" s="199">
        <v>1</v>
      </c>
      <c r="F57" s="269">
        <v>0</v>
      </c>
      <c r="G57" s="270">
        <f t="shared" si="1"/>
        <v>0</v>
      </c>
      <c r="H57" s="122"/>
      <c r="I57" s="121"/>
      <c r="J57" s="121"/>
      <c r="K57" s="121"/>
    </row>
    <row r="58" spans="1:11" ht="108" x14ac:dyDescent="0.2">
      <c r="A58" s="121"/>
      <c r="B58" s="153"/>
      <c r="C58" s="311" t="s">
        <v>619</v>
      </c>
      <c r="D58" s="10" t="s">
        <v>123</v>
      </c>
      <c r="E58" s="199">
        <v>1</v>
      </c>
      <c r="F58" s="269">
        <v>0</v>
      </c>
      <c r="G58" s="270">
        <f t="shared" si="1"/>
        <v>0</v>
      </c>
      <c r="H58" s="122"/>
      <c r="I58" s="121"/>
      <c r="J58" s="121"/>
      <c r="K58" s="121"/>
    </row>
    <row r="59" spans="1:11" ht="36" x14ac:dyDescent="0.2">
      <c r="A59" s="121"/>
      <c r="B59" s="153"/>
      <c r="C59" s="311" t="s">
        <v>758</v>
      </c>
      <c r="D59" s="10" t="s">
        <v>123</v>
      </c>
      <c r="E59" s="199">
        <v>40</v>
      </c>
      <c r="F59" s="269">
        <v>0</v>
      </c>
      <c r="G59" s="270">
        <f t="shared" si="1"/>
        <v>0</v>
      </c>
      <c r="H59" s="122"/>
      <c r="I59" s="121"/>
      <c r="J59" s="121"/>
      <c r="K59" s="121"/>
    </row>
    <row r="60" spans="1:11" ht="36" x14ac:dyDescent="0.2">
      <c r="A60" s="121"/>
      <c r="B60" s="153"/>
      <c r="C60" s="311" t="s">
        <v>759</v>
      </c>
      <c r="D60" s="10" t="s">
        <v>123</v>
      </c>
      <c r="E60" s="199">
        <v>10</v>
      </c>
      <c r="F60" s="269">
        <v>0</v>
      </c>
      <c r="G60" s="270">
        <f t="shared" si="1"/>
        <v>0</v>
      </c>
      <c r="H60" s="122"/>
      <c r="I60" s="121"/>
      <c r="J60" s="121"/>
      <c r="K60" s="121"/>
    </row>
    <row r="61" spans="1:11" s="2" customFormat="1" ht="36" x14ac:dyDescent="0.2">
      <c r="A61" s="121"/>
      <c r="B61" s="153"/>
      <c r="C61" s="311" t="s">
        <v>760</v>
      </c>
      <c r="D61" s="10" t="s">
        <v>123</v>
      </c>
      <c r="E61" s="199">
        <v>2</v>
      </c>
      <c r="F61" s="269">
        <v>0</v>
      </c>
      <c r="G61" s="270">
        <f t="shared" si="1"/>
        <v>0</v>
      </c>
      <c r="H61" s="122"/>
      <c r="I61" s="121"/>
      <c r="J61" s="121"/>
      <c r="K61" s="121"/>
    </row>
    <row r="62" spans="1:11" ht="36" x14ac:dyDescent="0.2">
      <c r="A62" s="121"/>
      <c r="B62" s="153"/>
      <c r="C62" s="311" t="s">
        <v>761</v>
      </c>
      <c r="D62" s="10" t="s">
        <v>123</v>
      </c>
      <c r="E62" s="199">
        <v>10</v>
      </c>
      <c r="F62" s="269">
        <v>0</v>
      </c>
      <c r="G62" s="270">
        <f t="shared" si="1"/>
        <v>0</v>
      </c>
      <c r="H62" s="122"/>
      <c r="I62" s="121"/>
      <c r="J62" s="121"/>
      <c r="K62" s="121"/>
    </row>
    <row r="63" spans="1:11" ht="36" x14ac:dyDescent="0.2">
      <c r="A63" s="121"/>
      <c r="B63" s="153"/>
      <c r="C63" s="311" t="s">
        <v>762</v>
      </c>
      <c r="D63" s="10" t="s">
        <v>123</v>
      </c>
      <c r="E63" s="199">
        <v>1</v>
      </c>
      <c r="F63" s="269">
        <v>0</v>
      </c>
      <c r="G63" s="270">
        <f t="shared" si="1"/>
        <v>0</v>
      </c>
      <c r="H63" s="122"/>
      <c r="I63" s="121"/>
      <c r="J63" s="121"/>
      <c r="K63" s="121"/>
    </row>
    <row r="64" spans="1:11" ht="48" x14ac:dyDescent="0.2">
      <c r="A64" s="121"/>
      <c r="B64" s="153"/>
      <c r="C64" s="311" t="s">
        <v>763</v>
      </c>
      <c r="D64" s="10" t="s">
        <v>123</v>
      </c>
      <c r="E64" s="199">
        <v>1</v>
      </c>
      <c r="F64" s="269">
        <v>0</v>
      </c>
      <c r="G64" s="270">
        <f t="shared" si="1"/>
        <v>0</v>
      </c>
      <c r="H64" s="122"/>
      <c r="I64" s="121"/>
      <c r="J64" s="121"/>
      <c r="K64" s="121"/>
    </row>
    <row r="65" spans="1:11" ht="48" x14ac:dyDescent="0.2">
      <c r="A65" s="121"/>
      <c r="B65" s="153"/>
      <c r="C65" s="311" t="s">
        <v>764</v>
      </c>
      <c r="D65" s="10" t="s">
        <v>123</v>
      </c>
      <c r="E65" s="199">
        <v>3</v>
      </c>
      <c r="F65" s="269">
        <v>0</v>
      </c>
      <c r="G65" s="270">
        <f t="shared" si="1"/>
        <v>0</v>
      </c>
      <c r="H65" s="122"/>
      <c r="I65" s="121"/>
      <c r="J65" s="121"/>
      <c r="K65" s="121"/>
    </row>
    <row r="66" spans="1:11" ht="48" x14ac:dyDescent="0.2">
      <c r="A66" s="121"/>
      <c r="B66" s="153"/>
      <c r="C66" s="311" t="s">
        <v>765</v>
      </c>
      <c r="D66" s="10" t="s">
        <v>123</v>
      </c>
      <c r="E66" s="199">
        <v>3</v>
      </c>
      <c r="F66" s="269">
        <v>0</v>
      </c>
      <c r="G66" s="270">
        <f t="shared" si="1"/>
        <v>0</v>
      </c>
      <c r="H66" s="122"/>
      <c r="I66" s="121"/>
      <c r="J66" s="121"/>
      <c r="K66" s="121"/>
    </row>
    <row r="67" spans="1:11" ht="48" x14ac:dyDescent="0.2">
      <c r="A67" s="121"/>
      <c r="B67" s="153"/>
      <c r="C67" s="311" t="s">
        <v>766</v>
      </c>
      <c r="D67" s="10" t="s">
        <v>123</v>
      </c>
      <c r="E67" s="199">
        <v>3</v>
      </c>
      <c r="F67" s="269">
        <v>0</v>
      </c>
      <c r="G67" s="270">
        <f t="shared" si="1"/>
        <v>0</v>
      </c>
      <c r="H67" s="122"/>
      <c r="I67" s="121"/>
      <c r="J67" s="121"/>
      <c r="K67" s="121"/>
    </row>
    <row r="68" spans="1:11" ht="48" x14ac:dyDescent="0.2">
      <c r="A68" s="121"/>
      <c r="B68" s="153"/>
      <c r="C68" s="311" t="s">
        <v>767</v>
      </c>
      <c r="D68" s="10" t="s">
        <v>98</v>
      </c>
      <c r="E68" s="199">
        <v>1</v>
      </c>
      <c r="F68" s="269">
        <v>0</v>
      </c>
      <c r="G68" s="270">
        <f t="shared" si="1"/>
        <v>0</v>
      </c>
      <c r="H68" s="122"/>
      <c r="I68" s="121"/>
      <c r="J68" s="121"/>
      <c r="K68" s="121"/>
    </row>
    <row r="69" spans="1:11" ht="60" x14ac:dyDescent="0.2">
      <c r="A69" s="121"/>
      <c r="B69" s="153"/>
      <c r="C69" s="311" t="s">
        <v>768</v>
      </c>
      <c r="D69" s="10" t="s">
        <v>123</v>
      </c>
      <c r="E69" s="199">
        <v>1</v>
      </c>
      <c r="F69" s="269">
        <v>0</v>
      </c>
      <c r="G69" s="270">
        <f t="shared" si="1"/>
        <v>0</v>
      </c>
      <c r="H69" s="122"/>
      <c r="I69" s="121"/>
      <c r="J69" s="121"/>
      <c r="K69" s="121"/>
    </row>
    <row r="70" spans="1:11" s="2" customFormat="1" ht="84" x14ac:dyDescent="0.2">
      <c r="A70" s="121"/>
      <c r="B70" s="153"/>
      <c r="C70" s="311" t="s">
        <v>620</v>
      </c>
      <c r="D70" s="10" t="s">
        <v>123</v>
      </c>
      <c r="E70" s="199">
        <v>1</v>
      </c>
      <c r="F70" s="269">
        <v>0</v>
      </c>
      <c r="G70" s="270">
        <f t="shared" si="1"/>
        <v>0</v>
      </c>
      <c r="H70" s="122"/>
      <c r="I70" s="121"/>
      <c r="J70" s="121"/>
      <c r="K70" s="121"/>
    </row>
    <row r="71" spans="1:11" s="2" customFormat="1" x14ac:dyDescent="0.2">
      <c r="A71" s="121"/>
      <c r="B71" s="153">
        <v>2</v>
      </c>
      <c r="C71" s="357" t="s">
        <v>769</v>
      </c>
      <c r="D71" s="207"/>
      <c r="E71" s="199"/>
      <c r="F71" s="269"/>
      <c r="G71" s="270"/>
      <c r="H71" s="122"/>
      <c r="I71" s="121"/>
      <c r="J71" s="121"/>
      <c r="K71" s="121"/>
    </row>
    <row r="72" spans="1:11" s="121" customFormat="1" ht="387.75" customHeight="1" x14ac:dyDescent="0.2">
      <c r="B72" s="2743"/>
      <c r="C72" s="2744"/>
      <c r="D72" s="2745"/>
      <c r="E72" s="2746"/>
      <c r="F72" s="2747"/>
      <c r="G72" s="2736"/>
      <c r="H72" s="122"/>
    </row>
    <row r="73" spans="1:11" s="121" customFormat="1" ht="24.75" customHeight="1" x14ac:dyDescent="0.2">
      <c r="B73" s="2749"/>
      <c r="C73" s="2744" t="s">
        <v>2465</v>
      </c>
      <c r="D73" s="2748" t="s">
        <v>98</v>
      </c>
      <c r="E73" s="2746">
        <v>1</v>
      </c>
      <c r="F73" s="2747">
        <v>0</v>
      </c>
      <c r="G73" s="2736">
        <f t="shared" ref="G73" si="2">E73*F73</f>
        <v>0</v>
      </c>
      <c r="H73" s="122"/>
    </row>
    <row r="74" spans="1:11" s="2" customFormat="1" ht="48" x14ac:dyDescent="0.2">
      <c r="A74" s="121"/>
      <c r="B74" s="153"/>
      <c r="C74" s="311" t="s">
        <v>771</v>
      </c>
      <c r="D74" s="207" t="s">
        <v>123</v>
      </c>
      <c r="E74" s="199">
        <v>1</v>
      </c>
      <c r="F74" s="269">
        <v>0</v>
      </c>
      <c r="G74" s="270">
        <f t="shared" ref="G74:G82" si="3">E74*F74</f>
        <v>0</v>
      </c>
      <c r="H74" s="122"/>
      <c r="I74" s="121"/>
      <c r="J74" s="121"/>
      <c r="K74" s="121"/>
    </row>
    <row r="75" spans="1:11" s="2" customFormat="1" ht="48" x14ac:dyDescent="0.2">
      <c r="A75" s="121"/>
      <c r="B75" s="153"/>
      <c r="C75" s="311" t="s">
        <v>625</v>
      </c>
      <c r="D75" s="207" t="s">
        <v>123</v>
      </c>
      <c r="E75" s="199">
        <v>1</v>
      </c>
      <c r="F75" s="269">
        <v>0</v>
      </c>
      <c r="G75" s="270">
        <f t="shared" si="3"/>
        <v>0</v>
      </c>
      <c r="H75" s="122"/>
      <c r="I75" s="121"/>
      <c r="J75" s="121"/>
      <c r="K75" s="121"/>
    </row>
    <row r="76" spans="1:11" s="2" customFormat="1" ht="60" x14ac:dyDescent="0.2">
      <c r="A76" s="121"/>
      <c r="B76" s="153"/>
      <c r="C76" s="311" t="s">
        <v>772</v>
      </c>
      <c r="D76" s="207" t="s">
        <v>123</v>
      </c>
      <c r="E76" s="199">
        <v>1</v>
      </c>
      <c r="F76" s="269">
        <v>0</v>
      </c>
      <c r="G76" s="270">
        <f t="shared" si="3"/>
        <v>0</v>
      </c>
      <c r="H76" s="122"/>
      <c r="I76" s="121"/>
      <c r="J76" s="121"/>
      <c r="K76" s="121"/>
    </row>
    <row r="77" spans="1:11" s="2" customFormat="1" ht="48" x14ac:dyDescent="0.2">
      <c r="A77" s="121"/>
      <c r="B77" s="153"/>
      <c r="C77" s="311" t="s">
        <v>943</v>
      </c>
      <c r="D77" s="207" t="s">
        <v>123</v>
      </c>
      <c r="E77" s="199">
        <v>1</v>
      </c>
      <c r="F77" s="269">
        <v>0</v>
      </c>
      <c r="G77" s="270">
        <f t="shared" si="3"/>
        <v>0</v>
      </c>
      <c r="H77" s="122"/>
      <c r="I77" s="121"/>
      <c r="J77" s="121"/>
      <c r="K77" s="121"/>
    </row>
    <row r="78" spans="1:11" s="2" customFormat="1" ht="17.25" customHeight="1" x14ac:dyDescent="0.2">
      <c r="A78" s="121"/>
      <c r="B78" s="153"/>
      <c r="C78" s="311" t="s">
        <v>2206</v>
      </c>
      <c r="D78" s="207" t="s">
        <v>123</v>
      </c>
      <c r="E78" s="199">
        <v>1</v>
      </c>
      <c r="F78" s="269">
        <v>0</v>
      </c>
      <c r="G78" s="270">
        <f t="shared" si="3"/>
        <v>0</v>
      </c>
      <c r="H78" s="122"/>
      <c r="I78" s="121"/>
      <c r="J78" s="121"/>
      <c r="K78" s="121"/>
    </row>
    <row r="79" spans="1:11" s="2" customFormat="1" ht="184.5" customHeight="1" x14ac:dyDescent="0.2">
      <c r="A79" s="121"/>
      <c r="B79" s="153"/>
      <c r="C79" s="311" t="s">
        <v>773</v>
      </c>
      <c r="D79" s="207" t="s">
        <v>123</v>
      </c>
      <c r="E79" s="199">
        <v>1</v>
      </c>
      <c r="F79" s="269">
        <v>0</v>
      </c>
      <c r="G79" s="270">
        <f t="shared" si="3"/>
        <v>0</v>
      </c>
      <c r="H79" s="122"/>
      <c r="I79" s="121"/>
      <c r="J79" s="121"/>
      <c r="K79" s="121"/>
    </row>
    <row r="80" spans="1:11" s="2" customFormat="1" ht="60" x14ac:dyDescent="0.2">
      <c r="A80" s="121"/>
      <c r="B80" s="153"/>
      <c r="C80" s="311" t="s">
        <v>944</v>
      </c>
      <c r="D80" s="207" t="s">
        <v>98</v>
      </c>
      <c r="E80" s="199">
        <v>1</v>
      </c>
      <c r="F80" s="269">
        <v>0</v>
      </c>
      <c r="G80" s="270">
        <f t="shared" si="3"/>
        <v>0</v>
      </c>
      <c r="H80" s="122"/>
      <c r="I80" s="121"/>
      <c r="J80" s="121"/>
      <c r="K80" s="121"/>
    </row>
    <row r="81" spans="1:11" s="2" customFormat="1" ht="36" x14ac:dyDescent="0.2">
      <c r="A81" s="121"/>
      <c r="B81" s="153"/>
      <c r="C81" s="311" t="s">
        <v>603</v>
      </c>
      <c r="D81" s="207" t="s">
        <v>123</v>
      </c>
      <c r="E81" s="199">
        <v>1</v>
      </c>
      <c r="F81" s="269">
        <v>0</v>
      </c>
      <c r="G81" s="270">
        <f t="shared" si="3"/>
        <v>0</v>
      </c>
      <c r="H81" s="122"/>
      <c r="I81" s="121"/>
      <c r="J81" s="121"/>
      <c r="K81" s="121"/>
    </row>
    <row r="82" spans="1:11" s="2" customFormat="1" ht="288" x14ac:dyDescent="0.2">
      <c r="A82" s="121"/>
      <c r="B82" s="153"/>
      <c r="C82" s="311" t="s">
        <v>630</v>
      </c>
      <c r="D82" s="10" t="s">
        <v>98</v>
      </c>
      <c r="E82" s="199">
        <v>2</v>
      </c>
      <c r="F82" s="269">
        <v>0</v>
      </c>
      <c r="G82" s="270">
        <f t="shared" si="3"/>
        <v>0</v>
      </c>
      <c r="H82" s="122"/>
      <c r="I82" s="121"/>
      <c r="J82" s="121"/>
      <c r="K82" s="121"/>
    </row>
    <row r="83" spans="1:11" s="2" customFormat="1" x14ac:dyDescent="0.2">
      <c r="A83" s="121"/>
      <c r="B83" s="153">
        <v>3</v>
      </c>
      <c r="C83" s="357" t="s">
        <v>775</v>
      </c>
      <c r="D83" s="207"/>
      <c r="E83" s="199"/>
      <c r="F83" s="269"/>
      <c r="G83" s="270"/>
      <c r="H83" s="122"/>
      <c r="I83" s="121"/>
      <c r="J83" s="121"/>
      <c r="K83" s="121"/>
    </row>
    <row r="84" spans="1:11" s="2" customFormat="1" ht="276" x14ac:dyDescent="0.2">
      <c r="A84" s="121"/>
      <c r="B84" s="153"/>
      <c r="C84" s="311" t="s">
        <v>776</v>
      </c>
      <c r="D84" s="207" t="s">
        <v>98</v>
      </c>
      <c r="E84" s="199">
        <v>1</v>
      </c>
      <c r="F84" s="269">
        <v>0</v>
      </c>
      <c r="G84" s="270">
        <f>E84*F84</f>
        <v>0</v>
      </c>
      <c r="H84" s="122"/>
      <c r="I84" s="121"/>
      <c r="J84" s="121"/>
      <c r="K84" s="121"/>
    </row>
    <row r="85" spans="1:11" s="2" customFormat="1" ht="72" x14ac:dyDescent="0.2">
      <c r="A85" s="121"/>
      <c r="B85" s="153"/>
      <c r="C85" s="311" t="s">
        <v>777</v>
      </c>
      <c r="D85" s="10" t="s">
        <v>98</v>
      </c>
      <c r="E85" s="199">
        <v>1</v>
      </c>
      <c r="F85" s="269">
        <v>0</v>
      </c>
      <c r="G85" s="270">
        <f>E85*F85</f>
        <v>0</v>
      </c>
      <c r="H85" s="122"/>
      <c r="I85" s="121"/>
      <c r="J85" s="121"/>
      <c r="K85" s="121"/>
    </row>
    <row r="86" spans="1:11" s="2" customFormat="1" ht="84" x14ac:dyDescent="0.2">
      <c r="A86" s="121"/>
      <c r="B86" s="153"/>
      <c r="C86" s="311" t="s">
        <v>778</v>
      </c>
      <c r="D86" s="10" t="s">
        <v>98</v>
      </c>
      <c r="E86" s="199">
        <v>1</v>
      </c>
      <c r="F86" s="269">
        <v>0</v>
      </c>
      <c r="G86" s="270">
        <f>E86*F86</f>
        <v>0</v>
      </c>
      <c r="H86" s="122"/>
      <c r="I86" s="121"/>
      <c r="J86" s="121"/>
      <c r="K86" s="121"/>
    </row>
    <row r="87" spans="1:11" s="2" customFormat="1" x14ac:dyDescent="0.2">
      <c r="A87" s="121"/>
      <c r="B87" s="153">
        <v>4</v>
      </c>
      <c r="C87" s="357" t="s">
        <v>779</v>
      </c>
      <c r="D87" s="207"/>
      <c r="E87" s="199"/>
      <c r="F87" s="269"/>
      <c r="G87" s="270"/>
      <c r="H87" s="122"/>
      <c r="I87" s="121"/>
      <c r="J87" s="121"/>
      <c r="K87" s="121"/>
    </row>
    <row r="88" spans="1:11" s="2" customFormat="1" ht="60" x14ac:dyDescent="0.2">
      <c r="A88" s="121"/>
      <c r="B88" s="153"/>
      <c r="C88" s="311" t="s">
        <v>780</v>
      </c>
      <c r="D88" s="207" t="s">
        <v>98</v>
      </c>
      <c r="E88" s="199">
        <v>2</v>
      </c>
      <c r="F88" s="269">
        <v>0</v>
      </c>
      <c r="G88" s="270">
        <f t="shared" ref="G88:G94" si="4">E88*F88</f>
        <v>0</v>
      </c>
      <c r="H88" s="122"/>
      <c r="I88" s="121"/>
      <c r="J88" s="121"/>
      <c r="K88" s="121"/>
    </row>
    <row r="89" spans="1:11" s="2" customFormat="1" ht="60" x14ac:dyDescent="0.2">
      <c r="A89" s="121"/>
      <c r="B89" s="153"/>
      <c r="C89" s="311" t="s">
        <v>781</v>
      </c>
      <c r="D89" s="207" t="s">
        <v>98</v>
      </c>
      <c r="E89" s="199">
        <v>2</v>
      </c>
      <c r="F89" s="269">
        <v>0</v>
      </c>
      <c r="G89" s="270">
        <f t="shared" si="4"/>
        <v>0</v>
      </c>
      <c r="H89" s="122"/>
      <c r="I89" s="121"/>
      <c r="J89" s="121"/>
      <c r="K89" s="121"/>
    </row>
    <row r="90" spans="1:11" s="2" customFormat="1" ht="60" x14ac:dyDescent="0.2">
      <c r="A90" s="121"/>
      <c r="B90" s="153"/>
      <c r="C90" s="311" t="s">
        <v>945</v>
      </c>
      <c r="D90" s="207" t="s">
        <v>98</v>
      </c>
      <c r="E90" s="199">
        <v>2</v>
      </c>
      <c r="F90" s="269">
        <v>0</v>
      </c>
      <c r="G90" s="270">
        <f t="shared" si="4"/>
        <v>0</v>
      </c>
      <c r="H90" s="122"/>
      <c r="I90" s="121"/>
      <c r="J90" s="121"/>
      <c r="K90" s="121"/>
    </row>
    <row r="91" spans="1:11" s="2" customFormat="1" ht="72" x14ac:dyDescent="0.2">
      <c r="A91" s="121"/>
      <c r="B91" s="153"/>
      <c r="C91" s="311" t="s">
        <v>2207</v>
      </c>
      <c r="D91" s="207" t="s">
        <v>123</v>
      </c>
      <c r="E91" s="199">
        <v>2</v>
      </c>
      <c r="F91" s="269">
        <v>0</v>
      </c>
      <c r="G91" s="270">
        <f t="shared" si="4"/>
        <v>0</v>
      </c>
      <c r="H91" s="122"/>
      <c r="I91" s="121"/>
      <c r="J91" s="121"/>
      <c r="K91" s="121"/>
    </row>
    <row r="92" spans="1:11" s="2" customFormat="1" ht="36" x14ac:dyDescent="0.2">
      <c r="A92" s="121"/>
      <c r="B92" s="153"/>
      <c r="C92" s="311" t="s">
        <v>782</v>
      </c>
      <c r="D92" s="10" t="s">
        <v>123</v>
      </c>
      <c r="E92" s="199">
        <v>1</v>
      </c>
      <c r="F92" s="269">
        <v>0</v>
      </c>
      <c r="G92" s="270">
        <f t="shared" si="4"/>
        <v>0</v>
      </c>
      <c r="H92" s="122"/>
      <c r="I92" s="121"/>
      <c r="J92" s="121"/>
      <c r="K92" s="121"/>
    </row>
    <row r="93" spans="1:11" s="2" customFormat="1" ht="132" x14ac:dyDescent="0.2">
      <c r="A93" s="121"/>
      <c r="B93" s="153"/>
      <c r="C93" s="311" t="s">
        <v>508</v>
      </c>
      <c r="D93" s="207" t="s">
        <v>123</v>
      </c>
      <c r="E93" s="199">
        <v>1</v>
      </c>
      <c r="F93" s="269">
        <v>0</v>
      </c>
      <c r="G93" s="270">
        <f t="shared" si="4"/>
        <v>0</v>
      </c>
      <c r="H93" s="122"/>
      <c r="I93" s="121"/>
      <c r="J93" s="121"/>
      <c r="K93" s="121"/>
    </row>
    <row r="94" spans="1:11" s="2" customFormat="1" ht="96" x14ac:dyDescent="0.2">
      <c r="A94" s="121"/>
      <c r="B94" s="153"/>
      <c r="C94" s="311" t="s">
        <v>783</v>
      </c>
      <c r="D94" s="10" t="s">
        <v>123</v>
      </c>
      <c r="E94" s="199">
        <v>1</v>
      </c>
      <c r="F94" s="269">
        <v>0</v>
      </c>
      <c r="G94" s="270">
        <f t="shared" si="4"/>
        <v>0</v>
      </c>
      <c r="H94" s="122"/>
      <c r="I94" s="121"/>
      <c r="J94" s="121"/>
      <c r="K94" s="121"/>
    </row>
    <row r="95" spans="1:11" s="2" customFormat="1" x14ac:dyDescent="0.2">
      <c r="A95" s="121"/>
      <c r="B95" s="153">
        <v>5</v>
      </c>
      <c r="C95" s="357" t="s">
        <v>784</v>
      </c>
      <c r="D95" s="207"/>
      <c r="E95" s="199"/>
      <c r="F95" s="269"/>
      <c r="G95" s="270"/>
      <c r="H95" s="122"/>
      <c r="I95" s="121"/>
      <c r="J95" s="121"/>
      <c r="K95" s="121"/>
    </row>
    <row r="96" spans="1:11" s="2" customFormat="1" x14ac:dyDescent="0.2">
      <c r="A96" s="121"/>
      <c r="B96" s="153"/>
      <c r="C96" s="311" t="s">
        <v>643</v>
      </c>
      <c r="D96" s="207" t="s">
        <v>644</v>
      </c>
      <c r="E96" s="199">
        <v>20</v>
      </c>
      <c r="F96" s="269">
        <v>0</v>
      </c>
      <c r="G96" s="270">
        <f t="shared" ref="G96:G104" si="5">E96*F96</f>
        <v>0</v>
      </c>
      <c r="H96" s="122"/>
      <c r="I96" s="121"/>
      <c r="J96" s="121"/>
      <c r="K96" s="121"/>
    </row>
    <row r="97" spans="1:11" s="2" customFormat="1" x14ac:dyDescent="0.2">
      <c r="A97" s="121"/>
      <c r="B97" s="153"/>
      <c r="C97" s="311" t="s">
        <v>645</v>
      </c>
      <c r="D97" s="207" t="s">
        <v>644</v>
      </c>
      <c r="E97" s="199">
        <v>30</v>
      </c>
      <c r="F97" s="269">
        <v>0</v>
      </c>
      <c r="G97" s="270">
        <f t="shared" si="5"/>
        <v>0</v>
      </c>
      <c r="H97" s="122"/>
      <c r="I97" s="121"/>
      <c r="J97" s="121"/>
      <c r="K97" s="121"/>
    </row>
    <row r="98" spans="1:11" s="2" customFormat="1" x14ac:dyDescent="0.2">
      <c r="A98" s="121"/>
      <c r="B98" s="153"/>
      <c r="C98" s="311" t="s">
        <v>646</v>
      </c>
      <c r="D98" s="207" t="s">
        <v>644</v>
      </c>
      <c r="E98" s="199">
        <v>100</v>
      </c>
      <c r="F98" s="269">
        <v>0</v>
      </c>
      <c r="G98" s="270">
        <f t="shared" si="5"/>
        <v>0</v>
      </c>
      <c r="H98" s="122"/>
      <c r="I98" s="121"/>
      <c r="J98" s="121"/>
      <c r="K98" s="121"/>
    </row>
    <row r="99" spans="1:11" s="2" customFormat="1" x14ac:dyDescent="0.2">
      <c r="A99" s="121"/>
      <c r="B99" s="153"/>
      <c r="C99" s="311" t="s">
        <v>647</v>
      </c>
      <c r="D99" s="207" t="s">
        <v>644</v>
      </c>
      <c r="E99" s="199">
        <v>50</v>
      </c>
      <c r="F99" s="269">
        <v>0</v>
      </c>
      <c r="G99" s="270">
        <f t="shared" si="5"/>
        <v>0</v>
      </c>
      <c r="H99" s="122"/>
      <c r="I99" s="121"/>
      <c r="J99" s="121"/>
      <c r="K99" s="121"/>
    </row>
    <row r="100" spans="1:11" s="2" customFormat="1" x14ac:dyDescent="0.2">
      <c r="A100" s="121"/>
      <c r="B100" s="153"/>
      <c r="C100" s="311" t="s">
        <v>648</v>
      </c>
      <c r="D100" s="207" t="s">
        <v>644</v>
      </c>
      <c r="E100" s="199">
        <v>30</v>
      </c>
      <c r="F100" s="269">
        <v>0</v>
      </c>
      <c r="G100" s="270">
        <f t="shared" si="5"/>
        <v>0</v>
      </c>
      <c r="H100" s="122"/>
      <c r="I100" s="121"/>
      <c r="J100" s="121"/>
      <c r="K100" s="121"/>
    </row>
    <row r="101" spans="1:11" s="2" customFormat="1" x14ac:dyDescent="0.2">
      <c r="A101" s="121"/>
      <c r="B101" s="153"/>
      <c r="C101" s="311" t="s">
        <v>650</v>
      </c>
      <c r="D101" s="207" t="s">
        <v>123</v>
      </c>
      <c r="E101" s="199">
        <v>2</v>
      </c>
      <c r="F101" s="269">
        <v>0</v>
      </c>
      <c r="G101" s="270">
        <f t="shared" si="5"/>
        <v>0</v>
      </c>
      <c r="H101" s="122"/>
      <c r="I101" s="121"/>
      <c r="J101" s="121"/>
      <c r="K101" s="121"/>
    </row>
    <row r="102" spans="1:11" s="2" customFormat="1" x14ac:dyDescent="0.2">
      <c r="A102" s="121"/>
      <c r="B102" s="153"/>
      <c r="C102" s="311" t="s">
        <v>651</v>
      </c>
      <c r="D102" s="207" t="s">
        <v>644</v>
      </c>
      <c r="E102" s="199">
        <v>50</v>
      </c>
      <c r="F102" s="269">
        <v>0</v>
      </c>
      <c r="G102" s="270">
        <f t="shared" si="5"/>
        <v>0</v>
      </c>
      <c r="H102" s="122"/>
      <c r="I102" s="121"/>
      <c r="J102" s="121"/>
      <c r="K102" s="121"/>
    </row>
    <row r="103" spans="1:11" s="2" customFormat="1" x14ac:dyDescent="0.2">
      <c r="A103" s="121"/>
      <c r="B103" s="153"/>
      <c r="C103" s="311" t="s">
        <v>652</v>
      </c>
      <c r="D103" s="207" t="s">
        <v>644</v>
      </c>
      <c r="E103" s="199">
        <v>30</v>
      </c>
      <c r="F103" s="269">
        <v>0</v>
      </c>
      <c r="G103" s="270">
        <f t="shared" si="5"/>
        <v>0</v>
      </c>
      <c r="H103" s="122"/>
      <c r="I103" s="121"/>
      <c r="J103" s="121"/>
      <c r="K103" s="121"/>
    </row>
    <row r="104" spans="1:11" s="2" customFormat="1" x14ac:dyDescent="0.2">
      <c r="A104" s="121"/>
      <c r="B104" s="153"/>
      <c r="C104" s="311" t="s">
        <v>632</v>
      </c>
      <c r="D104" s="207" t="s">
        <v>98</v>
      </c>
      <c r="E104" s="199">
        <v>1</v>
      </c>
      <c r="F104" s="269">
        <v>0</v>
      </c>
      <c r="G104" s="270">
        <f t="shared" si="5"/>
        <v>0</v>
      </c>
      <c r="H104" s="122"/>
      <c r="I104" s="121"/>
      <c r="J104" s="121"/>
      <c r="K104" s="121"/>
    </row>
    <row r="105" spans="1:11" s="12" customFormat="1" x14ac:dyDescent="0.2">
      <c r="A105" s="11"/>
      <c r="B105" s="153">
        <v>6</v>
      </c>
      <c r="C105" s="357" t="s">
        <v>785</v>
      </c>
      <c r="D105" s="15"/>
      <c r="E105" s="419"/>
      <c r="F105" s="14"/>
      <c r="G105" s="13"/>
      <c r="I105" s="11"/>
      <c r="J105" s="11"/>
      <c r="K105" s="11"/>
    </row>
    <row r="106" spans="1:11" s="12" customFormat="1" ht="24" x14ac:dyDescent="0.2">
      <c r="A106" s="11"/>
      <c r="B106" s="153"/>
      <c r="C106" s="311" t="s">
        <v>666</v>
      </c>
      <c r="D106" s="207" t="s">
        <v>644</v>
      </c>
      <c r="E106" s="199">
        <v>20</v>
      </c>
      <c r="F106" s="269">
        <v>0</v>
      </c>
      <c r="G106" s="270">
        <f t="shared" ref="G106:G113" si="6">E106*F106</f>
        <v>0</v>
      </c>
      <c r="I106" s="11"/>
      <c r="J106" s="11"/>
      <c r="K106" s="11"/>
    </row>
    <row r="107" spans="1:11" s="12" customFormat="1" x14ac:dyDescent="0.2">
      <c r="A107" s="11"/>
      <c r="B107" s="153"/>
      <c r="C107" s="311" t="s">
        <v>667</v>
      </c>
      <c r="D107" s="207" t="s">
        <v>644</v>
      </c>
      <c r="E107" s="199">
        <v>50</v>
      </c>
      <c r="F107" s="269">
        <v>0</v>
      </c>
      <c r="G107" s="270">
        <f t="shared" si="6"/>
        <v>0</v>
      </c>
      <c r="I107" s="11"/>
      <c r="J107" s="11"/>
      <c r="K107" s="11"/>
    </row>
    <row r="108" spans="1:11" s="12" customFormat="1" x14ac:dyDescent="0.2">
      <c r="A108" s="11"/>
      <c r="B108" s="153"/>
      <c r="C108" s="311" t="s">
        <v>668</v>
      </c>
      <c r="D108" s="207" t="s">
        <v>644</v>
      </c>
      <c r="E108" s="199">
        <v>20</v>
      </c>
      <c r="F108" s="269">
        <v>0</v>
      </c>
      <c r="G108" s="270">
        <f t="shared" si="6"/>
        <v>0</v>
      </c>
      <c r="I108" s="11"/>
      <c r="J108" s="11"/>
      <c r="K108" s="11"/>
    </row>
    <row r="109" spans="1:11" s="12" customFormat="1" x14ac:dyDescent="0.2">
      <c r="A109" s="11"/>
      <c r="B109" s="153"/>
      <c r="C109" s="311" t="s">
        <v>673</v>
      </c>
      <c r="D109" s="207" t="s">
        <v>123</v>
      </c>
      <c r="E109" s="199">
        <v>2</v>
      </c>
      <c r="F109" s="269">
        <v>0</v>
      </c>
      <c r="G109" s="270">
        <f t="shared" si="6"/>
        <v>0</v>
      </c>
      <c r="I109" s="11"/>
      <c r="J109" s="11"/>
      <c r="K109" s="11"/>
    </row>
    <row r="110" spans="1:11" s="12" customFormat="1" x14ac:dyDescent="0.2">
      <c r="A110" s="11"/>
      <c r="B110" s="153"/>
      <c r="C110" s="311" t="s">
        <v>787</v>
      </c>
      <c r="D110" s="207" t="s">
        <v>123</v>
      </c>
      <c r="E110" s="199">
        <v>1</v>
      </c>
      <c r="F110" s="269">
        <v>0</v>
      </c>
      <c r="G110" s="270">
        <f t="shared" si="6"/>
        <v>0</v>
      </c>
      <c r="I110" s="11"/>
      <c r="J110" s="11"/>
      <c r="K110" s="11"/>
    </row>
    <row r="111" spans="1:11" s="12" customFormat="1" x14ac:dyDescent="0.2">
      <c r="A111" s="11"/>
      <c r="B111" s="153"/>
      <c r="C111" s="311" t="s">
        <v>675</v>
      </c>
      <c r="D111" s="207" t="s">
        <v>123</v>
      </c>
      <c r="E111" s="199">
        <v>3</v>
      </c>
      <c r="F111" s="269">
        <v>0</v>
      </c>
      <c r="G111" s="270">
        <f t="shared" si="6"/>
        <v>0</v>
      </c>
      <c r="I111" s="11"/>
      <c r="J111" s="11"/>
      <c r="K111" s="11"/>
    </row>
    <row r="112" spans="1:11" s="12" customFormat="1" x14ac:dyDescent="0.2">
      <c r="A112" s="11"/>
      <c r="B112" s="153"/>
      <c r="C112" s="311" t="s">
        <v>676</v>
      </c>
      <c r="D112" s="207" t="s">
        <v>123</v>
      </c>
      <c r="E112" s="199">
        <v>2</v>
      </c>
      <c r="F112" s="269">
        <v>0</v>
      </c>
      <c r="G112" s="270">
        <f t="shared" si="6"/>
        <v>0</v>
      </c>
      <c r="I112" s="11"/>
      <c r="J112" s="11"/>
      <c r="K112" s="11"/>
    </row>
    <row r="113" spans="1:11" s="12" customFormat="1" ht="24" x14ac:dyDescent="0.2">
      <c r="A113" s="11"/>
      <c r="B113" s="153"/>
      <c r="C113" s="311" t="s">
        <v>677</v>
      </c>
      <c r="D113" s="207" t="s">
        <v>123</v>
      </c>
      <c r="E113" s="199">
        <v>1</v>
      </c>
      <c r="F113" s="269">
        <v>0</v>
      </c>
      <c r="G113" s="270">
        <f t="shared" si="6"/>
        <v>0</v>
      </c>
      <c r="I113" s="11"/>
      <c r="J113" s="11"/>
      <c r="K113" s="11"/>
    </row>
    <row r="114" spans="1:11" s="2" customFormat="1" x14ac:dyDescent="0.2">
      <c r="A114" s="121"/>
      <c r="B114" s="153">
        <v>7</v>
      </c>
      <c r="C114" s="357" t="s">
        <v>788</v>
      </c>
      <c r="D114" s="207"/>
      <c r="E114" s="199"/>
      <c r="F114" s="269"/>
      <c r="G114" s="270"/>
      <c r="H114" s="122"/>
      <c r="I114" s="121"/>
      <c r="J114" s="121"/>
      <c r="K114" s="121"/>
    </row>
    <row r="115" spans="1:11" s="2" customFormat="1" x14ac:dyDescent="0.2">
      <c r="A115" s="121"/>
      <c r="B115" s="153"/>
      <c r="C115" s="197" t="s">
        <v>655</v>
      </c>
      <c r="D115" s="207" t="s">
        <v>644</v>
      </c>
      <c r="E115" s="199">
        <v>40</v>
      </c>
      <c r="F115" s="200">
        <v>0</v>
      </c>
      <c r="G115" s="270">
        <f>E115*F115</f>
        <v>0</v>
      </c>
      <c r="H115" s="122"/>
      <c r="I115" s="121"/>
      <c r="J115" s="121"/>
      <c r="K115" s="121"/>
    </row>
    <row r="116" spans="1:11" s="2" customFormat="1" ht="36" x14ac:dyDescent="0.2">
      <c r="A116" s="121"/>
      <c r="B116" s="153"/>
      <c r="C116" s="197" t="s">
        <v>656</v>
      </c>
      <c r="D116" s="207" t="s">
        <v>98</v>
      </c>
      <c r="E116" s="199">
        <v>2</v>
      </c>
      <c r="F116" s="200">
        <v>0</v>
      </c>
      <c r="G116" s="270">
        <f>E116*F116</f>
        <v>0</v>
      </c>
      <c r="H116" s="122"/>
      <c r="I116" s="121"/>
      <c r="J116" s="121"/>
      <c r="K116" s="121"/>
    </row>
    <row r="117" spans="1:11" s="2" customFormat="1" ht="24" x14ac:dyDescent="0.2">
      <c r="A117" s="121"/>
      <c r="B117" s="153"/>
      <c r="C117" s="197" t="s">
        <v>657</v>
      </c>
      <c r="D117" s="207" t="s">
        <v>98</v>
      </c>
      <c r="E117" s="199">
        <v>1</v>
      </c>
      <c r="F117" s="200">
        <v>0</v>
      </c>
      <c r="G117" s="270">
        <f>E117*F117</f>
        <v>0</v>
      </c>
      <c r="H117" s="122"/>
      <c r="I117" s="121"/>
      <c r="J117" s="121"/>
      <c r="K117" s="121"/>
    </row>
    <row r="118" spans="1:11" s="2" customFormat="1" x14ac:dyDescent="0.2">
      <c r="A118" s="121"/>
      <c r="B118" s="153"/>
      <c r="C118" s="197" t="s">
        <v>663</v>
      </c>
      <c r="D118" s="207" t="s">
        <v>98</v>
      </c>
      <c r="E118" s="199">
        <v>1</v>
      </c>
      <c r="F118" s="200">
        <v>0</v>
      </c>
      <c r="G118" s="270">
        <f>E118*F118</f>
        <v>0</v>
      </c>
      <c r="H118" s="122"/>
      <c r="I118" s="121"/>
      <c r="J118" s="121"/>
      <c r="K118" s="121"/>
    </row>
    <row r="119" spans="1:11" s="2" customFormat="1" x14ac:dyDescent="0.2">
      <c r="A119" s="121"/>
      <c r="B119" s="153">
        <v>8</v>
      </c>
      <c r="C119" s="357" t="s">
        <v>679</v>
      </c>
      <c r="D119" s="207"/>
      <c r="E119" s="199"/>
      <c r="F119" s="269"/>
      <c r="G119" s="270"/>
      <c r="H119" s="122"/>
      <c r="I119" s="121"/>
      <c r="J119" s="121"/>
      <c r="K119" s="121"/>
    </row>
    <row r="120" spans="1:11" s="2" customFormat="1" ht="48" x14ac:dyDescent="0.2">
      <c r="A120" s="121"/>
      <c r="B120" s="153"/>
      <c r="C120" s="311" t="s">
        <v>789</v>
      </c>
      <c r="D120" s="207" t="s">
        <v>98</v>
      </c>
      <c r="E120" s="199">
        <v>1</v>
      </c>
      <c r="F120" s="269">
        <v>0</v>
      </c>
      <c r="G120" s="270">
        <f>E120*F120</f>
        <v>0</v>
      </c>
      <c r="H120" s="122"/>
      <c r="I120" s="121"/>
      <c r="J120" s="121"/>
      <c r="K120" s="121"/>
    </row>
    <row r="121" spans="1:11" s="2" customFormat="1" ht="36" x14ac:dyDescent="0.2">
      <c r="A121" s="121"/>
      <c r="B121" s="153"/>
      <c r="C121" s="311" t="s">
        <v>790</v>
      </c>
      <c r="D121" s="207" t="s">
        <v>98</v>
      </c>
      <c r="E121" s="199">
        <v>1</v>
      </c>
      <c r="F121" s="269">
        <v>0</v>
      </c>
      <c r="G121" s="270">
        <f>E121*F121</f>
        <v>0</v>
      </c>
      <c r="H121" s="122"/>
      <c r="I121" s="121"/>
      <c r="J121" s="121"/>
      <c r="K121" s="121"/>
    </row>
    <row r="122" spans="1:11" s="2" customFormat="1" ht="36" x14ac:dyDescent="0.2">
      <c r="A122" s="121"/>
      <c r="B122" s="153"/>
      <c r="C122" s="311" t="s">
        <v>791</v>
      </c>
      <c r="D122" s="207" t="s">
        <v>98</v>
      </c>
      <c r="E122" s="199">
        <v>1</v>
      </c>
      <c r="F122" s="269">
        <v>0</v>
      </c>
      <c r="G122" s="270">
        <f>E122*F122</f>
        <v>0</v>
      </c>
      <c r="H122" s="122"/>
      <c r="I122" s="121"/>
      <c r="J122" s="121"/>
      <c r="K122" s="121"/>
    </row>
    <row r="123" spans="1:11" s="2" customFormat="1" ht="36" x14ac:dyDescent="0.2">
      <c r="A123" s="121"/>
      <c r="B123" s="153"/>
      <c r="C123" s="311" t="s">
        <v>792</v>
      </c>
      <c r="D123" s="207" t="s">
        <v>98</v>
      </c>
      <c r="E123" s="199">
        <v>1</v>
      </c>
      <c r="F123" s="269">
        <v>0</v>
      </c>
      <c r="G123" s="270">
        <f>E123*F123</f>
        <v>0</v>
      </c>
      <c r="H123" s="122"/>
      <c r="I123" s="121"/>
      <c r="J123" s="121"/>
      <c r="K123" s="121"/>
    </row>
    <row r="124" spans="1:11" s="9" customFormat="1" ht="23.25" customHeight="1" x14ac:dyDescent="0.25">
      <c r="A124" s="147"/>
      <c r="B124" s="327" t="s">
        <v>18</v>
      </c>
      <c r="C124" s="214" t="s">
        <v>818</v>
      </c>
      <c r="D124" s="214"/>
      <c r="E124" s="215"/>
      <c r="F124" s="216"/>
      <c r="G124" s="290">
        <f>SUM(G50:G123)</f>
        <v>0</v>
      </c>
      <c r="H124" s="150"/>
      <c r="I124" s="147"/>
      <c r="J124" s="147"/>
      <c r="K124" s="147"/>
    </row>
  </sheetData>
  <mergeCells count="7">
    <mergeCell ref="B48:G48"/>
    <mergeCell ref="B42:G42"/>
    <mergeCell ref="B43:G43"/>
    <mergeCell ref="B44:G44"/>
    <mergeCell ref="B45:G45"/>
    <mergeCell ref="B46:G46"/>
    <mergeCell ref="B47:G47"/>
  </mergeCells>
  <pageMargins left="0.7" right="0.7" top="0.75" bottom="0.75" header="0.3" footer="0.3"/>
  <pageSetup paperSize="9" scale="85" orientation="portrait" r:id="rId1"/>
  <headerFooter alignWithMargins="0">
    <oddFooter>&amp;C&amp;8&amp;P/&amp;N</oddFooter>
  </headerFooter>
  <rowBreaks count="1" manualBreakCount="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BEDD-2470-415A-9B0C-33A8E8D9C44F}">
  <sheetPr codeName="Sheet24">
    <tabColor rgb="FFFFC000"/>
  </sheetPr>
  <dimension ref="A2:L96"/>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701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814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G96</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12</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10" t="s">
        <v>123</v>
      </c>
      <c r="E54" s="199">
        <v>1</v>
      </c>
      <c r="F54" s="269">
        <v>0</v>
      </c>
      <c r="G54" s="270">
        <f t="shared" ref="G54:G59" si="2">E54*F54</f>
        <v>0</v>
      </c>
      <c r="H54" s="122"/>
      <c r="I54" s="121"/>
      <c r="J54" s="121"/>
      <c r="K54" s="121"/>
      <c r="L54" s="121"/>
    </row>
    <row r="55" spans="1:12" s="2" customFormat="1" ht="60" x14ac:dyDescent="0.2">
      <c r="A55" s="121"/>
      <c r="B55" s="153"/>
      <c r="C55" s="311" t="s">
        <v>772</v>
      </c>
      <c r="D55" s="10"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774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816</v>
      </c>
      <c r="D61" s="10" t="s">
        <v>98</v>
      </c>
      <c r="E61" s="199">
        <v>1</v>
      </c>
      <c r="F61" s="269">
        <v>0</v>
      </c>
      <c r="G61" s="270">
        <f>E61*F61</f>
        <v>0</v>
      </c>
      <c r="H61" s="122"/>
      <c r="I61" s="121"/>
      <c r="J61" s="121"/>
      <c r="K61" s="121"/>
      <c r="L61" s="121"/>
    </row>
    <row r="62" spans="1:12" s="2" customFormat="1" ht="72" x14ac:dyDescent="0.2">
      <c r="A62" s="121"/>
      <c r="B62" s="153"/>
      <c r="C62" s="311" t="s">
        <v>777</v>
      </c>
      <c r="D62" s="10"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10"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ht="96" x14ac:dyDescent="0.2">
      <c r="A68" s="121"/>
      <c r="B68" s="153"/>
      <c r="C68" s="311" t="s">
        <v>783</v>
      </c>
      <c r="D68" s="10" t="s">
        <v>123</v>
      </c>
      <c r="E68" s="199">
        <v>1</v>
      </c>
      <c r="F68" s="269">
        <v>0</v>
      </c>
      <c r="G68" s="270">
        <f>E68*F68</f>
        <v>0</v>
      </c>
      <c r="H68" s="122"/>
      <c r="I68" s="121"/>
      <c r="J68" s="121"/>
      <c r="K68" s="121"/>
      <c r="L68" s="121"/>
    </row>
    <row r="69" spans="1:12" x14ac:dyDescent="0.2">
      <c r="A69" s="121"/>
      <c r="B69" s="153">
        <v>5</v>
      </c>
      <c r="C69" s="357" t="s">
        <v>784</v>
      </c>
      <c r="D69" s="207"/>
      <c r="E69" s="199"/>
      <c r="F69" s="269"/>
      <c r="G69" s="270"/>
      <c r="H69" s="122"/>
      <c r="I69" s="121"/>
      <c r="J69" s="121"/>
      <c r="K69" s="121"/>
      <c r="L69" s="121"/>
    </row>
    <row r="70" spans="1:12" x14ac:dyDescent="0.2">
      <c r="A70" s="121"/>
      <c r="B70" s="153"/>
      <c r="C70" s="311" t="s">
        <v>645</v>
      </c>
      <c r="D70" s="207" t="s">
        <v>644</v>
      </c>
      <c r="E70" s="199">
        <v>15</v>
      </c>
      <c r="F70" s="269">
        <v>0</v>
      </c>
      <c r="G70" s="270">
        <f t="shared" ref="G70:G77" si="3">E70*F70</f>
        <v>0</v>
      </c>
      <c r="H70" s="122"/>
      <c r="I70" s="121"/>
      <c r="J70" s="121"/>
      <c r="K70" s="121"/>
      <c r="L70" s="121"/>
    </row>
    <row r="71" spans="1:12" x14ac:dyDescent="0.2">
      <c r="A71" s="121"/>
      <c r="B71" s="153"/>
      <c r="C71" s="311" t="s">
        <v>646</v>
      </c>
      <c r="D71" s="207" t="s">
        <v>644</v>
      </c>
      <c r="E71" s="199">
        <v>50</v>
      </c>
      <c r="F71" s="269">
        <v>0</v>
      </c>
      <c r="G71" s="270">
        <f t="shared" si="3"/>
        <v>0</v>
      </c>
      <c r="H71" s="122"/>
      <c r="I71" s="121"/>
      <c r="J71" s="121"/>
      <c r="K71" s="121"/>
      <c r="L71" s="121"/>
    </row>
    <row r="72" spans="1:12" x14ac:dyDescent="0.2">
      <c r="A72" s="121"/>
      <c r="B72" s="153"/>
      <c r="C72" s="311" t="s">
        <v>647</v>
      </c>
      <c r="D72" s="207" t="s">
        <v>644</v>
      </c>
      <c r="E72" s="199">
        <v>25</v>
      </c>
      <c r="F72" s="269">
        <v>0</v>
      </c>
      <c r="G72" s="270">
        <f t="shared" si="3"/>
        <v>0</v>
      </c>
      <c r="H72" s="122"/>
      <c r="I72" s="121"/>
      <c r="J72" s="121"/>
      <c r="K72" s="121"/>
      <c r="L72" s="121"/>
    </row>
    <row r="73" spans="1:12" x14ac:dyDescent="0.2">
      <c r="A73" s="121"/>
      <c r="B73" s="153"/>
      <c r="C73" s="311" t="s">
        <v>648</v>
      </c>
      <c r="D73" s="207" t="s">
        <v>644</v>
      </c>
      <c r="E73" s="199">
        <v>15</v>
      </c>
      <c r="F73" s="269">
        <v>0</v>
      </c>
      <c r="G73" s="270">
        <f t="shared" si="3"/>
        <v>0</v>
      </c>
      <c r="H73" s="122"/>
      <c r="I73" s="121"/>
      <c r="J73" s="121"/>
      <c r="K73" s="121"/>
      <c r="L73" s="121"/>
    </row>
    <row r="74" spans="1:12" x14ac:dyDescent="0.2">
      <c r="A74" s="121"/>
      <c r="B74" s="153"/>
      <c r="C74" s="311" t="s">
        <v>650</v>
      </c>
      <c r="D74" s="207" t="s">
        <v>123</v>
      </c>
      <c r="E74" s="199">
        <v>2</v>
      </c>
      <c r="F74" s="269">
        <v>0</v>
      </c>
      <c r="G74" s="270">
        <f t="shared" si="3"/>
        <v>0</v>
      </c>
      <c r="H74" s="122"/>
      <c r="I74" s="121"/>
      <c r="J74" s="121"/>
      <c r="K74" s="121"/>
      <c r="L74" s="121"/>
    </row>
    <row r="75" spans="1:12" x14ac:dyDescent="0.2">
      <c r="A75" s="121"/>
      <c r="B75" s="153"/>
      <c r="C75" s="311" t="s">
        <v>651</v>
      </c>
      <c r="D75" s="207" t="s">
        <v>644</v>
      </c>
      <c r="E75" s="199">
        <v>20</v>
      </c>
      <c r="F75" s="269">
        <v>0</v>
      </c>
      <c r="G75" s="270">
        <f t="shared" si="3"/>
        <v>0</v>
      </c>
      <c r="H75" s="122"/>
      <c r="I75" s="121"/>
      <c r="J75" s="121"/>
      <c r="K75" s="121"/>
      <c r="L75" s="121"/>
    </row>
    <row r="76" spans="1:12" x14ac:dyDescent="0.2">
      <c r="A76" s="121"/>
      <c r="B76" s="153"/>
      <c r="C76" s="311" t="s">
        <v>652</v>
      </c>
      <c r="D76" s="207" t="s">
        <v>644</v>
      </c>
      <c r="E76" s="199">
        <v>15</v>
      </c>
      <c r="F76" s="269">
        <v>0</v>
      </c>
      <c r="G76" s="270">
        <f t="shared" si="3"/>
        <v>0</v>
      </c>
      <c r="H76" s="122"/>
      <c r="I76" s="121"/>
      <c r="J76" s="121"/>
      <c r="K76" s="121"/>
      <c r="L76" s="121"/>
    </row>
    <row r="77" spans="1:12" x14ac:dyDescent="0.2">
      <c r="A77" s="121"/>
      <c r="B77" s="153"/>
      <c r="C77" s="311" t="s">
        <v>632</v>
      </c>
      <c r="D77" s="207" t="s">
        <v>98</v>
      </c>
      <c r="E77" s="199">
        <v>1</v>
      </c>
      <c r="F77" s="269">
        <v>0</v>
      </c>
      <c r="G77" s="270">
        <f t="shared" si="3"/>
        <v>0</v>
      </c>
      <c r="H77" s="122"/>
      <c r="I77" s="121"/>
      <c r="J77" s="121"/>
      <c r="K77" s="121"/>
      <c r="L77" s="121"/>
    </row>
    <row r="78" spans="1:12" s="11" customFormat="1" x14ac:dyDescent="0.2">
      <c r="B78" s="153">
        <v>6</v>
      </c>
      <c r="C78" s="357" t="s">
        <v>785</v>
      </c>
      <c r="D78" s="15"/>
      <c r="E78" s="419"/>
      <c r="F78" s="14"/>
      <c r="G78" s="13"/>
      <c r="H78" s="12"/>
    </row>
    <row r="79" spans="1:12" s="11" customFormat="1" ht="24" x14ac:dyDescent="0.2">
      <c r="B79" s="153"/>
      <c r="C79" s="311" t="s">
        <v>666</v>
      </c>
      <c r="D79" s="207" t="s">
        <v>644</v>
      </c>
      <c r="E79" s="199">
        <v>8</v>
      </c>
      <c r="F79" s="269">
        <v>0</v>
      </c>
      <c r="G79" s="270">
        <f t="shared" ref="G79:G85" si="4">E79*F79</f>
        <v>0</v>
      </c>
      <c r="H79" s="12"/>
    </row>
    <row r="80" spans="1:12" s="11" customFormat="1" x14ac:dyDescent="0.2">
      <c r="B80" s="153"/>
      <c r="C80" s="311" t="s">
        <v>667</v>
      </c>
      <c r="D80" s="207" t="s">
        <v>644</v>
      </c>
      <c r="E80" s="199">
        <v>50</v>
      </c>
      <c r="F80" s="269">
        <v>0</v>
      </c>
      <c r="G80" s="270">
        <f t="shared" si="4"/>
        <v>0</v>
      </c>
      <c r="H80" s="12"/>
    </row>
    <row r="81" spans="2:8" s="11" customFormat="1" x14ac:dyDescent="0.2">
      <c r="B81" s="153"/>
      <c r="C81" s="311" t="s">
        <v>668</v>
      </c>
      <c r="D81" s="207" t="s">
        <v>644</v>
      </c>
      <c r="E81" s="199">
        <v>20</v>
      </c>
      <c r="F81" s="269">
        <v>0</v>
      </c>
      <c r="G81" s="270">
        <f t="shared" si="4"/>
        <v>0</v>
      </c>
      <c r="H81" s="12"/>
    </row>
    <row r="82" spans="2:8" s="11" customFormat="1" x14ac:dyDescent="0.2">
      <c r="B82" s="153"/>
      <c r="C82" s="311" t="s">
        <v>673</v>
      </c>
      <c r="D82" s="207" t="s">
        <v>123</v>
      </c>
      <c r="E82" s="199">
        <v>1</v>
      </c>
      <c r="F82" s="269">
        <v>0</v>
      </c>
      <c r="G82" s="270">
        <f t="shared" si="4"/>
        <v>0</v>
      </c>
      <c r="H82" s="12"/>
    </row>
    <row r="83" spans="2:8" s="11" customFormat="1" x14ac:dyDescent="0.2">
      <c r="B83" s="153"/>
      <c r="C83" s="311" t="s">
        <v>675</v>
      </c>
      <c r="D83" s="207" t="s">
        <v>123</v>
      </c>
      <c r="E83" s="199">
        <v>3</v>
      </c>
      <c r="F83" s="269">
        <v>0</v>
      </c>
      <c r="G83" s="270">
        <f t="shared" si="4"/>
        <v>0</v>
      </c>
      <c r="H83" s="12"/>
    </row>
    <row r="84" spans="2:8" s="11" customFormat="1" x14ac:dyDescent="0.2">
      <c r="B84" s="153"/>
      <c r="C84" s="311" t="s">
        <v>676</v>
      </c>
      <c r="D84" s="207" t="s">
        <v>123</v>
      </c>
      <c r="E84" s="199">
        <v>2</v>
      </c>
      <c r="F84" s="269">
        <v>0</v>
      </c>
      <c r="G84" s="270">
        <f t="shared" si="4"/>
        <v>0</v>
      </c>
      <c r="H84" s="12"/>
    </row>
    <row r="85" spans="2:8" s="11" customFormat="1" ht="24" x14ac:dyDescent="0.2">
      <c r="B85" s="153"/>
      <c r="C85" s="311" t="s">
        <v>677</v>
      </c>
      <c r="D85" s="207" t="s">
        <v>123</v>
      </c>
      <c r="E85" s="199">
        <v>1</v>
      </c>
      <c r="F85" s="269">
        <v>0</v>
      </c>
      <c r="G85" s="270">
        <f t="shared" si="4"/>
        <v>0</v>
      </c>
      <c r="H85" s="12"/>
    </row>
    <row r="86" spans="2:8" x14ac:dyDescent="0.2">
      <c r="B86" s="153">
        <v>7</v>
      </c>
      <c r="C86" s="357" t="s">
        <v>788</v>
      </c>
      <c r="D86" s="207"/>
      <c r="E86" s="199"/>
      <c r="F86" s="269"/>
      <c r="G86" s="270"/>
      <c r="H86" s="122"/>
    </row>
    <row r="87" spans="2:8" x14ac:dyDescent="0.2">
      <c r="B87" s="153"/>
      <c r="C87" s="197" t="s">
        <v>655</v>
      </c>
      <c r="D87" s="207" t="s">
        <v>644</v>
      </c>
      <c r="E87" s="199">
        <v>10</v>
      </c>
      <c r="F87" s="269">
        <v>0</v>
      </c>
      <c r="G87" s="270">
        <f>E87*F87</f>
        <v>0</v>
      </c>
      <c r="H87" s="122"/>
    </row>
    <row r="88" spans="2:8" ht="36" x14ac:dyDescent="0.2">
      <c r="B88" s="153"/>
      <c r="C88" s="197" t="s">
        <v>656</v>
      </c>
      <c r="D88" s="207" t="s">
        <v>98</v>
      </c>
      <c r="E88" s="199">
        <v>1</v>
      </c>
      <c r="F88" s="269">
        <v>0</v>
      </c>
      <c r="G88" s="270">
        <f>E88*F88</f>
        <v>0</v>
      </c>
      <c r="H88" s="122"/>
    </row>
    <row r="89" spans="2:8" ht="24" x14ac:dyDescent="0.2">
      <c r="B89" s="153"/>
      <c r="C89" s="197" t="s">
        <v>657</v>
      </c>
      <c r="D89" s="207" t="s">
        <v>98</v>
      </c>
      <c r="E89" s="199">
        <v>1</v>
      </c>
      <c r="F89" s="269">
        <v>0</v>
      </c>
      <c r="G89" s="270">
        <f>E89*F89</f>
        <v>0</v>
      </c>
      <c r="H89" s="122"/>
    </row>
    <row r="90" spans="2:8" x14ac:dyDescent="0.2">
      <c r="B90" s="153"/>
      <c r="C90" s="197" t="s">
        <v>663</v>
      </c>
      <c r="D90" s="207" t="s">
        <v>98</v>
      </c>
      <c r="E90" s="199">
        <v>1</v>
      </c>
      <c r="F90" s="269">
        <v>0</v>
      </c>
      <c r="G90" s="270">
        <f>E90*F90</f>
        <v>0</v>
      </c>
      <c r="H90" s="122"/>
    </row>
    <row r="91" spans="2:8" x14ac:dyDescent="0.2">
      <c r="B91" s="153">
        <v>8</v>
      </c>
      <c r="C91" s="357" t="s">
        <v>679</v>
      </c>
      <c r="D91" s="207"/>
      <c r="E91" s="199"/>
      <c r="F91" s="269"/>
      <c r="G91" s="270"/>
      <c r="H91" s="122"/>
    </row>
    <row r="92" spans="2:8" ht="48" x14ac:dyDescent="0.2">
      <c r="B92" s="153"/>
      <c r="C92" s="311" t="s">
        <v>817</v>
      </c>
      <c r="D92" s="10" t="s">
        <v>98</v>
      </c>
      <c r="E92" s="199">
        <v>1</v>
      </c>
      <c r="F92" s="269">
        <v>0</v>
      </c>
      <c r="G92" s="270">
        <f>E92*F92</f>
        <v>0</v>
      </c>
      <c r="H92" s="122"/>
    </row>
    <row r="93" spans="2:8" ht="36" x14ac:dyDescent="0.2">
      <c r="B93" s="153"/>
      <c r="C93" s="311" t="s">
        <v>790</v>
      </c>
      <c r="D93" s="10" t="s">
        <v>98</v>
      </c>
      <c r="E93" s="199">
        <v>1</v>
      </c>
      <c r="F93" s="269">
        <v>0</v>
      </c>
      <c r="G93" s="270">
        <f>E93*F93</f>
        <v>0</v>
      </c>
      <c r="H93" s="122"/>
    </row>
    <row r="94" spans="2:8" ht="36" x14ac:dyDescent="0.2">
      <c r="B94" s="153"/>
      <c r="C94" s="311" t="s">
        <v>791</v>
      </c>
      <c r="D94" s="10" t="s">
        <v>98</v>
      </c>
      <c r="E94" s="199">
        <v>1</v>
      </c>
      <c r="F94" s="269">
        <v>0</v>
      </c>
      <c r="G94" s="270">
        <f>E94*F94</f>
        <v>0</v>
      </c>
      <c r="H94" s="122"/>
    </row>
    <row r="95" spans="2:8" ht="36" x14ac:dyDescent="0.2">
      <c r="B95" s="153"/>
      <c r="C95" s="311" t="s">
        <v>792</v>
      </c>
      <c r="D95" s="10" t="s">
        <v>98</v>
      </c>
      <c r="E95" s="199">
        <v>1</v>
      </c>
      <c r="F95" s="269">
        <v>0</v>
      </c>
      <c r="G95" s="270">
        <f>E95*F95</f>
        <v>0</v>
      </c>
      <c r="H95" s="122"/>
    </row>
    <row r="96" spans="2:8" s="9" customFormat="1" ht="23.25" customHeight="1" x14ac:dyDescent="0.25">
      <c r="B96" s="327" t="s">
        <v>18</v>
      </c>
      <c r="C96" s="214" t="s">
        <v>818</v>
      </c>
      <c r="D96" s="214"/>
      <c r="E96" s="215"/>
      <c r="F96" s="216"/>
      <c r="G96" s="290">
        <f>SUM(G30:G95)</f>
        <v>0</v>
      </c>
      <c r="H96" s="150"/>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D7E5-72C4-4C32-BB08-AFEAF349907C}">
  <sheetPr codeName="Sheet41">
    <tabColor theme="0" tint="-0.14999847407452621"/>
  </sheetPr>
  <dimension ref="A2:L123"/>
  <sheetViews>
    <sheetView showZeros="0" topLeftCell="A19" zoomScale="110" zoomScaleNormal="110" workbookViewId="0">
      <selection activeCell="B47" sqref="B47:G4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2188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2532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331" customFormat="1" ht="18.75" customHeight="1" x14ac:dyDescent="0.25">
      <c r="B15" s="332" t="s">
        <v>17</v>
      </c>
      <c r="C15" s="340" t="s">
        <v>87</v>
      </c>
      <c r="D15" s="341"/>
      <c r="E15" s="342"/>
      <c r="F15" s="343"/>
      <c r="G15" s="20">
        <f>G39</f>
        <v>0</v>
      </c>
      <c r="H15" s="18"/>
    </row>
    <row r="16" spans="1:12" s="17" customFormat="1" ht="18.75" customHeight="1" x14ac:dyDescent="0.25">
      <c r="A16" s="331"/>
      <c r="B16" s="332" t="s">
        <v>18</v>
      </c>
      <c r="C16" s="340" t="s">
        <v>367</v>
      </c>
      <c r="D16" s="341"/>
      <c r="E16" s="342"/>
      <c r="F16" s="343"/>
      <c r="G16" s="20">
        <f>G123</f>
        <v>0</v>
      </c>
      <c r="H16" s="18"/>
      <c r="I16" s="331"/>
      <c r="J16" s="331"/>
      <c r="K16" s="331"/>
      <c r="L16" s="331"/>
    </row>
    <row r="17" spans="2:9" s="17" customFormat="1" ht="18.75" customHeight="1" x14ac:dyDescent="0.25">
      <c r="B17" s="333"/>
      <c r="C17" s="344" t="s">
        <v>88</v>
      </c>
      <c r="D17" s="345"/>
      <c r="E17" s="346"/>
      <c r="F17" s="347"/>
      <c r="G17" s="19">
        <f>SUM(G15:G16)</f>
        <v>0</v>
      </c>
      <c r="H17" s="18"/>
      <c r="I17" s="331"/>
    </row>
    <row r="18" spans="2:9" x14ac:dyDescent="0.2">
      <c r="B18" s="127"/>
      <c r="C18" s="183"/>
      <c r="D18" s="184"/>
      <c r="E18" s="185"/>
      <c r="F18" s="186"/>
      <c r="G18" s="187"/>
      <c r="H18" s="122"/>
      <c r="I18" s="121"/>
    </row>
    <row r="19" spans="2:9" ht="24" x14ac:dyDescent="0.2">
      <c r="B19" s="128" t="s">
        <v>83</v>
      </c>
      <c r="C19" s="192" t="s">
        <v>89</v>
      </c>
      <c r="D19" s="193" t="s">
        <v>90</v>
      </c>
      <c r="E19" s="194" t="s">
        <v>91</v>
      </c>
      <c r="F19" s="195" t="s">
        <v>92</v>
      </c>
      <c r="G19" s="196" t="s">
        <v>93</v>
      </c>
      <c r="H19" s="122"/>
      <c r="I19" s="121"/>
    </row>
    <row r="20" spans="2:9" s="121" customFormat="1" x14ac:dyDescent="0.2">
      <c r="B20" s="127"/>
      <c r="C20" s="183"/>
      <c r="D20" s="184"/>
      <c r="E20" s="185"/>
      <c r="F20" s="186"/>
      <c r="G20" s="187"/>
      <c r="H20" s="122"/>
    </row>
    <row r="21" spans="2:9" s="136" customFormat="1" ht="25.5" customHeight="1" x14ac:dyDescent="0.3">
      <c r="B21" s="293" t="s">
        <v>17</v>
      </c>
      <c r="C21" s="294" t="s">
        <v>87</v>
      </c>
      <c r="D21" s="218"/>
      <c r="E21" s="203"/>
      <c r="F21" s="204"/>
      <c r="G21" s="290"/>
      <c r="H21" s="565"/>
      <c r="I21" s="1422"/>
    </row>
    <row r="22" spans="2:9" s="121" customFormat="1" x14ac:dyDescent="0.2">
      <c r="B22" s="2487"/>
      <c r="C22" s="272" t="s">
        <v>2190</v>
      </c>
      <c r="D22" s="272" t="s">
        <v>149</v>
      </c>
      <c r="E22" s="272">
        <v>5</v>
      </c>
      <c r="F22" s="272">
        <v>0</v>
      </c>
      <c r="G22" s="272">
        <f>F22*E22</f>
        <v>0</v>
      </c>
      <c r="H22" s="565"/>
    </row>
    <row r="23" spans="2:9" s="121" customFormat="1" x14ac:dyDescent="0.2">
      <c r="B23" s="2487"/>
      <c r="C23" s="272" t="s">
        <v>2191</v>
      </c>
      <c r="D23" s="272" t="s">
        <v>149</v>
      </c>
      <c r="E23" s="272">
        <v>1</v>
      </c>
      <c r="F23" s="272">
        <v>0</v>
      </c>
      <c r="G23" s="272">
        <f t="shared" ref="G23:G38" si="0">F23*E23</f>
        <v>0</v>
      </c>
      <c r="H23" s="565"/>
    </row>
    <row r="24" spans="2:9" s="121" customFormat="1" x14ac:dyDescent="0.2">
      <c r="B24" s="2487"/>
      <c r="C24" s="272" t="s">
        <v>2192</v>
      </c>
      <c r="D24" s="272" t="s">
        <v>149</v>
      </c>
      <c r="E24" s="272">
        <v>5</v>
      </c>
      <c r="F24" s="272">
        <v>0</v>
      </c>
      <c r="G24" s="272">
        <f t="shared" si="0"/>
        <v>0</v>
      </c>
      <c r="H24" s="565"/>
    </row>
    <row r="25" spans="2:9" s="121" customFormat="1" x14ac:dyDescent="0.2">
      <c r="B25" s="2487"/>
      <c r="C25" s="272" t="s">
        <v>2193</v>
      </c>
      <c r="D25" s="272" t="s">
        <v>149</v>
      </c>
      <c r="E25" s="272">
        <v>1</v>
      </c>
      <c r="F25" s="272">
        <v>0</v>
      </c>
      <c r="G25" s="272">
        <f t="shared" si="0"/>
        <v>0</v>
      </c>
      <c r="H25" s="565"/>
    </row>
    <row r="26" spans="2:9" s="121" customFormat="1" x14ac:dyDescent="0.2">
      <c r="B26" s="2487"/>
      <c r="C26" s="272" t="s">
        <v>2194</v>
      </c>
      <c r="D26" s="272" t="s">
        <v>149</v>
      </c>
      <c r="E26" s="272">
        <v>2</v>
      </c>
      <c r="F26" s="272">
        <v>0</v>
      </c>
      <c r="G26" s="272">
        <f t="shared" si="0"/>
        <v>0</v>
      </c>
      <c r="H26" s="565"/>
    </row>
    <row r="27" spans="2:9" s="121" customFormat="1" x14ac:dyDescent="0.2">
      <c r="B27" s="2487"/>
      <c r="C27" s="272" t="s">
        <v>2195</v>
      </c>
      <c r="D27" s="272" t="s">
        <v>149</v>
      </c>
      <c r="E27" s="272">
        <v>5</v>
      </c>
      <c r="F27" s="272">
        <v>0</v>
      </c>
      <c r="G27" s="272">
        <f t="shared" si="0"/>
        <v>0</v>
      </c>
      <c r="H27" s="565"/>
    </row>
    <row r="28" spans="2:9" s="121" customFormat="1" ht="43.5" customHeight="1" x14ac:dyDescent="0.2">
      <c r="B28" s="2487"/>
      <c r="C28" s="2489" t="s">
        <v>1519</v>
      </c>
      <c r="D28" s="272" t="s">
        <v>149</v>
      </c>
      <c r="E28" s="272">
        <v>1</v>
      </c>
      <c r="F28" s="272">
        <v>0</v>
      </c>
      <c r="G28" s="272">
        <f t="shared" si="0"/>
        <v>0</v>
      </c>
      <c r="H28" s="565"/>
    </row>
    <row r="29" spans="2:9" s="121" customFormat="1" x14ac:dyDescent="0.2">
      <c r="B29" s="2487"/>
      <c r="C29" s="272" t="s">
        <v>2196</v>
      </c>
      <c r="D29" s="272" t="s">
        <v>149</v>
      </c>
      <c r="E29" s="272">
        <v>1</v>
      </c>
      <c r="F29" s="272">
        <v>0</v>
      </c>
      <c r="G29" s="272">
        <f t="shared" si="0"/>
        <v>0</v>
      </c>
      <c r="H29" s="565"/>
    </row>
    <row r="30" spans="2:9" s="121" customFormat="1" x14ac:dyDescent="0.2">
      <c r="B30" s="2487"/>
      <c r="C30" s="272" t="s">
        <v>2197</v>
      </c>
      <c r="D30" s="272" t="s">
        <v>149</v>
      </c>
      <c r="E30" s="272">
        <v>1</v>
      </c>
      <c r="F30" s="272">
        <v>0</v>
      </c>
      <c r="G30" s="272">
        <f t="shared" si="0"/>
        <v>0</v>
      </c>
      <c r="H30" s="565"/>
    </row>
    <row r="31" spans="2:9" s="121" customFormat="1" x14ac:dyDescent="0.2">
      <c r="B31" s="2487"/>
      <c r="C31" s="272" t="s">
        <v>2198</v>
      </c>
      <c r="D31" s="272" t="s">
        <v>149</v>
      </c>
      <c r="E31" s="272">
        <v>1</v>
      </c>
      <c r="F31" s="272">
        <v>0</v>
      </c>
      <c r="G31" s="272">
        <f t="shared" si="0"/>
        <v>0</v>
      </c>
      <c r="H31" s="565"/>
    </row>
    <row r="32" spans="2:9" s="121" customFormat="1" x14ac:dyDescent="0.2">
      <c r="B32" s="2487"/>
      <c r="C32" s="272" t="s">
        <v>2199</v>
      </c>
      <c r="D32" s="272" t="s">
        <v>149</v>
      </c>
      <c r="E32" s="272">
        <v>2</v>
      </c>
      <c r="F32" s="272">
        <v>0</v>
      </c>
      <c r="G32" s="272">
        <f t="shared" si="0"/>
        <v>0</v>
      </c>
      <c r="H32" s="565"/>
    </row>
    <row r="33" spans="2:9" s="121" customFormat="1" x14ac:dyDescent="0.2">
      <c r="B33" s="2487"/>
      <c r="C33" s="272" t="s">
        <v>899</v>
      </c>
      <c r="D33" s="272" t="s">
        <v>149</v>
      </c>
      <c r="E33" s="272">
        <v>2</v>
      </c>
      <c r="F33" s="272">
        <v>0</v>
      </c>
      <c r="G33" s="272">
        <f t="shared" si="0"/>
        <v>0</v>
      </c>
      <c r="H33" s="565"/>
    </row>
    <row r="34" spans="2:9" s="121" customFormat="1" x14ac:dyDescent="0.2">
      <c r="B34" s="2487"/>
      <c r="C34" s="272" t="s">
        <v>2200</v>
      </c>
      <c r="D34" s="272" t="s">
        <v>149</v>
      </c>
      <c r="E34" s="272">
        <v>1</v>
      </c>
      <c r="F34" s="272">
        <v>0</v>
      </c>
      <c r="G34" s="272">
        <f t="shared" si="0"/>
        <v>0</v>
      </c>
      <c r="H34" s="565"/>
    </row>
    <row r="35" spans="2:9" s="121" customFormat="1" x14ac:dyDescent="0.2">
      <c r="B35" s="2487"/>
      <c r="C35" s="272" t="s">
        <v>2201</v>
      </c>
      <c r="D35" s="272" t="s">
        <v>149</v>
      </c>
      <c r="E35" s="272">
        <v>1</v>
      </c>
      <c r="F35" s="272">
        <v>0</v>
      </c>
      <c r="G35" s="272">
        <f t="shared" si="0"/>
        <v>0</v>
      </c>
      <c r="H35" s="565"/>
    </row>
    <row r="36" spans="2:9" s="121" customFormat="1" x14ac:dyDescent="0.2">
      <c r="B36" s="2478"/>
      <c r="C36" s="272" t="s">
        <v>2202</v>
      </c>
      <c r="D36" s="272" t="s">
        <v>149</v>
      </c>
      <c r="E36" s="272">
        <v>2</v>
      </c>
      <c r="F36" s="272">
        <v>0</v>
      </c>
      <c r="G36" s="272">
        <f t="shared" si="0"/>
        <v>0</v>
      </c>
      <c r="H36" s="565"/>
    </row>
    <row r="37" spans="2:9" s="121" customFormat="1" x14ac:dyDescent="0.2">
      <c r="B37" s="2478"/>
      <c r="C37" s="272" t="s">
        <v>2203</v>
      </c>
      <c r="D37" s="272" t="s">
        <v>149</v>
      </c>
      <c r="E37" s="272">
        <v>1</v>
      </c>
      <c r="F37" s="272">
        <v>0</v>
      </c>
      <c r="G37" s="272">
        <f t="shared" si="0"/>
        <v>0</v>
      </c>
      <c r="H37" s="565"/>
    </row>
    <row r="38" spans="2:9" s="121" customFormat="1" x14ac:dyDescent="0.2">
      <c r="B38" s="2478"/>
      <c r="C38" s="272" t="s">
        <v>2204</v>
      </c>
      <c r="D38" s="272" t="s">
        <v>149</v>
      </c>
      <c r="E38" s="272">
        <v>1</v>
      </c>
      <c r="F38" s="272">
        <v>0</v>
      </c>
      <c r="G38" s="272">
        <f t="shared" si="0"/>
        <v>0</v>
      </c>
      <c r="H38" s="565"/>
    </row>
    <row r="39" spans="2:9" s="136" customFormat="1" ht="25.5" customHeight="1" x14ac:dyDescent="0.3">
      <c r="B39" s="293" t="s">
        <v>17</v>
      </c>
      <c r="C39" s="294" t="s">
        <v>302</v>
      </c>
      <c r="D39" s="218"/>
      <c r="E39" s="203"/>
      <c r="F39" s="204"/>
      <c r="G39" s="290">
        <f>SUM(G22:G38)</f>
        <v>0</v>
      </c>
      <c r="H39" s="565"/>
      <c r="I39" s="1422"/>
    </row>
    <row r="40" spans="2:9" x14ac:dyDescent="0.2">
      <c r="B40" s="129"/>
      <c r="C40" s="197"/>
      <c r="D40" s="198"/>
      <c r="E40" s="199"/>
      <c r="F40" s="200"/>
      <c r="G40" s="201"/>
      <c r="H40" s="122"/>
      <c r="I40" s="121"/>
    </row>
    <row r="41" spans="2:9" s="16" customFormat="1" ht="20.25" x14ac:dyDescent="0.3">
      <c r="B41" s="303" t="s">
        <v>18</v>
      </c>
      <c r="C41" s="306" t="s">
        <v>367</v>
      </c>
      <c r="D41" s="305"/>
      <c r="E41" s="299"/>
      <c r="F41" s="300"/>
      <c r="G41" s="301"/>
      <c r="H41" s="302"/>
      <c r="I41" s="295"/>
    </row>
    <row r="42" spans="2:9" s="16" customFormat="1" ht="24" customHeight="1" x14ac:dyDescent="0.3">
      <c r="B42" s="3210" t="s">
        <v>539</v>
      </c>
      <c r="C42" s="3211"/>
      <c r="D42" s="3211"/>
      <c r="E42" s="3211"/>
      <c r="F42" s="3211"/>
      <c r="G42" s="3212"/>
      <c r="H42" s="302"/>
      <c r="I42" s="295"/>
    </row>
    <row r="43" spans="2:9" s="16" customFormat="1" ht="24" customHeight="1" x14ac:dyDescent="0.3">
      <c r="B43" s="3205" t="s">
        <v>540</v>
      </c>
      <c r="C43" s="3206"/>
      <c r="D43" s="3206"/>
      <c r="E43" s="3206"/>
      <c r="F43" s="3206"/>
      <c r="G43" s="3207"/>
      <c r="H43" s="302"/>
      <c r="I43" s="295"/>
    </row>
    <row r="44" spans="2:9" s="16" customFormat="1" ht="24" customHeight="1" x14ac:dyDescent="0.3">
      <c r="B44" s="3205" t="s">
        <v>541</v>
      </c>
      <c r="C44" s="3206"/>
      <c r="D44" s="3206"/>
      <c r="E44" s="3206"/>
      <c r="F44" s="3206"/>
      <c r="G44" s="3207"/>
      <c r="H44" s="302"/>
      <c r="I44" s="295"/>
    </row>
    <row r="45" spans="2:9" s="16" customFormat="1" ht="24" customHeight="1" x14ac:dyDescent="0.3">
      <c r="B45" s="3205" t="s">
        <v>542</v>
      </c>
      <c r="C45" s="3206"/>
      <c r="D45" s="3206"/>
      <c r="E45" s="3206"/>
      <c r="F45" s="3206"/>
      <c r="G45" s="3207"/>
      <c r="H45" s="302"/>
      <c r="I45" s="295"/>
    </row>
    <row r="46" spans="2:9" s="16" customFormat="1" ht="24" customHeight="1" x14ac:dyDescent="0.3">
      <c r="B46" s="3205" t="s">
        <v>543</v>
      </c>
      <c r="C46" s="3206"/>
      <c r="D46" s="3206"/>
      <c r="E46" s="3206"/>
      <c r="F46" s="3206"/>
      <c r="G46" s="3207"/>
      <c r="H46" s="302"/>
      <c r="I46" s="295"/>
    </row>
    <row r="47" spans="2:9" s="16" customFormat="1" ht="24" customHeight="1" x14ac:dyDescent="0.3">
      <c r="B47" s="3205" t="s">
        <v>544</v>
      </c>
      <c r="C47" s="3206"/>
      <c r="D47" s="3206"/>
      <c r="E47" s="3206"/>
      <c r="F47" s="3206"/>
      <c r="G47" s="3207"/>
      <c r="H47" s="302"/>
      <c r="I47" s="295"/>
    </row>
    <row r="48" spans="2:9" s="16" customFormat="1" ht="24" customHeight="1" x14ac:dyDescent="0.3">
      <c r="B48" s="3205" t="s">
        <v>545</v>
      </c>
      <c r="C48" s="3206"/>
      <c r="D48" s="3206"/>
      <c r="E48" s="3206"/>
      <c r="F48" s="3206"/>
      <c r="G48" s="3207"/>
      <c r="H48" s="302"/>
      <c r="I48" s="295"/>
    </row>
    <row r="49" spans="1:12" x14ac:dyDescent="0.2">
      <c r="A49" s="121"/>
      <c r="B49" s="153">
        <v>1</v>
      </c>
      <c r="C49" s="357" t="s">
        <v>550</v>
      </c>
      <c r="D49" s="207"/>
      <c r="E49" s="199"/>
      <c r="F49" s="269"/>
      <c r="G49" s="270"/>
      <c r="H49" s="122"/>
      <c r="I49" s="121"/>
      <c r="J49" s="121"/>
      <c r="K49" s="121"/>
      <c r="L49" s="121"/>
    </row>
    <row r="50" spans="1:12" ht="108" x14ac:dyDescent="0.2">
      <c r="A50" s="121"/>
      <c r="B50" s="153"/>
      <c r="C50" s="311" t="s">
        <v>815</v>
      </c>
      <c r="D50" s="10" t="s">
        <v>98</v>
      </c>
      <c r="E50" s="199">
        <v>1</v>
      </c>
      <c r="F50" s="269">
        <v>0</v>
      </c>
      <c r="G50" s="270">
        <f t="shared" ref="G50:G70" si="1">E50*F50</f>
        <v>0</v>
      </c>
      <c r="H50" s="122"/>
      <c r="I50" s="121"/>
      <c r="J50" s="121"/>
      <c r="K50" s="121"/>
      <c r="L50" s="121"/>
    </row>
    <row r="51" spans="1:12" ht="60" x14ac:dyDescent="0.2">
      <c r="A51" s="121"/>
      <c r="B51" s="153"/>
      <c r="C51" s="311" t="s">
        <v>751</v>
      </c>
      <c r="D51" s="10" t="s">
        <v>123</v>
      </c>
      <c r="E51" s="199">
        <v>1</v>
      </c>
      <c r="F51" s="269">
        <v>0</v>
      </c>
      <c r="G51" s="270">
        <f t="shared" si="1"/>
        <v>0</v>
      </c>
      <c r="H51" s="122"/>
      <c r="I51" s="121"/>
      <c r="J51" s="121"/>
      <c r="K51" s="121"/>
      <c r="L51" s="121"/>
    </row>
    <row r="52" spans="1:12" ht="60" x14ac:dyDescent="0.2">
      <c r="A52" s="121"/>
      <c r="B52" s="153"/>
      <c r="C52" s="311" t="s">
        <v>752</v>
      </c>
      <c r="D52" s="10" t="s">
        <v>123</v>
      </c>
      <c r="E52" s="199">
        <v>1</v>
      </c>
      <c r="F52" s="269">
        <v>0</v>
      </c>
      <c r="G52" s="270">
        <f t="shared" si="1"/>
        <v>0</v>
      </c>
      <c r="H52" s="122"/>
      <c r="I52" s="121"/>
      <c r="J52" s="121"/>
      <c r="K52" s="121"/>
      <c r="L52" s="121"/>
    </row>
    <row r="53" spans="1:12" ht="60" x14ac:dyDescent="0.2">
      <c r="A53" s="121"/>
      <c r="B53" s="153"/>
      <c r="C53" s="311" t="s">
        <v>753</v>
      </c>
      <c r="D53" s="10" t="s">
        <v>123</v>
      </c>
      <c r="E53" s="199">
        <v>2</v>
      </c>
      <c r="F53" s="269">
        <v>0</v>
      </c>
      <c r="G53" s="270">
        <f t="shared" si="1"/>
        <v>0</v>
      </c>
      <c r="H53" s="122"/>
      <c r="I53" s="121"/>
      <c r="J53" s="121"/>
      <c r="K53" s="121"/>
      <c r="L53" s="121"/>
    </row>
    <row r="54" spans="1:12" ht="60" x14ac:dyDescent="0.2">
      <c r="A54" s="121"/>
      <c r="B54" s="153"/>
      <c r="C54" s="311" t="s">
        <v>754</v>
      </c>
      <c r="D54" s="10" t="s">
        <v>123</v>
      </c>
      <c r="E54" s="199">
        <v>1</v>
      </c>
      <c r="F54" s="269">
        <v>0</v>
      </c>
      <c r="G54" s="270">
        <f t="shared" si="1"/>
        <v>0</v>
      </c>
      <c r="H54" s="122"/>
      <c r="I54" s="121"/>
      <c r="J54" s="121"/>
      <c r="K54" s="121"/>
      <c r="L54" s="121"/>
    </row>
    <row r="55" spans="1:12" ht="48" x14ac:dyDescent="0.2">
      <c r="A55" s="121"/>
      <c r="B55" s="153"/>
      <c r="C55" s="311" t="s">
        <v>755</v>
      </c>
      <c r="D55" s="10" t="s">
        <v>123</v>
      </c>
      <c r="E55" s="199">
        <v>1</v>
      </c>
      <c r="F55" s="269">
        <v>0</v>
      </c>
      <c r="G55" s="270">
        <f t="shared" si="1"/>
        <v>0</v>
      </c>
      <c r="H55" s="122"/>
      <c r="I55" s="121"/>
      <c r="J55" s="121"/>
      <c r="K55" s="121"/>
      <c r="L55" s="121"/>
    </row>
    <row r="56" spans="1:12" ht="60" x14ac:dyDescent="0.2">
      <c r="A56" s="121"/>
      <c r="B56" s="153"/>
      <c r="C56" s="311" t="s">
        <v>756</v>
      </c>
      <c r="D56" s="10" t="s">
        <v>98</v>
      </c>
      <c r="E56" s="199">
        <v>1</v>
      </c>
      <c r="F56" s="269">
        <v>0</v>
      </c>
      <c r="G56" s="270">
        <f t="shared" si="1"/>
        <v>0</v>
      </c>
      <c r="H56" s="122"/>
      <c r="I56" s="121"/>
      <c r="J56" s="121"/>
      <c r="K56" s="121"/>
      <c r="L56" s="121"/>
    </row>
    <row r="57" spans="1:12" ht="48" x14ac:dyDescent="0.2">
      <c r="A57" s="121"/>
      <c r="B57" s="153"/>
      <c r="C57" s="311" t="s">
        <v>757</v>
      </c>
      <c r="D57" s="10" t="s">
        <v>123</v>
      </c>
      <c r="E57" s="199">
        <v>1</v>
      </c>
      <c r="F57" s="269">
        <v>0</v>
      </c>
      <c r="G57" s="270">
        <f t="shared" si="1"/>
        <v>0</v>
      </c>
      <c r="H57" s="122"/>
      <c r="I57" s="121"/>
      <c r="J57" s="121"/>
      <c r="K57" s="121"/>
      <c r="L57" s="121"/>
    </row>
    <row r="58" spans="1:12" ht="108" x14ac:dyDescent="0.2">
      <c r="A58" s="121"/>
      <c r="B58" s="153"/>
      <c r="C58" s="311" t="s">
        <v>619</v>
      </c>
      <c r="D58" s="10" t="s">
        <v>123</v>
      </c>
      <c r="E58" s="199">
        <v>1</v>
      </c>
      <c r="F58" s="269">
        <v>0</v>
      </c>
      <c r="G58" s="270">
        <f t="shared" si="1"/>
        <v>0</v>
      </c>
      <c r="H58" s="122"/>
      <c r="I58" s="121"/>
      <c r="J58" s="121"/>
      <c r="K58" s="121"/>
      <c r="L58" s="121"/>
    </row>
    <row r="59" spans="1:12" ht="36" x14ac:dyDescent="0.2">
      <c r="A59" s="121"/>
      <c r="B59" s="153"/>
      <c r="C59" s="311" t="s">
        <v>758</v>
      </c>
      <c r="D59" s="10" t="s">
        <v>123</v>
      </c>
      <c r="E59" s="199">
        <v>40</v>
      </c>
      <c r="F59" s="269">
        <v>0</v>
      </c>
      <c r="G59" s="270">
        <f t="shared" si="1"/>
        <v>0</v>
      </c>
      <c r="H59" s="122"/>
      <c r="I59" s="121"/>
      <c r="J59" s="121"/>
      <c r="K59" s="121"/>
      <c r="L59" s="121"/>
    </row>
    <row r="60" spans="1:12" ht="36" x14ac:dyDescent="0.2">
      <c r="A60" s="121"/>
      <c r="B60" s="153"/>
      <c r="C60" s="311" t="s">
        <v>759</v>
      </c>
      <c r="D60" s="10" t="s">
        <v>123</v>
      </c>
      <c r="E60" s="199">
        <v>10</v>
      </c>
      <c r="F60" s="269">
        <v>0</v>
      </c>
      <c r="G60" s="270">
        <f t="shared" si="1"/>
        <v>0</v>
      </c>
      <c r="H60" s="122"/>
      <c r="I60" s="121"/>
      <c r="J60" s="121"/>
      <c r="K60" s="121"/>
      <c r="L60" s="121"/>
    </row>
    <row r="61" spans="1:12" s="2" customFormat="1" ht="36" x14ac:dyDescent="0.2">
      <c r="A61" s="121"/>
      <c r="B61" s="153"/>
      <c r="C61" s="311" t="s">
        <v>760</v>
      </c>
      <c r="D61" s="10" t="s">
        <v>123</v>
      </c>
      <c r="E61" s="199">
        <v>2</v>
      </c>
      <c r="F61" s="269">
        <v>0</v>
      </c>
      <c r="G61" s="270">
        <f t="shared" si="1"/>
        <v>0</v>
      </c>
      <c r="H61" s="122"/>
      <c r="I61" s="121"/>
      <c r="J61" s="121"/>
      <c r="K61" s="121"/>
      <c r="L61" s="121"/>
    </row>
    <row r="62" spans="1:12" ht="36" x14ac:dyDescent="0.2">
      <c r="A62" s="121"/>
      <c r="B62" s="153"/>
      <c r="C62" s="311" t="s">
        <v>761</v>
      </c>
      <c r="D62" s="10" t="s">
        <v>123</v>
      </c>
      <c r="E62" s="199">
        <v>10</v>
      </c>
      <c r="F62" s="269">
        <v>0</v>
      </c>
      <c r="G62" s="270">
        <f t="shared" si="1"/>
        <v>0</v>
      </c>
      <c r="H62" s="122"/>
      <c r="I62" s="121"/>
      <c r="J62" s="121"/>
      <c r="K62" s="121"/>
      <c r="L62" s="121"/>
    </row>
    <row r="63" spans="1:12" ht="36" x14ac:dyDescent="0.2">
      <c r="A63" s="121"/>
      <c r="B63" s="153"/>
      <c r="C63" s="311" t="s">
        <v>762</v>
      </c>
      <c r="D63" s="10" t="s">
        <v>123</v>
      </c>
      <c r="E63" s="199">
        <v>1</v>
      </c>
      <c r="F63" s="269">
        <v>0</v>
      </c>
      <c r="G63" s="270">
        <f t="shared" si="1"/>
        <v>0</v>
      </c>
      <c r="H63" s="122"/>
      <c r="I63" s="121"/>
      <c r="J63" s="121"/>
      <c r="K63" s="121"/>
      <c r="L63" s="121"/>
    </row>
    <row r="64" spans="1:12" ht="48" x14ac:dyDescent="0.2">
      <c r="A64" s="121"/>
      <c r="B64" s="153"/>
      <c r="C64" s="311" t="s">
        <v>763</v>
      </c>
      <c r="D64" s="10" t="s">
        <v>123</v>
      </c>
      <c r="E64" s="199">
        <v>1</v>
      </c>
      <c r="F64" s="269">
        <v>0</v>
      </c>
      <c r="G64" s="270">
        <f t="shared" si="1"/>
        <v>0</v>
      </c>
      <c r="H64" s="122"/>
      <c r="I64" s="121"/>
      <c r="J64" s="121"/>
      <c r="K64" s="121"/>
      <c r="L64" s="121"/>
    </row>
    <row r="65" spans="1:12" ht="48" x14ac:dyDescent="0.2">
      <c r="A65" s="121"/>
      <c r="B65" s="153"/>
      <c r="C65" s="311" t="s">
        <v>764</v>
      </c>
      <c r="D65" s="10" t="s">
        <v>123</v>
      </c>
      <c r="E65" s="199">
        <v>3</v>
      </c>
      <c r="F65" s="269">
        <v>0</v>
      </c>
      <c r="G65" s="270">
        <f t="shared" si="1"/>
        <v>0</v>
      </c>
      <c r="H65" s="122"/>
      <c r="I65" s="121"/>
      <c r="J65" s="121"/>
      <c r="K65" s="121"/>
      <c r="L65" s="121"/>
    </row>
    <row r="66" spans="1:12" ht="48" x14ac:dyDescent="0.2">
      <c r="A66" s="121"/>
      <c r="B66" s="153"/>
      <c r="C66" s="311" t="s">
        <v>765</v>
      </c>
      <c r="D66" s="10" t="s">
        <v>123</v>
      </c>
      <c r="E66" s="199">
        <v>3</v>
      </c>
      <c r="F66" s="269">
        <v>0</v>
      </c>
      <c r="G66" s="270">
        <f t="shared" si="1"/>
        <v>0</v>
      </c>
      <c r="H66" s="122"/>
      <c r="I66" s="121"/>
      <c r="J66" s="121"/>
      <c r="K66" s="121"/>
      <c r="L66" s="121"/>
    </row>
    <row r="67" spans="1:12" ht="48" x14ac:dyDescent="0.2">
      <c r="A67" s="121"/>
      <c r="B67" s="153"/>
      <c r="C67" s="311" t="s">
        <v>766</v>
      </c>
      <c r="D67" s="10" t="s">
        <v>123</v>
      </c>
      <c r="E67" s="199">
        <v>3</v>
      </c>
      <c r="F67" s="269">
        <v>0</v>
      </c>
      <c r="G67" s="270">
        <f t="shared" si="1"/>
        <v>0</v>
      </c>
      <c r="H67" s="122"/>
      <c r="I67" s="121"/>
      <c r="J67" s="121"/>
      <c r="K67" s="121"/>
      <c r="L67" s="121"/>
    </row>
    <row r="68" spans="1:12" ht="48" x14ac:dyDescent="0.2">
      <c r="A68" s="121"/>
      <c r="B68" s="153"/>
      <c r="C68" s="311" t="s">
        <v>767</v>
      </c>
      <c r="D68" s="10" t="s">
        <v>98</v>
      </c>
      <c r="E68" s="199">
        <v>1</v>
      </c>
      <c r="F68" s="269">
        <v>0</v>
      </c>
      <c r="G68" s="270">
        <f t="shared" si="1"/>
        <v>0</v>
      </c>
      <c r="H68" s="122"/>
      <c r="I68" s="121"/>
      <c r="J68" s="121"/>
      <c r="K68" s="121"/>
      <c r="L68" s="121"/>
    </row>
    <row r="69" spans="1:12" ht="60" x14ac:dyDescent="0.2">
      <c r="A69" s="121"/>
      <c r="B69" s="153"/>
      <c r="C69" s="311" t="s">
        <v>768</v>
      </c>
      <c r="D69" s="10" t="s">
        <v>123</v>
      </c>
      <c r="E69" s="199">
        <v>1</v>
      </c>
      <c r="F69" s="269">
        <v>0</v>
      </c>
      <c r="G69" s="270">
        <f t="shared" si="1"/>
        <v>0</v>
      </c>
      <c r="H69" s="122"/>
      <c r="I69" s="121"/>
      <c r="J69" s="121"/>
      <c r="K69" s="121"/>
      <c r="L69" s="121"/>
    </row>
    <row r="70" spans="1:12" s="2" customFormat="1" ht="84" x14ac:dyDescent="0.2">
      <c r="A70" s="121"/>
      <c r="B70" s="153"/>
      <c r="C70" s="311" t="s">
        <v>620</v>
      </c>
      <c r="D70" s="10" t="s">
        <v>123</v>
      </c>
      <c r="E70" s="199">
        <v>1</v>
      </c>
      <c r="F70" s="269">
        <v>0</v>
      </c>
      <c r="G70" s="270">
        <f t="shared" si="1"/>
        <v>0</v>
      </c>
      <c r="H70" s="122"/>
      <c r="I70" s="121"/>
      <c r="J70" s="121"/>
      <c r="K70" s="121"/>
      <c r="L70" s="121"/>
    </row>
    <row r="71" spans="1:12" s="2" customFormat="1" x14ac:dyDescent="0.2">
      <c r="A71" s="121"/>
      <c r="B71" s="153">
        <v>2</v>
      </c>
      <c r="C71" s="357" t="s">
        <v>769</v>
      </c>
      <c r="D71" s="207"/>
      <c r="E71" s="199"/>
      <c r="F71" s="269"/>
      <c r="G71" s="270"/>
      <c r="H71" s="122"/>
      <c r="I71" s="121"/>
      <c r="J71" s="121"/>
      <c r="K71" s="121"/>
      <c r="L71" s="121"/>
    </row>
    <row r="72" spans="1:12" s="121" customFormat="1" ht="387.75" customHeight="1" x14ac:dyDescent="0.2">
      <c r="B72" s="2743"/>
      <c r="C72" s="2744"/>
      <c r="D72" s="2745"/>
      <c r="E72" s="2746"/>
      <c r="F72" s="2747"/>
      <c r="G72" s="2736"/>
      <c r="H72" s="122"/>
    </row>
    <row r="73" spans="1:12" s="121" customFormat="1" ht="24.75" customHeight="1" x14ac:dyDescent="0.2">
      <c r="B73" s="2749"/>
      <c r="C73" s="2744" t="s">
        <v>2465</v>
      </c>
      <c r="D73" s="2748" t="s">
        <v>98</v>
      </c>
      <c r="E73" s="2746">
        <v>1</v>
      </c>
      <c r="F73" s="2747">
        <v>0</v>
      </c>
      <c r="G73" s="2736">
        <f t="shared" ref="G73" si="2">E73*F73</f>
        <v>0</v>
      </c>
      <c r="H73" s="122"/>
    </row>
    <row r="74" spans="1:12" s="2" customFormat="1" ht="48" x14ac:dyDescent="0.2">
      <c r="A74" s="121"/>
      <c r="B74" s="153"/>
      <c r="C74" s="311" t="s">
        <v>771</v>
      </c>
      <c r="D74" s="207" t="s">
        <v>123</v>
      </c>
      <c r="E74" s="199">
        <v>1</v>
      </c>
      <c r="F74" s="269">
        <v>0</v>
      </c>
      <c r="G74" s="270">
        <f t="shared" ref="G74:G81" si="3">E74*F74</f>
        <v>0</v>
      </c>
      <c r="H74" s="122"/>
      <c r="I74" s="121"/>
      <c r="J74" s="121"/>
      <c r="K74" s="121"/>
      <c r="L74" s="121"/>
    </row>
    <row r="75" spans="1:12" s="2" customFormat="1" ht="48" x14ac:dyDescent="0.2">
      <c r="A75" s="121"/>
      <c r="B75" s="153"/>
      <c r="C75" s="311" t="s">
        <v>625</v>
      </c>
      <c r="D75" s="207" t="s">
        <v>123</v>
      </c>
      <c r="E75" s="199">
        <v>1</v>
      </c>
      <c r="F75" s="269">
        <v>0</v>
      </c>
      <c r="G75" s="270">
        <f t="shared" si="3"/>
        <v>0</v>
      </c>
      <c r="H75" s="122"/>
      <c r="I75" s="121"/>
      <c r="J75" s="121"/>
      <c r="K75" s="121"/>
      <c r="L75" s="121"/>
    </row>
    <row r="76" spans="1:12" s="2" customFormat="1" ht="60" x14ac:dyDescent="0.2">
      <c r="A76" s="121"/>
      <c r="B76" s="153"/>
      <c r="C76" s="311" t="s">
        <v>772</v>
      </c>
      <c r="D76" s="207" t="s">
        <v>123</v>
      </c>
      <c r="E76" s="199">
        <v>1</v>
      </c>
      <c r="F76" s="269">
        <v>0</v>
      </c>
      <c r="G76" s="270">
        <f t="shared" si="3"/>
        <v>0</v>
      </c>
      <c r="H76" s="122"/>
      <c r="I76" s="121"/>
      <c r="J76" s="121"/>
      <c r="K76" s="121"/>
      <c r="L76" s="121"/>
    </row>
    <row r="77" spans="1:12" s="2" customFormat="1" ht="48" x14ac:dyDescent="0.2">
      <c r="A77" s="121"/>
      <c r="B77" s="153"/>
      <c r="C77" s="311" t="s">
        <v>943</v>
      </c>
      <c r="D77" s="207" t="s">
        <v>123</v>
      </c>
      <c r="E77" s="199">
        <v>1</v>
      </c>
      <c r="F77" s="269">
        <v>0</v>
      </c>
      <c r="G77" s="270">
        <f t="shared" si="3"/>
        <v>0</v>
      </c>
      <c r="H77" s="122"/>
      <c r="I77" s="121"/>
      <c r="J77" s="121"/>
      <c r="K77" s="121"/>
      <c r="L77" s="121"/>
    </row>
    <row r="78" spans="1:12" s="2" customFormat="1" ht="180" x14ac:dyDescent="0.2">
      <c r="A78" s="121"/>
      <c r="B78" s="153"/>
      <c r="C78" s="311" t="s">
        <v>773</v>
      </c>
      <c r="D78" s="207" t="s">
        <v>123</v>
      </c>
      <c r="E78" s="199">
        <v>1</v>
      </c>
      <c r="F78" s="269">
        <v>0</v>
      </c>
      <c r="G78" s="270">
        <f t="shared" si="3"/>
        <v>0</v>
      </c>
      <c r="H78" s="122"/>
      <c r="I78" s="121"/>
      <c r="J78" s="121"/>
      <c r="K78" s="121"/>
      <c r="L78" s="121"/>
    </row>
    <row r="79" spans="1:12" s="2" customFormat="1" ht="60" x14ac:dyDescent="0.2">
      <c r="A79" s="121"/>
      <c r="B79" s="153"/>
      <c r="C79" s="311" t="s">
        <v>774</v>
      </c>
      <c r="D79" s="207" t="s">
        <v>98</v>
      </c>
      <c r="E79" s="199">
        <v>1</v>
      </c>
      <c r="F79" s="269">
        <v>0</v>
      </c>
      <c r="G79" s="270">
        <f t="shared" si="3"/>
        <v>0</v>
      </c>
      <c r="H79" s="122"/>
      <c r="I79" s="121"/>
      <c r="J79" s="121"/>
      <c r="K79" s="121"/>
      <c r="L79" s="121"/>
    </row>
    <row r="80" spans="1:12" s="2" customFormat="1" ht="36" x14ac:dyDescent="0.2">
      <c r="A80" s="121"/>
      <c r="B80" s="153"/>
      <c r="C80" s="311" t="s">
        <v>603</v>
      </c>
      <c r="D80" s="207" t="s">
        <v>123</v>
      </c>
      <c r="E80" s="199">
        <v>1</v>
      </c>
      <c r="F80" s="269">
        <v>0</v>
      </c>
      <c r="G80" s="270">
        <f t="shared" si="3"/>
        <v>0</v>
      </c>
      <c r="H80" s="122"/>
      <c r="I80" s="121"/>
      <c r="J80" s="121"/>
      <c r="K80" s="121"/>
      <c r="L80" s="121"/>
    </row>
    <row r="81" spans="1:12" s="2" customFormat="1" ht="288" x14ac:dyDescent="0.2">
      <c r="A81" s="121"/>
      <c r="B81" s="153"/>
      <c r="C81" s="311" t="s">
        <v>630</v>
      </c>
      <c r="D81" s="207" t="s">
        <v>98</v>
      </c>
      <c r="E81" s="199">
        <v>2</v>
      </c>
      <c r="F81" s="269">
        <v>0</v>
      </c>
      <c r="G81" s="270">
        <f t="shared" si="3"/>
        <v>0</v>
      </c>
      <c r="H81" s="122"/>
      <c r="I81" s="121"/>
      <c r="J81" s="121"/>
      <c r="K81" s="121"/>
      <c r="L81" s="121"/>
    </row>
    <row r="82" spans="1:12" s="2" customFormat="1" x14ac:dyDescent="0.2">
      <c r="A82" s="121"/>
      <c r="B82" s="153">
        <v>3</v>
      </c>
      <c r="C82" s="357" t="s">
        <v>775</v>
      </c>
      <c r="D82" s="207"/>
      <c r="E82" s="199"/>
      <c r="F82" s="269"/>
      <c r="G82" s="270"/>
      <c r="H82" s="122"/>
      <c r="I82" s="121"/>
      <c r="J82" s="121"/>
      <c r="K82" s="121"/>
      <c r="L82" s="121"/>
    </row>
    <row r="83" spans="1:12" s="2" customFormat="1" ht="276" x14ac:dyDescent="0.2">
      <c r="A83" s="121"/>
      <c r="B83" s="153"/>
      <c r="C83" s="311" t="s">
        <v>776</v>
      </c>
      <c r="D83" s="10" t="s">
        <v>98</v>
      </c>
      <c r="E83" s="199">
        <v>1</v>
      </c>
      <c r="F83" s="269">
        <v>0</v>
      </c>
      <c r="G83" s="270">
        <f>E83*F83</f>
        <v>0</v>
      </c>
      <c r="H83" s="122"/>
      <c r="I83" s="121"/>
      <c r="J83" s="121"/>
      <c r="K83" s="121"/>
      <c r="L83" s="121"/>
    </row>
    <row r="84" spans="1:12" s="2" customFormat="1" ht="72" x14ac:dyDescent="0.2">
      <c r="A84" s="121"/>
      <c r="B84" s="153"/>
      <c r="C84" s="311" t="s">
        <v>777</v>
      </c>
      <c r="D84" s="207" t="s">
        <v>98</v>
      </c>
      <c r="E84" s="199">
        <v>1</v>
      </c>
      <c r="F84" s="269">
        <v>0</v>
      </c>
      <c r="G84" s="270">
        <f>E84*F84</f>
        <v>0</v>
      </c>
      <c r="H84" s="122"/>
      <c r="I84" s="121"/>
      <c r="J84" s="121"/>
      <c r="K84" s="121"/>
      <c r="L84" s="121"/>
    </row>
    <row r="85" spans="1:12" s="2" customFormat="1" ht="84" x14ac:dyDescent="0.2">
      <c r="A85" s="121"/>
      <c r="B85" s="153"/>
      <c r="C85" s="311" t="s">
        <v>778</v>
      </c>
      <c r="D85" s="207" t="s">
        <v>98</v>
      </c>
      <c r="E85" s="199">
        <v>1</v>
      </c>
      <c r="F85" s="269">
        <v>0</v>
      </c>
      <c r="G85" s="270">
        <f>E85*F85</f>
        <v>0</v>
      </c>
      <c r="H85" s="122"/>
      <c r="I85" s="121"/>
      <c r="J85" s="121"/>
      <c r="K85" s="121"/>
      <c r="L85" s="121"/>
    </row>
    <row r="86" spans="1:12" s="2" customFormat="1" x14ac:dyDescent="0.2">
      <c r="A86" s="121"/>
      <c r="B86" s="153">
        <v>4</v>
      </c>
      <c r="C86" s="357" t="s">
        <v>779</v>
      </c>
      <c r="D86" s="207"/>
      <c r="E86" s="199"/>
      <c r="F86" s="269"/>
      <c r="G86" s="270"/>
      <c r="H86" s="122"/>
      <c r="I86" s="121"/>
      <c r="J86" s="121"/>
      <c r="K86" s="121"/>
      <c r="L86" s="121"/>
    </row>
    <row r="87" spans="1:12" s="2" customFormat="1" ht="60" x14ac:dyDescent="0.2">
      <c r="A87" s="121"/>
      <c r="B87" s="153"/>
      <c r="C87" s="311" t="s">
        <v>780</v>
      </c>
      <c r="D87" s="10" t="s">
        <v>98</v>
      </c>
      <c r="E87" s="199">
        <v>2</v>
      </c>
      <c r="F87" s="269">
        <v>0</v>
      </c>
      <c r="G87" s="270">
        <f t="shared" ref="G87:G93" si="4">E87*F87</f>
        <v>0</v>
      </c>
      <c r="H87" s="122"/>
      <c r="I87" s="121"/>
      <c r="J87" s="121"/>
      <c r="K87" s="121"/>
      <c r="L87" s="121"/>
    </row>
    <row r="88" spans="1:12" s="2" customFormat="1" ht="60" x14ac:dyDescent="0.2">
      <c r="A88" s="121"/>
      <c r="B88" s="153"/>
      <c r="C88" s="311" t="s">
        <v>781</v>
      </c>
      <c r="D88" s="10" t="s">
        <v>98</v>
      </c>
      <c r="E88" s="199">
        <v>2</v>
      </c>
      <c r="F88" s="269">
        <v>0</v>
      </c>
      <c r="G88" s="270">
        <f t="shared" si="4"/>
        <v>0</v>
      </c>
      <c r="H88" s="122"/>
      <c r="I88" s="121"/>
      <c r="J88" s="121"/>
      <c r="K88" s="121"/>
      <c r="L88" s="121"/>
    </row>
    <row r="89" spans="1:12" s="2" customFormat="1" ht="60" x14ac:dyDescent="0.2">
      <c r="A89" s="121"/>
      <c r="B89" s="153"/>
      <c r="C89" s="311" t="s">
        <v>945</v>
      </c>
      <c r="D89" s="207" t="s">
        <v>98</v>
      </c>
      <c r="E89" s="199">
        <v>2</v>
      </c>
      <c r="F89" s="269">
        <v>0</v>
      </c>
      <c r="G89" s="270">
        <f t="shared" si="4"/>
        <v>0</v>
      </c>
      <c r="H89" s="122"/>
      <c r="I89" s="121"/>
      <c r="J89" s="121"/>
      <c r="K89" s="121"/>
      <c r="L89" s="121"/>
    </row>
    <row r="90" spans="1:12" s="2" customFormat="1" ht="72" x14ac:dyDescent="0.2">
      <c r="A90" s="121"/>
      <c r="B90" s="153"/>
      <c r="C90" s="311" t="s">
        <v>2207</v>
      </c>
      <c r="D90" s="207" t="s">
        <v>123</v>
      </c>
      <c r="E90" s="199">
        <v>2</v>
      </c>
      <c r="F90" s="269">
        <v>0</v>
      </c>
      <c r="G90" s="270">
        <f t="shared" si="4"/>
        <v>0</v>
      </c>
      <c r="H90" s="122"/>
      <c r="I90" s="121"/>
      <c r="J90" s="121"/>
      <c r="K90" s="121"/>
      <c r="L90" s="121"/>
    </row>
    <row r="91" spans="1:12" s="2" customFormat="1" ht="36" x14ac:dyDescent="0.2">
      <c r="A91" s="121"/>
      <c r="B91" s="153"/>
      <c r="C91" s="311" t="s">
        <v>782</v>
      </c>
      <c r="D91" s="207" t="s">
        <v>123</v>
      </c>
      <c r="E91" s="199">
        <v>1</v>
      </c>
      <c r="F91" s="269">
        <v>0</v>
      </c>
      <c r="G91" s="270">
        <f t="shared" si="4"/>
        <v>0</v>
      </c>
      <c r="H91" s="122"/>
      <c r="I91" s="121"/>
      <c r="J91" s="121"/>
      <c r="K91" s="121"/>
      <c r="L91" s="121"/>
    </row>
    <row r="92" spans="1:12" s="2" customFormat="1" ht="132" x14ac:dyDescent="0.2">
      <c r="A92" s="121"/>
      <c r="B92" s="153"/>
      <c r="C92" s="311" t="s">
        <v>508</v>
      </c>
      <c r="D92" s="207" t="s">
        <v>123</v>
      </c>
      <c r="E92" s="199">
        <v>1</v>
      </c>
      <c r="F92" s="269">
        <v>0</v>
      </c>
      <c r="G92" s="270">
        <f t="shared" si="4"/>
        <v>0</v>
      </c>
      <c r="H92" s="122"/>
      <c r="I92" s="121"/>
      <c r="J92" s="121"/>
      <c r="K92" s="121"/>
      <c r="L92" s="121"/>
    </row>
    <row r="93" spans="1:12" s="2" customFormat="1" ht="96" x14ac:dyDescent="0.2">
      <c r="A93" s="121"/>
      <c r="B93" s="153"/>
      <c r="C93" s="311" t="s">
        <v>783</v>
      </c>
      <c r="D93" s="207" t="s">
        <v>123</v>
      </c>
      <c r="E93" s="199">
        <v>1</v>
      </c>
      <c r="F93" s="269">
        <v>0</v>
      </c>
      <c r="G93" s="270">
        <f t="shared" si="4"/>
        <v>0</v>
      </c>
      <c r="H93" s="122"/>
      <c r="I93" s="121"/>
      <c r="J93" s="121"/>
      <c r="K93" s="121"/>
      <c r="L93" s="121"/>
    </row>
    <row r="94" spans="1:12" s="2" customFormat="1" x14ac:dyDescent="0.2">
      <c r="A94" s="121"/>
      <c r="B94" s="153">
        <v>5</v>
      </c>
      <c r="C94" s="357" t="s">
        <v>784</v>
      </c>
      <c r="D94" s="207"/>
      <c r="E94" s="199"/>
      <c r="F94" s="269"/>
      <c r="G94" s="270"/>
      <c r="H94" s="122"/>
      <c r="I94" s="121"/>
      <c r="J94" s="121"/>
      <c r="K94" s="121"/>
      <c r="L94" s="121"/>
    </row>
    <row r="95" spans="1:12" s="2" customFormat="1" x14ac:dyDescent="0.2">
      <c r="A95" s="121"/>
      <c r="B95" s="153"/>
      <c r="C95" s="311" t="s">
        <v>643</v>
      </c>
      <c r="D95" s="207" t="s">
        <v>644</v>
      </c>
      <c r="E95" s="199">
        <v>20</v>
      </c>
      <c r="F95" s="269">
        <v>0</v>
      </c>
      <c r="G95" s="270">
        <f t="shared" ref="G95:G103" si="5">E95*F95</f>
        <v>0</v>
      </c>
      <c r="H95" s="122"/>
      <c r="I95" s="121"/>
      <c r="J95" s="121"/>
      <c r="K95" s="121"/>
      <c r="L95" s="121"/>
    </row>
    <row r="96" spans="1:12" s="2" customFormat="1" x14ac:dyDescent="0.2">
      <c r="A96" s="121"/>
      <c r="B96" s="153"/>
      <c r="C96" s="311" t="s">
        <v>645</v>
      </c>
      <c r="D96" s="207" t="s">
        <v>644</v>
      </c>
      <c r="E96" s="199">
        <v>30</v>
      </c>
      <c r="F96" s="269">
        <v>0</v>
      </c>
      <c r="G96" s="270">
        <f t="shared" si="5"/>
        <v>0</v>
      </c>
      <c r="H96" s="122"/>
      <c r="I96" s="121"/>
      <c r="J96" s="121"/>
      <c r="K96" s="121"/>
      <c r="L96" s="121"/>
    </row>
    <row r="97" spans="1:12" s="2" customFormat="1" x14ac:dyDescent="0.2">
      <c r="A97" s="121"/>
      <c r="B97" s="153"/>
      <c r="C97" s="311" t="s">
        <v>646</v>
      </c>
      <c r="D97" s="207" t="s">
        <v>644</v>
      </c>
      <c r="E97" s="199">
        <v>100</v>
      </c>
      <c r="F97" s="269">
        <v>0</v>
      </c>
      <c r="G97" s="270">
        <f t="shared" si="5"/>
        <v>0</v>
      </c>
      <c r="H97" s="122"/>
      <c r="I97" s="121"/>
      <c r="J97" s="121"/>
      <c r="K97" s="121"/>
      <c r="L97" s="121"/>
    </row>
    <row r="98" spans="1:12" s="2" customFormat="1" x14ac:dyDescent="0.2">
      <c r="A98" s="121"/>
      <c r="B98" s="153"/>
      <c r="C98" s="311" t="s">
        <v>647</v>
      </c>
      <c r="D98" s="207" t="s">
        <v>644</v>
      </c>
      <c r="E98" s="199">
        <v>50</v>
      </c>
      <c r="F98" s="269">
        <v>0</v>
      </c>
      <c r="G98" s="270">
        <f t="shared" si="5"/>
        <v>0</v>
      </c>
      <c r="H98" s="122"/>
      <c r="I98" s="121"/>
      <c r="J98" s="121"/>
      <c r="K98" s="121"/>
      <c r="L98" s="121"/>
    </row>
    <row r="99" spans="1:12" s="2" customFormat="1" x14ac:dyDescent="0.2">
      <c r="A99" s="121"/>
      <c r="B99" s="153"/>
      <c r="C99" s="311" t="s">
        <v>648</v>
      </c>
      <c r="D99" s="207" t="s">
        <v>644</v>
      </c>
      <c r="E99" s="199">
        <v>30</v>
      </c>
      <c r="F99" s="269">
        <v>0</v>
      </c>
      <c r="G99" s="270">
        <f t="shared" si="5"/>
        <v>0</v>
      </c>
      <c r="H99" s="122"/>
      <c r="I99" s="121"/>
      <c r="J99" s="121"/>
      <c r="K99" s="121"/>
      <c r="L99" s="121"/>
    </row>
    <row r="100" spans="1:12" s="2" customFormat="1" x14ac:dyDescent="0.2">
      <c r="A100" s="121"/>
      <c r="B100" s="153"/>
      <c r="C100" s="311" t="s">
        <v>650</v>
      </c>
      <c r="D100" s="207" t="s">
        <v>123</v>
      </c>
      <c r="E100" s="199">
        <v>2</v>
      </c>
      <c r="F100" s="269">
        <v>0</v>
      </c>
      <c r="G100" s="270">
        <f t="shared" si="5"/>
        <v>0</v>
      </c>
      <c r="H100" s="122"/>
      <c r="I100" s="121"/>
      <c r="J100" s="121"/>
      <c r="K100" s="121"/>
      <c r="L100" s="121"/>
    </row>
    <row r="101" spans="1:12" s="2" customFormat="1" x14ac:dyDescent="0.2">
      <c r="A101" s="121"/>
      <c r="B101" s="153"/>
      <c r="C101" s="311" t="s">
        <v>651</v>
      </c>
      <c r="D101" s="207" t="s">
        <v>644</v>
      </c>
      <c r="E101" s="199">
        <v>50</v>
      </c>
      <c r="F101" s="269">
        <v>0</v>
      </c>
      <c r="G101" s="270">
        <f t="shared" si="5"/>
        <v>0</v>
      </c>
      <c r="H101" s="122"/>
      <c r="I101" s="121"/>
      <c r="J101" s="121"/>
      <c r="K101" s="121"/>
      <c r="L101" s="121"/>
    </row>
    <row r="102" spans="1:12" s="2" customFormat="1" x14ac:dyDescent="0.2">
      <c r="A102" s="121"/>
      <c r="B102" s="153"/>
      <c r="C102" s="311" t="s">
        <v>652</v>
      </c>
      <c r="D102" s="207" t="s">
        <v>644</v>
      </c>
      <c r="E102" s="199">
        <v>30</v>
      </c>
      <c r="F102" s="269">
        <v>0</v>
      </c>
      <c r="G102" s="270">
        <f t="shared" si="5"/>
        <v>0</v>
      </c>
      <c r="H102" s="122"/>
      <c r="I102" s="121"/>
      <c r="J102" s="121"/>
      <c r="K102" s="121"/>
      <c r="L102" s="121"/>
    </row>
    <row r="103" spans="1:12" s="2" customFormat="1" x14ac:dyDescent="0.2">
      <c r="A103" s="121"/>
      <c r="B103" s="153"/>
      <c r="C103" s="311" t="s">
        <v>632</v>
      </c>
      <c r="D103" s="207" t="s">
        <v>98</v>
      </c>
      <c r="E103" s="199">
        <v>1</v>
      </c>
      <c r="F103" s="269">
        <v>0</v>
      </c>
      <c r="G103" s="270">
        <f t="shared" si="5"/>
        <v>0</v>
      </c>
      <c r="H103" s="122"/>
      <c r="I103" s="121"/>
      <c r="J103" s="121"/>
      <c r="K103" s="121"/>
      <c r="L103" s="121"/>
    </row>
    <row r="104" spans="1:12" s="12" customFormat="1" x14ac:dyDescent="0.2">
      <c r="A104" s="11"/>
      <c r="B104" s="153">
        <v>6</v>
      </c>
      <c r="C104" s="357" t="s">
        <v>785</v>
      </c>
      <c r="D104" s="15"/>
      <c r="E104" s="419"/>
      <c r="F104" s="14"/>
      <c r="G104" s="13"/>
      <c r="I104" s="11"/>
      <c r="J104" s="11"/>
      <c r="K104" s="11"/>
      <c r="L104" s="11"/>
    </row>
    <row r="105" spans="1:12" s="12" customFormat="1" ht="24" x14ac:dyDescent="0.2">
      <c r="A105" s="11"/>
      <c r="B105" s="153"/>
      <c r="C105" s="311" t="s">
        <v>666</v>
      </c>
      <c r="D105" s="207" t="s">
        <v>644</v>
      </c>
      <c r="E105" s="199">
        <v>20</v>
      </c>
      <c r="F105" s="269">
        <v>0</v>
      </c>
      <c r="G105" s="270">
        <f t="shared" ref="G105:G112" si="6">E105*F105</f>
        <v>0</v>
      </c>
      <c r="I105" s="11"/>
      <c r="J105" s="11"/>
      <c r="K105" s="11"/>
      <c r="L105" s="11"/>
    </row>
    <row r="106" spans="1:12" s="12" customFormat="1" x14ac:dyDescent="0.2">
      <c r="A106" s="11"/>
      <c r="B106" s="153"/>
      <c r="C106" s="311" t="s">
        <v>667</v>
      </c>
      <c r="D106" s="207" t="s">
        <v>644</v>
      </c>
      <c r="E106" s="199">
        <v>50</v>
      </c>
      <c r="F106" s="269">
        <v>0</v>
      </c>
      <c r="G106" s="270">
        <f t="shared" si="6"/>
        <v>0</v>
      </c>
      <c r="I106" s="11"/>
      <c r="J106" s="11"/>
      <c r="K106" s="11"/>
      <c r="L106" s="11"/>
    </row>
    <row r="107" spans="1:12" s="12" customFormat="1" x14ac:dyDescent="0.2">
      <c r="A107" s="11"/>
      <c r="B107" s="153"/>
      <c r="C107" s="311" t="s">
        <v>668</v>
      </c>
      <c r="D107" s="207" t="s">
        <v>644</v>
      </c>
      <c r="E107" s="199">
        <v>20</v>
      </c>
      <c r="F107" s="269">
        <v>0</v>
      </c>
      <c r="G107" s="270">
        <f t="shared" si="6"/>
        <v>0</v>
      </c>
      <c r="I107" s="11"/>
      <c r="J107" s="11"/>
      <c r="K107" s="11"/>
      <c r="L107" s="11"/>
    </row>
    <row r="108" spans="1:12" s="12" customFormat="1" x14ac:dyDescent="0.2">
      <c r="A108" s="11"/>
      <c r="B108" s="153"/>
      <c r="C108" s="311" t="s">
        <v>673</v>
      </c>
      <c r="D108" s="207" t="s">
        <v>123</v>
      </c>
      <c r="E108" s="199">
        <v>2</v>
      </c>
      <c r="F108" s="269">
        <v>0</v>
      </c>
      <c r="G108" s="270">
        <f t="shared" si="6"/>
        <v>0</v>
      </c>
      <c r="I108" s="11"/>
      <c r="J108" s="11"/>
      <c r="K108" s="11"/>
      <c r="L108" s="11"/>
    </row>
    <row r="109" spans="1:12" s="12" customFormat="1" x14ac:dyDescent="0.2">
      <c r="A109" s="11"/>
      <c r="B109" s="153"/>
      <c r="C109" s="311" t="s">
        <v>787</v>
      </c>
      <c r="D109" s="207" t="s">
        <v>123</v>
      </c>
      <c r="E109" s="199">
        <v>1</v>
      </c>
      <c r="F109" s="269">
        <v>0</v>
      </c>
      <c r="G109" s="270">
        <f t="shared" si="6"/>
        <v>0</v>
      </c>
      <c r="I109" s="11"/>
      <c r="J109" s="11"/>
      <c r="K109" s="11"/>
      <c r="L109" s="11"/>
    </row>
    <row r="110" spans="1:12" s="12" customFormat="1" x14ac:dyDescent="0.2">
      <c r="A110" s="11"/>
      <c r="B110" s="153"/>
      <c r="C110" s="311" t="s">
        <v>675</v>
      </c>
      <c r="D110" s="207" t="s">
        <v>123</v>
      </c>
      <c r="E110" s="199">
        <v>3</v>
      </c>
      <c r="F110" s="269">
        <v>0</v>
      </c>
      <c r="G110" s="270">
        <f t="shared" si="6"/>
        <v>0</v>
      </c>
      <c r="I110" s="11"/>
      <c r="J110" s="11"/>
      <c r="K110" s="11"/>
      <c r="L110" s="11"/>
    </row>
    <row r="111" spans="1:12" s="12" customFormat="1" x14ac:dyDescent="0.2">
      <c r="A111" s="11"/>
      <c r="B111" s="153"/>
      <c r="C111" s="311" t="s">
        <v>676</v>
      </c>
      <c r="D111" s="207" t="s">
        <v>123</v>
      </c>
      <c r="E111" s="199">
        <v>2</v>
      </c>
      <c r="F111" s="269">
        <v>0</v>
      </c>
      <c r="G111" s="270">
        <f t="shared" si="6"/>
        <v>0</v>
      </c>
      <c r="I111" s="11"/>
      <c r="J111" s="11"/>
      <c r="K111" s="11"/>
      <c r="L111" s="11"/>
    </row>
    <row r="112" spans="1:12" s="12" customFormat="1" ht="24" x14ac:dyDescent="0.2">
      <c r="A112" s="11"/>
      <c r="B112" s="153"/>
      <c r="C112" s="311" t="s">
        <v>677</v>
      </c>
      <c r="D112" s="207" t="s">
        <v>123</v>
      </c>
      <c r="E112" s="199">
        <v>1</v>
      </c>
      <c r="F112" s="269">
        <v>0</v>
      </c>
      <c r="G112" s="270">
        <f t="shared" si="6"/>
        <v>0</v>
      </c>
      <c r="I112" s="11"/>
      <c r="J112" s="11"/>
      <c r="K112" s="11"/>
      <c r="L112" s="11"/>
    </row>
    <row r="113" spans="1:12" s="2" customFormat="1" x14ac:dyDescent="0.2">
      <c r="A113" s="121"/>
      <c r="B113" s="153">
        <v>7</v>
      </c>
      <c r="C113" s="357" t="s">
        <v>788</v>
      </c>
      <c r="D113" s="207"/>
      <c r="E113" s="199"/>
      <c r="F113" s="269"/>
      <c r="G113" s="270"/>
      <c r="H113" s="122"/>
      <c r="I113" s="121"/>
      <c r="J113" s="121"/>
      <c r="K113" s="121"/>
      <c r="L113" s="121"/>
    </row>
    <row r="114" spans="1:12" s="2" customFormat="1" x14ac:dyDescent="0.2">
      <c r="A114" s="121"/>
      <c r="B114" s="153"/>
      <c r="C114" s="197" t="s">
        <v>655</v>
      </c>
      <c r="D114" s="207" t="s">
        <v>644</v>
      </c>
      <c r="E114" s="199">
        <v>40</v>
      </c>
      <c r="F114" s="200">
        <v>0</v>
      </c>
      <c r="G114" s="270">
        <f>E114*F114</f>
        <v>0</v>
      </c>
      <c r="H114" s="122"/>
      <c r="I114" s="121"/>
      <c r="J114" s="121"/>
      <c r="K114" s="121"/>
      <c r="L114" s="121"/>
    </row>
    <row r="115" spans="1:12" s="2" customFormat="1" ht="36" x14ac:dyDescent="0.2">
      <c r="A115" s="121"/>
      <c r="B115" s="153"/>
      <c r="C115" s="197" t="s">
        <v>656</v>
      </c>
      <c r="D115" s="207" t="s">
        <v>98</v>
      </c>
      <c r="E115" s="199">
        <v>2</v>
      </c>
      <c r="F115" s="200">
        <v>0</v>
      </c>
      <c r="G115" s="270">
        <f>E115*F115</f>
        <v>0</v>
      </c>
      <c r="H115" s="122"/>
      <c r="I115" s="121"/>
      <c r="J115" s="121"/>
      <c r="K115" s="121"/>
      <c r="L115" s="121"/>
    </row>
    <row r="116" spans="1:12" s="2" customFormat="1" ht="24" x14ac:dyDescent="0.2">
      <c r="A116" s="121"/>
      <c r="B116" s="153"/>
      <c r="C116" s="197" t="s">
        <v>657</v>
      </c>
      <c r="D116" s="207" t="s">
        <v>98</v>
      </c>
      <c r="E116" s="199">
        <v>1</v>
      </c>
      <c r="F116" s="200">
        <v>0</v>
      </c>
      <c r="G116" s="270">
        <f>E116*F116</f>
        <v>0</v>
      </c>
      <c r="H116" s="122"/>
      <c r="I116" s="121"/>
      <c r="J116" s="121"/>
      <c r="K116" s="121"/>
      <c r="L116" s="121"/>
    </row>
    <row r="117" spans="1:12" s="2" customFormat="1" x14ac:dyDescent="0.2">
      <c r="A117" s="121"/>
      <c r="B117" s="153"/>
      <c r="C117" s="197" t="s">
        <v>663</v>
      </c>
      <c r="D117" s="207" t="s">
        <v>98</v>
      </c>
      <c r="E117" s="199">
        <v>1</v>
      </c>
      <c r="F117" s="200">
        <v>0</v>
      </c>
      <c r="G117" s="270">
        <f>E117*F117</f>
        <v>0</v>
      </c>
      <c r="H117" s="122"/>
      <c r="I117" s="121"/>
      <c r="J117" s="121"/>
      <c r="K117" s="121"/>
      <c r="L117" s="121"/>
    </row>
    <row r="118" spans="1:12" s="2" customFormat="1" x14ac:dyDescent="0.2">
      <c r="A118" s="121"/>
      <c r="B118" s="153">
        <v>8</v>
      </c>
      <c r="C118" s="357" t="s">
        <v>679</v>
      </c>
      <c r="D118" s="207"/>
      <c r="E118" s="199"/>
      <c r="F118" s="269"/>
      <c r="G118" s="270"/>
      <c r="H118" s="122"/>
      <c r="I118" s="121"/>
      <c r="J118" s="121"/>
      <c r="K118" s="121"/>
      <c r="L118" s="121"/>
    </row>
    <row r="119" spans="1:12" s="2" customFormat="1" ht="48" x14ac:dyDescent="0.2">
      <c r="A119" s="121"/>
      <c r="B119" s="153"/>
      <c r="C119" s="311" t="s">
        <v>789</v>
      </c>
      <c r="D119" s="10" t="s">
        <v>98</v>
      </c>
      <c r="E119" s="199">
        <v>1</v>
      </c>
      <c r="F119" s="269">
        <v>0</v>
      </c>
      <c r="G119" s="270">
        <f>E119*F119</f>
        <v>0</v>
      </c>
      <c r="H119" s="122"/>
      <c r="I119" s="121"/>
      <c r="J119" s="121"/>
      <c r="K119" s="121"/>
      <c r="L119" s="121"/>
    </row>
    <row r="120" spans="1:12" s="2" customFormat="1" ht="36" x14ac:dyDescent="0.2">
      <c r="A120" s="121"/>
      <c r="B120" s="153"/>
      <c r="C120" s="311" t="s">
        <v>790</v>
      </c>
      <c r="D120" s="207" t="s">
        <v>98</v>
      </c>
      <c r="E120" s="199">
        <v>1</v>
      </c>
      <c r="F120" s="269">
        <v>0</v>
      </c>
      <c r="G120" s="270">
        <f>E120*F120</f>
        <v>0</v>
      </c>
      <c r="H120" s="122"/>
      <c r="I120" s="121"/>
      <c r="J120" s="121"/>
      <c r="K120" s="121"/>
      <c r="L120" s="121"/>
    </row>
    <row r="121" spans="1:12" s="2" customFormat="1" ht="36" x14ac:dyDescent="0.2">
      <c r="A121" s="121"/>
      <c r="B121" s="153"/>
      <c r="C121" s="311" t="s">
        <v>791</v>
      </c>
      <c r="D121" s="207" t="s">
        <v>98</v>
      </c>
      <c r="E121" s="199">
        <v>1</v>
      </c>
      <c r="F121" s="269">
        <v>0</v>
      </c>
      <c r="G121" s="270">
        <f>E121*F121</f>
        <v>0</v>
      </c>
      <c r="H121" s="122"/>
      <c r="I121" s="121"/>
      <c r="J121" s="121"/>
      <c r="K121" s="121"/>
      <c r="L121" s="121"/>
    </row>
    <row r="122" spans="1:12" s="2" customFormat="1" ht="36" x14ac:dyDescent="0.2">
      <c r="A122" s="121"/>
      <c r="B122" s="153"/>
      <c r="C122" s="311" t="s">
        <v>792</v>
      </c>
      <c r="D122" s="207" t="s">
        <v>98</v>
      </c>
      <c r="E122" s="199">
        <v>1</v>
      </c>
      <c r="F122" s="269">
        <v>0</v>
      </c>
      <c r="G122" s="270">
        <f>E122*F122</f>
        <v>0</v>
      </c>
      <c r="H122" s="122"/>
      <c r="I122" s="121"/>
      <c r="J122" s="121"/>
      <c r="K122" s="121"/>
      <c r="L122" s="121"/>
    </row>
    <row r="123" spans="1:12" s="9" customFormat="1" ht="23.25" customHeight="1" x14ac:dyDescent="0.25">
      <c r="A123" s="147"/>
      <c r="B123" s="327" t="s">
        <v>18</v>
      </c>
      <c r="C123" s="214" t="s">
        <v>818</v>
      </c>
      <c r="D123" s="214"/>
      <c r="E123" s="215"/>
      <c r="F123" s="216"/>
      <c r="G123" s="290">
        <f>SUM(G50:G122)</f>
        <v>0</v>
      </c>
      <c r="H123" s="150"/>
      <c r="I123" s="147"/>
      <c r="J123" s="147"/>
      <c r="K123" s="147"/>
      <c r="L123" s="147"/>
    </row>
  </sheetData>
  <mergeCells count="7">
    <mergeCell ref="B48:G48"/>
    <mergeCell ref="B42:G42"/>
    <mergeCell ref="B43:G43"/>
    <mergeCell ref="B44:G44"/>
    <mergeCell ref="B45:G45"/>
    <mergeCell ref="B46:G46"/>
    <mergeCell ref="B47:G47"/>
  </mergeCells>
  <pageMargins left="0.7" right="0.7" top="0.75" bottom="0.75" header="0.3" footer="0.3"/>
  <pageSetup paperSize="9" scale="85" orientation="portrait" r:id="rId1"/>
  <headerFooter alignWithMargins="0">
    <oddFooter>&amp;C&amp;8&amp;P/&amp;N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89E37-9349-4759-831D-6E6312194E6C}">
  <sheetPr codeName="Sheet42">
    <tabColor theme="0" tint="-0.14999847407452621"/>
  </sheetPr>
  <dimension ref="A2:L224"/>
  <sheetViews>
    <sheetView showZeros="0" topLeftCell="A106" zoomScale="110" zoomScaleNormal="110" workbookViewId="0">
      <selection activeCell="B129" sqref="B129:G129"/>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x14ac:dyDescent="0.2">
      <c r="A2" s="121"/>
      <c r="B2" s="137"/>
      <c r="C2" s="108" t="s">
        <v>59</v>
      </c>
      <c r="D2" s="155"/>
      <c r="E2" s="156"/>
      <c r="F2" s="157"/>
      <c r="G2" s="363" t="s">
        <v>60</v>
      </c>
      <c r="H2" s="122"/>
      <c r="I2" s="121"/>
      <c r="J2" s="121"/>
      <c r="K2" s="121"/>
      <c r="L2" s="121"/>
    </row>
    <row r="4" spans="1:12" s="24" customFormat="1" ht="15" x14ac:dyDescent="0.25">
      <c r="A4" s="139"/>
      <c r="B4" s="364" t="s">
        <v>7</v>
      </c>
      <c r="C4" s="365" t="s">
        <v>2188</v>
      </c>
      <c r="D4" s="366"/>
      <c r="E4" s="367"/>
      <c r="F4" s="368"/>
      <c r="G4" s="369"/>
      <c r="H4" s="26"/>
      <c r="I4" s="139"/>
      <c r="J4" s="139"/>
      <c r="K4" s="139"/>
      <c r="L4" s="139"/>
    </row>
    <row r="5" spans="1:12" s="24" customFormat="1" ht="12" customHeight="1" x14ac:dyDescent="0.25">
      <c r="A5" s="139"/>
      <c r="B5" s="370"/>
      <c r="C5" s="371"/>
      <c r="D5" s="372"/>
      <c r="E5" s="373"/>
      <c r="F5" s="374"/>
      <c r="G5" s="375"/>
      <c r="H5" s="26"/>
      <c r="I5" s="139"/>
      <c r="J5" s="139"/>
      <c r="K5" s="139"/>
      <c r="L5" s="139"/>
    </row>
    <row r="6" spans="1:12" s="107" customFormat="1" ht="21" customHeight="1" x14ac:dyDescent="0.2">
      <c r="A6" s="376"/>
      <c r="B6" s="377" t="s">
        <v>80</v>
      </c>
      <c r="C6" s="3208" t="s">
        <v>2208</v>
      </c>
      <c r="D6" s="3208"/>
      <c r="E6" s="3208"/>
      <c r="F6" s="3208"/>
      <c r="G6" s="3209"/>
      <c r="H6" s="123"/>
      <c r="I6" s="378"/>
      <c r="J6" s="378"/>
      <c r="K6" s="378"/>
      <c r="L6" s="378"/>
    </row>
    <row r="7" spans="1:12" s="107" customFormat="1" ht="14.25" x14ac:dyDescent="0.2">
      <c r="A7" s="376"/>
      <c r="B7" s="370"/>
      <c r="C7" s="371"/>
      <c r="D7" s="372"/>
      <c r="E7" s="373"/>
      <c r="F7" s="374"/>
      <c r="G7" s="379"/>
      <c r="H7" s="123"/>
      <c r="I7" s="378"/>
      <c r="J7" s="378"/>
      <c r="K7" s="378"/>
      <c r="L7" s="378"/>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107" customFormat="1" ht="14.25" x14ac:dyDescent="0.2">
      <c r="A12" s="376"/>
      <c r="B12" s="380"/>
      <c r="C12" s="381"/>
      <c r="D12" s="382"/>
      <c r="E12" s="383"/>
      <c r="F12" s="384"/>
      <c r="G12" s="385"/>
      <c r="H12" s="123"/>
      <c r="I12" s="378"/>
      <c r="J12" s="378"/>
      <c r="K12" s="378"/>
      <c r="L12" s="378"/>
    </row>
    <row r="13" spans="1:12" s="107" customFormat="1" ht="18.75" customHeight="1" x14ac:dyDescent="0.2">
      <c r="A13" s="376"/>
      <c r="B13" s="386"/>
      <c r="C13" s="387" t="s">
        <v>82</v>
      </c>
      <c r="D13" s="388"/>
      <c r="E13" s="389"/>
      <c r="F13" s="390"/>
      <c r="G13" s="391"/>
      <c r="H13" s="123"/>
      <c r="I13" s="378"/>
      <c r="J13" s="378"/>
      <c r="K13" s="378"/>
      <c r="L13" s="378"/>
    </row>
    <row r="14" spans="1:12" s="24" customFormat="1" ht="18.75" customHeight="1" x14ac:dyDescent="0.2">
      <c r="A14" s="139"/>
      <c r="B14" s="392" t="s">
        <v>83</v>
      </c>
      <c r="C14" s="106" t="s">
        <v>84</v>
      </c>
      <c r="D14" s="393"/>
      <c r="E14" s="394"/>
      <c r="F14" s="395"/>
      <c r="G14" s="396" t="s">
        <v>64</v>
      </c>
      <c r="H14" s="22"/>
      <c r="I14" s="139"/>
      <c r="J14" s="139"/>
      <c r="K14" s="139"/>
      <c r="L14" s="139"/>
    </row>
    <row r="15" spans="1:12" s="103" customFormat="1" ht="18.75" customHeight="1" x14ac:dyDescent="0.25">
      <c r="A15" s="397"/>
      <c r="B15" s="105" t="s">
        <v>10</v>
      </c>
      <c r="C15" s="398" t="s">
        <v>85</v>
      </c>
      <c r="D15" s="399"/>
      <c r="E15" s="400"/>
      <c r="F15" s="401"/>
      <c r="G15" s="20">
        <f>G39</f>
        <v>0</v>
      </c>
      <c r="H15" s="18"/>
      <c r="I15" s="397"/>
      <c r="J15" s="397"/>
      <c r="K15" s="397"/>
      <c r="L15" s="397"/>
    </row>
    <row r="16" spans="1:12" s="103" customFormat="1" ht="18.75" customHeight="1" x14ac:dyDescent="0.25">
      <c r="A16" s="397"/>
      <c r="B16" s="105" t="s">
        <v>12</v>
      </c>
      <c r="C16" s="398" t="s">
        <v>86</v>
      </c>
      <c r="D16" s="399"/>
      <c r="E16" s="400"/>
      <c r="F16" s="401"/>
      <c r="G16" s="20">
        <f>G67</f>
        <v>0</v>
      </c>
      <c r="H16" s="18"/>
      <c r="I16" s="397"/>
      <c r="J16" s="397"/>
      <c r="K16" s="397"/>
      <c r="L16" s="397"/>
    </row>
    <row r="17" spans="2:8" s="103" customFormat="1" ht="18.75" customHeight="1" x14ac:dyDescent="0.25">
      <c r="B17" s="105" t="s">
        <v>17</v>
      </c>
      <c r="C17" s="398" t="s">
        <v>87</v>
      </c>
      <c r="D17" s="399"/>
      <c r="E17" s="400"/>
      <c r="F17" s="401"/>
      <c r="G17" s="20">
        <f>G121</f>
        <v>0</v>
      </c>
      <c r="H17" s="18"/>
    </row>
    <row r="18" spans="2:8" s="103" customFormat="1" ht="18.75" customHeight="1" x14ac:dyDescent="0.25">
      <c r="B18" s="105" t="s">
        <v>18</v>
      </c>
      <c r="C18" s="398" t="s">
        <v>367</v>
      </c>
      <c r="D18" s="399"/>
      <c r="E18" s="400"/>
      <c r="F18" s="104"/>
      <c r="G18" s="20">
        <f>G224</f>
        <v>0</v>
      </c>
      <c r="H18" s="18"/>
    </row>
    <row r="19" spans="2:8" s="103" customFormat="1" ht="18.75" customHeight="1" x14ac:dyDescent="0.25">
      <c r="B19" s="402"/>
      <c r="C19" s="403" t="s">
        <v>88</v>
      </c>
      <c r="D19" s="404"/>
      <c r="E19" s="405"/>
      <c r="F19" s="406"/>
      <c r="G19" s="19">
        <f>SUM(G15:G18)</f>
        <v>0</v>
      </c>
      <c r="H19" s="18"/>
    </row>
    <row r="20" spans="2:8" x14ac:dyDescent="0.2">
      <c r="B20" s="127"/>
      <c r="C20" s="183"/>
      <c r="D20" s="184"/>
      <c r="E20" s="185"/>
      <c r="F20" s="186"/>
      <c r="G20" s="187"/>
      <c r="H20" s="122"/>
    </row>
    <row r="22" spans="2:8" ht="24" x14ac:dyDescent="0.2">
      <c r="B22" s="128" t="s">
        <v>83</v>
      </c>
      <c r="C22" s="192" t="s">
        <v>89</v>
      </c>
      <c r="D22" s="193" t="s">
        <v>90</v>
      </c>
      <c r="E22" s="194" t="s">
        <v>91</v>
      </c>
      <c r="F22" s="195" t="s">
        <v>92</v>
      </c>
      <c r="G22" s="196" t="s">
        <v>93</v>
      </c>
      <c r="H22" s="122"/>
    </row>
    <row r="23" spans="2:8" x14ac:dyDescent="0.2">
      <c r="B23" s="129"/>
      <c r="C23" s="197"/>
      <c r="D23" s="198"/>
      <c r="E23" s="199"/>
      <c r="F23" s="200"/>
      <c r="G23" s="201"/>
      <c r="H23" s="122"/>
    </row>
    <row r="24" spans="2:8" s="16" customFormat="1" ht="20.25" x14ac:dyDescent="0.3">
      <c r="B24" s="303" t="s">
        <v>10</v>
      </c>
      <c r="C24" s="306" t="s">
        <v>85</v>
      </c>
      <c r="D24" s="305"/>
      <c r="E24" s="299"/>
      <c r="F24" s="300"/>
      <c r="G24" s="301"/>
      <c r="H24" s="302"/>
    </row>
    <row r="25" spans="2:8" ht="27.75" customHeight="1" x14ac:dyDescent="0.2">
      <c r="B25" s="129">
        <v>1</v>
      </c>
      <c r="C25" s="206" t="s">
        <v>94</v>
      </c>
      <c r="D25" s="207" t="s">
        <v>95</v>
      </c>
      <c r="E25" s="110">
        <v>6</v>
      </c>
      <c r="F25" s="102">
        <v>0</v>
      </c>
      <c r="G25" s="270">
        <f t="shared" ref="G25:G38" si="0">E25*F25</f>
        <v>0</v>
      </c>
      <c r="H25" s="122"/>
    </row>
    <row r="26" spans="2:8" x14ac:dyDescent="0.2">
      <c r="B26" s="129">
        <v>2</v>
      </c>
      <c r="C26" s="206" t="s">
        <v>96</v>
      </c>
      <c r="D26" s="207" t="s">
        <v>95</v>
      </c>
      <c r="E26" s="110">
        <v>12</v>
      </c>
      <c r="F26" s="102">
        <v>0</v>
      </c>
      <c r="G26" s="270">
        <f t="shared" si="0"/>
        <v>0</v>
      </c>
      <c r="H26" s="122"/>
    </row>
    <row r="27" spans="2:8" ht="53.25" customHeight="1" x14ac:dyDescent="0.2">
      <c r="B27" s="129">
        <v>3</v>
      </c>
      <c r="C27" s="206" t="s">
        <v>97</v>
      </c>
      <c r="D27" s="207" t="s">
        <v>98</v>
      </c>
      <c r="E27" s="110">
        <v>1</v>
      </c>
      <c r="F27" s="102">
        <v>0</v>
      </c>
      <c r="G27" s="270">
        <f t="shared" si="0"/>
        <v>0</v>
      </c>
      <c r="H27" s="122"/>
    </row>
    <row r="28" spans="2:8" ht="127.5" customHeight="1" x14ac:dyDescent="0.2">
      <c r="B28" s="129">
        <v>4</v>
      </c>
      <c r="C28" s="208" t="s">
        <v>99</v>
      </c>
      <c r="D28" s="209" t="s">
        <v>98</v>
      </c>
      <c r="E28" s="110">
        <v>1</v>
      </c>
      <c r="F28" s="102">
        <v>0</v>
      </c>
      <c r="G28" s="270">
        <f t="shared" si="0"/>
        <v>0</v>
      </c>
      <c r="H28" s="122"/>
    </row>
    <row r="29" spans="2:8" ht="30.75" customHeight="1" x14ac:dyDescent="0.2">
      <c r="B29" s="129">
        <v>5</v>
      </c>
      <c r="C29" s="208" t="s">
        <v>100</v>
      </c>
      <c r="D29" s="210" t="s">
        <v>98</v>
      </c>
      <c r="E29" s="199">
        <v>1</v>
      </c>
      <c r="F29" s="102">
        <v>0</v>
      </c>
      <c r="G29" s="270">
        <f t="shared" si="0"/>
        <v>0</v>
      </c>
      <c r="H29" s="122"/>
    </row>
    <row r="30" spans="2:8" ht="27" customHeight="1" x14ac:dyDescent="0.2">
      <c r="B30" s="129">
        <v>6</v>
      </c>
      <c r="C30" s="407" t="s">
        <v>101</v>
      </c>
      <c r="D30" s="210" t="s">
        <v>98</v>
      </c>
      <c r="E30" s="110">
        <v>1</v>
      </c>
      <c r="F30" s="102">
        <v>0</v>
      </c>
      <c r="G30" s="270">
        <f t="shared" si="0"/>
        <v>0</v>
      </c>
      <c r="H30" s="122"/>
    </row>
    <row r="31" spans="2:8" ht="52.5" customHeight="1" x14ac:dyDescent="0.2">
      <c r="B31" s="129">
        <v>7</v>
      </c>
      <c r="C31" s="407" t="s">
        <v>102</v>
      </c>
      <c r="D31" s="210" t="s">
        <v>98</v>
      </c>
      <c r="E31" s="110">
        <v>1</v>
      </c>
      <c r="F31" s="102">
        <v>0</v>
      </c>
      <c r="G31" s="270">
        <f t="shared" si="0"/>
        <v>0</v>
      </c>
      <c r="H31" s="122"/>
    </row>
    <row r="32" spans="2:8" ht="54" customHeight="1" x14ac:dyDescent="0.2">
      <c r="B32" s="129">
        <v>8</v>
      </c>
      <c r="C32" s="407" t="s">
        <v>103</v>
      </c>
      <c r="D32" s="210" t="s">
        <v>98</v>
      </c>
      <c r="E32" s="110">
        <v>1</v>
      </c>
      <c r="F32" s="102">
        <v>0</v>
      </c>
      <c r="G32" s="270">
        <f t="shared" si="0"/>
        <v>0</v>
      </c>
      <c r="H32" s="122"/>
    </row>
    <row r="33" spans="2:12" ht="127.5" customHeight="1" x14ac:dyDescent="0.2">
      <c r="B33" s="129">
        <v>9</v>
      </c>
      <c r="C33" s="407" t="s">
        <v>704</v>
      </c>
      <c r="D33" s="210" t="s">
        <v>149</v>
      </c>
      <c r="E33" s="110">
        <v>1</v>
      </c>
      <c r="F33" s="102">
        <v>0</v>
      </c>
      <c r="G33" s="270">
        <f t="shared" si="0"/>
        <v>0</v>
      </c>
      <c r="H33" s="122"/>
      <c r="I33" s="121"/>
      <c r="J33" s="121"/>
      <c r="K33" s="121"/>
      <c r="L33" s="121"/>
    </row>
    <row r="34" spans="2:12" ht="25.5" customHeight="1" x14ac:dyDescent="0.2">
      <c r="B34" s="129">
        <v>10</v>
      </c>
      <c r="C34" s="3165" t="s">
        <v>2590</v>
      </c>
      <c r="D34" s="210" t="s">
        <v>95</v>
      </c>
      <c r="E34" s="110">
        <v>1</v>
      </c>
      <c r="F34" s="102">
        <v>0</v>
      </c>
      <c r="G34" s="270">
        <f t="shared" si="0"/>
        <v>0</v>
      </c>
      <c r="H34" s="122"/>
      <c r="I34" s="121"/>
      <c r="J34" s="121"/>
      <c r="K34" s="121"/>
      <c r="L34" s="121"/>
    </row>
    <row r="35" spans="2:12" ht="27.75" customHeight="1" x14ac:dyDescent="0.2">
      <c r="B35" s="129">
        <v>11</v>
      </c>
      <c r="C35" s="3165" t="s">
        <v>2591</v>
      </c>
      <c r="D35" s="210" t="s">
        <v>98</v>
      </c>
      <c r="E35" s="110">
        <v>1</v>
      </c>
      <c r="F35" s="102">
        <v>0</v>
      </c>
      <c r="G35" s="270">
        <f t="shared" si="0"/>
        <v>0</v>
      </c>
      <c r="H35" s="122"/>
      <c r="I35" s="121"/>
      <c r="J35" s="121"/>
      <c r="K35" s="121"/>
      <c r="L35" s="121"/>
    </row>
    <row r="36" spans="2:12" ht="14.25" customHeight="1" x14ac:dyDescent="0.2">
      <c r="B36" s="129">
        <v>12</v>
      </c>
      <c r="C36" s="407" t="s">
        <v>105</v>
      </c>
      <c r="D36" s="210" t="s">
        <v>98</v>
      </c>
      <c r="E36" s="199">
        <v>1</v>
      </c>
      <c r="F36" s="102">
        <v>0</v>
      </c>
      <c r="G36" s="270">
        <f t="shared" si="0"/>
        <v>0</v>
      </c>
      <c r="H36" s="122"/>
      <c r="I36" s="121"/>
      <c r="J36" s="121"/>
      <c r="K36" s="121"/>
      <c r="L36" s="121"/>
    </row>
    <row r="37" spans="2:12" ht="38.25" customHeight="1" x14ac:dyDescent="0.2">
      <c r="B37" s="129">
        <v>13</v>
      </c>
      <c r="C37" s="212" t="s">
        <v>106</v>
      </c>
      <c r="D37" s="210" t="s">
        <v>98</v>
      </c>
      <c r="E37" s="113">
        <v>1</v>
      </c>
      <c r="F37" s="102">
        <v>0</v>
      </c>
      <c r="G37" s="270">
        <f t="shared" si="0"/>
        <v>0</v>
      </c>
      <c r="H37" s="122"/>
      <c r="I37" s="121"/>
      <c r="J37" s="121"/>
      <c r="K37" s="121"/>
      <c r="L37" s="121"/>
    </row>
    <row r="38" spans="2:12" ht="39.75" customHeight="1" x14ac:dyDescent="0.2">
      <c r="B38" s="129">
        <v>14</v>
      </c>
      <c r="C38" s="307" t="s">
        <v>107</v>
      </c>
      <c r="D38" s="210" t="s">
        <v>98</v>
      </c>
      <c r="E38" s="113">
        <v>1</v>
      </c>
      <c r="F38" s="102">
        <v>0</v>
      </c>
      <c r="G38" s="270">
        <f t="shared" si="0"/>
        <v>0</v>
      </c>
      <c r="H38" s="122"/>
      <c r="I38" s="121"/>
      <c r="J38" s="121"/>
      <c r="K38" s="121"/>
      <c r="L38" s="121"/>
    </row>
    <row r="39" spans="2:12" s="9" customFormat="1" ht="23.25" customHeight="1" x14ac:dyDescent="0.25">
      <c r="B39" s="327" t="s">
        <v>10</v>
      </c>
      <c r="C39" s="214" t="s">
        <v>108</v>
      </c>
      <c r="D39" s="214"/>
      <c r="E39" s="215"/>
      <c r="F39" s="216"/>
      <c r="G39" s="290">
        <f>SUM(G25:G38)</f>
        <v>0</v>
      </c>
      <c r="H39" s="150"/>
      <c r="I39" s="147"/>
      <c r="J39" s="147"/>
      <c r="K39" s="147"/>
      <c r="L39" s="147"/>
    </row>
    <row r="40" spans="2:12" x14ac:dyDescent="0.2">
      <c r="B40" s="129"/>
      <c r="C40" s="197"/>
      <c r="D40" s="198"/>
      <c r="E40" s="199"/>
      <c r="F40" s="200"/>
      <c r="G40" s="201"/>
      <c r="H40" s="122"/>
      <c r="I40" s="121"/>
      <c r="J40" s="121"/>
      <c r="K40" s="121"/>
      <c r="L40" s="121"/>
    </row>
    <row r="41" spans="2:12" ht="24" x14ac:dyDescent="0.2">
      <c r="B41" s="128" t="s">
        <v>83</v>
      </c>
      <c r="C41" s="192" t="s">
        <v>89</v>
      </c>
      <c r="D41" s="193" t="s">
        <v>90</v>
      </c>
      <c r="E41" s="194" t="s">
        <v>91</v>
      </c>
      <c r="F41" s="195" t="s">
        <v>92</v>
      </c>
      <c r="G41" s="196" t="s">
        <v>93</v>
      </c>
      <c r="H41" s="122"/>
      <c r="I41" s="121"/>
      <c r="J41" s="121"/>
      <c r="K41" s="121"/>
      <c r="L41" s="121"/>
    </row>
    <row r="42" spans="2:12" x14ac:dyDescent="0.2">
      <c r="B42" s="129"/>
      <c r="C42" s="217"/>
      <c r="D42" s="207"/>
      <c r="E42" s="199"/>
      <c r="F42" s="200"/>
      <c r="G42" s="201"/>
      <c r="H42" s="122"/>
      <c r="I42" s="121"/>
      <c r="J42" s="121"/>
      <c r="K42" s="121"/>
      <c r="L42" s="121"/>
    </row>
    <row r="43" spans="2:12" s="16" customFormat="1" ht="20.25" x14ac:dyDescent="0.3">
      <c r="B43" s="303" t="s">
        <v>12</v>
      </c>
      <c r="C43" s="304" t="s">
        <v>109</v>
      </c>
      <c r="D43" s="298"/>
      <c r="E43" s="299"/>
      <c r="F43" s="300"/>
      <c r="G43" s="301"/>
      <c r="H43" s="302"/>
      <c r="I43" s="295"/>
      <c r="J43" s="295"/>
      <c r="K43" s="295"/>
      <c r="L43" s="295"/>
    </row>
    <row r="44" spans="2:12" s="43" customFormat="1" ht="71.25" customHeight="1" x14ac:dyDescent="0.2">
      <c r="B44" s="3184" t="s">
        <v>110</v>
      </c>
      <c r="C44" s="3185"/>
      <c r="D44" s="3185"/>
      <c r="E44" s="3185"/>
      <c r="F44" s="3185"/>
      <c r="G44" s="3186"/>
      <c r="H44" s="122"/>
      <c r="I44" s="130"/>
      <c r="J44" s="130"/>
      <c r="K44" s="130"/>
      <c r="L44" s="130"/>
    </row>
    <row r="45" spans="2:12" ht="27.75" customHeight="1" x14ac:dyDescent="0.2">
      <c r="B45" s="131">
        <v>1</v>
      </c>
      <c r="C45" s="206" t="s">
        <v>111</v>
      </c>
      <c r="D45" s="207" t="s">
        <v>112</v>
      </c>
      <c r="E45" s="110">
        <v>3</v>
      </c>
      <c r="F45" s="102">
        <v>0</v>
      </c>
      <c r="G45" s="270">
        <f t="shared" ref="G45:G61" si="1">E45*F45</f>
        <v>0</v>
      </c>
      <c r="H45" s="122"/>
      <c r="I45" s="132"/>
      <c r="J45" s="121"/>
      <c r="K45" s="121"/>
      <c r="L45" s="121"/>
    </row>
    <row r="46" spans="2:12" ht="39" customHeight="1" x14ac:dyDescent="0.2">
      <c r="B46" s="131">
        <v>2</v>
      </c>
      <c r="C46" s="206" t="s">
        <v>113</v>
      </c>
      <c r="D46" s="207" t="s">
        <v>95</v>
      </c>
      <c r="E46" s="110">
        <v>6</v>
      </c>
      <c r="F46" s="102">
        <v>0</v>
      </c>
      <c r="G46" s="270">
        <f t="shared" si="1"/>
        <v>0</v>
      </c>
      <c r="H46" s="122"/>
      <c r="I46" s="132"/>
      <c r="J46" s="121"/>
      <c r="K46" s="121"/>
      <c r="L46" s="121"/>
    </row>
    <row r="47" spans="2:12" ht="36" x14ac:dyDescent="0.2">
      <c r="B47" s="131">
        <v>3</v>
      </c>
      <c r="C47" s="206" t="s">
        <v>114</v>
      </c>
      <c r="D47" s="209" t="s">
        <v>112</v>
      </c>
      <c r="E47" s="110">
        <v>3.6</v>
      </c>
      <c r="F47" s="102">
        <v>0</v>
      </c>
      <c r="G47" s="270">
        <f t="shared" si="1"/>
        <v>0</v>
      </c>
      <c r="H47" s="122"/>
      <c r="I47" s="133"/>
      <c r="J47" s="121"/>
      <c r="K47" s="134"/>
      <c r="L47" s="134"/>
    </row>
    <row r="48" spans="2:12" ht="39.75" customHeight="1" x14ac:dyDescent="0.2">
      <c r="B48" s="131">
        <v>4</v>
      </c>
      <c r="C48" s="206" t="s">
        <v>2209</v>
      </c>
      <c r="D48" s="209" t="s">
        <v>112</v>
      </c>
      <c r="E48" s="110">
        <v>29</v>
      </c>
      <c r="F48" s="102">
        <v>0</v>
      </c>
      <c r="G48" s="270">
        <f t="shared" si="1"/>
        <v>0</v>
      </c>
      <c r="H48" s="122"/>
      <c r="I48" s="133"/>
    </row>
    <row r="49" spans="1:9" ht="43.5" customHeight="1" x14ac:dyDescent="0.2">
      <c r="B49" s="131">
        <v>5</v>
      </c>
      <c r="C49" s="112" t="s">
        <v>2210</v>
      </c>
      <c r="D49" s="111" t="s">
        <v>112</v>
      </c>
      <c r="E49" s="220">
        <v>27</v>
      </c>
      <c r="F49" s="102">
        <v>0</v>
      </c>
      <c r="G49" s="270">
        <f t="shared" si="1"/>
        <v>0</v>
      </c>
      <c r="H49" s="122"/>
      <c r="I49" s="132"/>
    </row>
    <row r="50" spans="1:9" ht="29.25" customHeight="1" x14ac:dyDescent="0.2">
      <c r="B50" s="131">
        <v>6</v>
      </c>
      <c r="C50" s="206" t="s">
        <v>118</v>
      </c>
      <c r="D50" s="209" t="s">
        <v>117</v>
      </c>
      <c r="E50" s="199">
        <v>68</v>
      </c>
      <c r="F50" s="102">
        <v>0</v>
      </c>
      <c r="G50" s="270">
        <f t="shared" si="1"/>
        <v>0</v>
      </c>
      <c r="H50" s="122"/>
      <c r="I50" s="132"/>
    </row>
    <row r="51" spans="1:9" ht="27" customHeight="1" x14ac:dyDescent="0.2">
      <c r="B51" s="131">
        <v>7</v>
      </c>
      <c r="C51" s="206" t="s">
        <v>304</v>
      </c>
      <c r="D51" s="209" t="s">
        <v>112</v>
      </c>
      <c r="E51" s="199">
        <v>6.5</v>
      </c>
      <c r="F51" s="102">
        <v>0</v>
      </c>
      <c r="G51" s="270">
        <f t="shared" si="1"/>
        <v>0</v>
      </c>
      <c r="H51" s="122"/>
      <c r="I51" s="133"/>
    </row>
    <row r="52" spans="1:9" ht="24" x14ac:dyDescent="0.2">
      <c r="B52" s="131">
        <v>8</v>
      </c>
      <c r="C52" s="206" t="s">
        <v>119</v>
      </c>
      <c r="D52" s="209" t="s">
        <v>112</v>
      </c>
      <c r="E52" s="110">
        <v>29</v>
      </c>
      <c r="F52" s="102">
        <v>0</v>
      </c>
      <c r="G52" s="270">
        <f t="shared" si="1"/>
        <v>0</v>
      </c>
      <c r="H52" s="122"/>
      <c r="I52" s="134"/>
    </row>
    <row r="53" spans="1:9" ht="40.5" customHeight="1" x14ac:dyDescent="0.2">
      <c r="B53" s="131">
        <v>9</v>
      </c>
      <c r="C53" s="208" t="s">
        <v>120</v>
      </c>
      <c r="D53" s="209" t="s">
        <v>112</v>
      </c>
      <c r="E53" s="199">
        <v>27</v>
      </c>
      <c r="F53" s="102">
        <v>0</v>
      </c>
      <c r="G53" s="270">
        <f t="shared" si="1"/>
        <v>0</v>
      </c>
      <c r="H53" s="122"/>
      <c r="I53" s="121"/>
    </row>
    <row r="54" spans="1:9" s="43" customFormat="1" ht="36" x14ac:dyDescent="0.2">
      <c r="B54" s="131">
        <v>10</v>
      </c>
      <c r="C54" s="314" t="s">
        <v>121</v>
      </c>
      <c r="D54" s="210" t="s">
        <v>112</v>
      </c>
      <c r="E54" s="199">
        <v>5</v>
      </c>
      <c r="F54" s="102">
        <v>0</v>
      </c>
      <c r="G54" s="270">
        <f t="shared" si="1"/>
        <v>0</v>
      </c>
      <c r="H54" s="122"/>
      <c r="I54" s="130"/>
    </row>
    <row r="55" spans="1:9" ht="24" x14ac:dyDescent="0.2">
      <c r="B55" s="131">
        <v>11</v>
      </c>
      <c r="C55" s="206" t="s">
        <v>125</v>
      </c>
      <c r="D55" s="209" t="s">
        <v>95</v>
      </c>
      <c r="E55" s="199">
        <v>10</v>
      </c>
      <c r="F55" s="102">
        <v>0</v>
      </c>
      <c r="G55" s="270">
        <f t="shared" si="1"/>
        <v>0</v>
      </c>
      <c r="H55" s="122"/>
      <c r="I55" s="121"/>
    </row>
    <row r="56" spans="1:9" ht="16.5" customHeight="1" x14ac:dyDescent="0.2">
      <c r="B56" s="131">
        <v>12</v>
      </c>
      <c r="C56" s="206" t="s">
        <v>126</v>
      </c>
      <c r="D56" s="207" t="s">
        <v>117</v>
      </c>
      <c r="E56" s="199">
        <v>3</v>
      </c>
      <c r="F56" s="102">
        <v>0</v>
      </c>
      <c r="G56" s="270">
        <f t="shared" si="1"/>
        <v>0</v>
      </c>
      <c r="H56" s="122"/>
      <c r="I56" s="121"/>
    </row>
    <row r="57" spans="1:9" ht="41.25" customHeight="1" x14ac:dyDescent="0.2">
      <c r="B57" s="131">
        <v>13</v>
      </c>
      <c r="C57" s="206" t="s">
        <v>127</v>
      </c>
      <c r="D57" s="207" t="s">
        <v>117</v>
      </c>
      <c r="E57" s="199">
        <v>3</v>
      </c>
      <c r="F57" s="102">
        <v>0</v>
      </c>
      <c r="G57" s="270">
        <f t="shared" si="1"/>
        <v>0</v>
      </c>
      <c r="H57" s="122"/>
      <c r="I57" s="121"/>
    </row>
    <row r="58" spans="1:9" ht="60" x14ac:dyDescent="0.2">
      <c r="B58" s="131">
        <v>14</v>
      </c>
      <c r="C58" s="314" t="s">
        <v>706</v>
      </c>
      <c r="D58" s="209" t="s">
        <v>117</v>
      </c>
      <c r="E58" s="199">
        <v>3</v>
      </c>
      <c r="F58" s="102">
        <v>0</v>
      </c>
      <c r="G58" s="270">
        <f t="shared" si="1"/>
        <v>0</v>
      </c>
      <c r="H58" s="122"/>
      <c r="I58" s="121"/>
    </row>
    <row r="59" spans="1:9" ht="14.25" customHeight="1" x14ac:dyDescent="0.2">
      <c r="B59" s="131">
        <v>15</v>
      </c>
      <c r="C59" s="206" t="s">
        <v>134</v>
      </c>
      <c r="D59" s="209" t="s">
        <v>112</v>
      </c>
      <c r="E59" s="199">
        <v>6</v>
      </c>
      <c r="F59" s="102">
        <v>0</v>
      </c>
      <c r="G59" s="270">
        <f t="shared" si="1"/>
        <v>0</v>
      </c>
      <c r="H59" s="122"/>
      <c r="I59" s="121"/>
    </row>
    <row r="60" spans="1:9" ht="15.75" customHeight="1" x14ac:dyDescent="0.2">
      <c r="B60" s="131">
        <v>16</v>
      </c>
      <c r="C60" s="206" t="s">
        <v>135</v>
      </c>
      <c r="D60" s="209" t="s">
        <v>112</v>
      </c>
      <c r="E60" s="199">
        <v>8.5</v>
      </c>
      <c r="F60" s="102">
        <v>0</v>
      </c>
      <c r="G60" s="270">
        <f t="shared" si="1"/>
        <v>0</v>
      </c>
      <c r="H60" s="122"/>
      <c r="I60" s="121"/>
    </row>
    <row r="61" spans="1:9" ht="26.25" customHeight="1" x14ac:dyDescent="0.2">
      <c r="B61" s="131">
        <v>17</v>
      </c>
      <c r="C61" s="206" t="s">
        <v>136</v>
      </c>
      <c r="D61" s="209" t="s">
        <v>117</v>
      </c>
      <c r="E61" s="199">
        <v>3</v>
      </c>
      <c r="F61" s="102">
        <v>0</v>
      </c>
      <c r="G61" s="270">
        <f t="shared" si="1"/>
        <v>0</v>
      </c>
      <c r="H61" s="122"/>
      <c r="I61" s="121"/>
    </row>
    <row r="62" spans="1:9" ht="54" customHeight="1" x14ac:dyDescent="0.2">
      <c r="B62" s="131">
        <v>18</v>
      </c>
      <c r="C62" s="410" t="s">
        <v>2211</v>
      </c>
      <c r="D62" s="222" t="s">
        <v>149</v>
      </c>
      <c r="E62" s="47">
        <v>1</v>
      </c>
      <c r="F62" s="269">
        <v>0</v>
      </c>
      <c r="G62" s="270">
        <f t="shared" ref="G62:G66" si="2">E62*F62</f>
        <v>0</v>
      </c>
      <c r="H62" s="122"/>
    </row>
    <row r="63" spans="1:9" ht="192" x14ac:dyDescent="0.2">
      <c r="A63" s="121"/>
      <c r="B63" s="131">
        <v>19</v>
      </c>
      <c r="C63" s="410" t="s">
        <v>2212</v>
      </c>
      <c r="D63" s="222" t="s">
        <v>149</v>
      </c>
      <c r="E63" s="109">
        <v>1</v>
      </c>
      <c r="F63" s="269">
        <v>0</v>
      </c>
      <c r="G63" s="270">
        <f t="shared" si="2"/>
        <v>0</v>
      </c>
      <c r="H63" s="122"/>
    </row>
    <row r="64" spans="1:9" ht="36" x14ac:dyDescent="0.2">
      <c r="A64" s="121"/>
      <c r="B64" s="131">
        <v>20</v>
      </c>
      <c r="C64" s="223" t="s">
        <v>152</v>
      </c>
      <c r="D64" s="222" t="s">
        <v>149</v>
      </c>
      <c r="E64" s="47">
        <v>3</v>
      </c>
      <c r="F64" s="269">
        <v>0</v>
      </c>
      <c r="G64" s="270">
        <f t="shared" si="2"/>
        <v>0</v>
      </c>
      <c r="H64" s="122"/>
    </row>
    <row r="65" spans="1:8" ht="30" customHeight="1" x14ac:dyDescent="0.2">
      <c r="A65" s="121"/>
      <c r="B65" s="131">
        <v>21</v>
      </c>
      <c r="C65" s="223" t="s">
        <v>153</v>
      </c>
      <c r="D65" s="222" t="s">
        <v>112</v>
      </c>
      <c r="E65" s="109">
        <v>5.2</v>
      </c>
      <c r="F65" s="269">
        <v>0</v>
      </c>
      <c r="G65" s="270">
        <f t="shared" si="2"/>
        <v>0</v>
      </c>
      <c r="H65" s="122"/>
    </row>
    <row r="66" spans="1:8" ht="28.5" customHeight="1" x14ac:dyDescent="0.2">
      <c r="A66" s="121"/>
      <c r="B66" s="131">
        <v>22</v>
      </c>
      <c r="C66" s="223" t="s">
        <v>155</v>
      </c>
      <c r="D66" s="222" t="s">
        <v>156</v>
      </c>
      <c r="E66" s="109">
        <v>16</v>
      </c>
      <c r="F66" s="269">
        <v>0</v>
      </c>
      <c r="G66" s="270">
        <f t="shared" si="2"/>
        <v>0</v>
      </c>
      <c r="H66" s="122"/>
    </row>
    <row r="67" spans="1:8" s="9" customFormat="1" ht="21.75" customHeight="1" x14ac:dyDescent="0.25">
      <c r="A67" s="147"/>
      <c r="B67" s="327" t="s">
        <v>12</v>
      </c>
      <c r="C67" s="214" t="s">
        <v>157</v>
      </c>
      <c r="D67" s="224"/>
      <c r="E67" s="215"/>
      <c r="F67" s="216"/>
      <c r="G67" s="290">
        <f>SUM(G45:G66)</f>
        <v>0</v>
      </c>
      <c r="H67" s="150"/>
    </row>
    <row r="68" spans="1:8" x14ac:dyDescent="0.2">
      <c r="A68" s="121"/>
      <c r="B68" s="129"/>
      <c r="C68" s="197"/>
      <c r="D68" s="198"/>
      <c r="E68" s="199"/>
      <c r="F68" s="200"/>
      <c r="G68" s="201"/>
      <c r="H68" s="122"/>
    </row>
    <row r="69" spans="1:8" ht="24" x14ac:dyDescent="0.2">
      <c r="A69" s="121"/>
      <c r="B69" s="128" t="s">
        <v>83</v>
      </c>
      <c r="C69" s="192" t="s">
        <v>89</v>
      </c>
      <c r="D69" s="192" t="s">
        <v>90</v>
      </c>
      <c r="E69" s="194" t="s">
        <v>91</v>
      </c>
      <c r="F69" s="195" t="s">
        <v>92</v>
      </c>
      <c r="G69" s="196" t="s">
        <v>93</v>
      </c>
      <c r="H69" s="122"/>
    </row>
    <row r="70" spans="1:8" x14ac:dyDescent="0.2">
      <c r="A70" s="121"/>
      <c r="B70" s="129"/>
      <c r="C70" s="197"/>
      <c r="D70" s="207"/>
      <c r="E70" s="199"/>
      <c r="F70" s="200"/>
      <c r="G70" s="201"/>
      <c r="H70" s="122"/>
    </row>
    <row r="71" spans="1:8" s="16" customFormat="1" ht="20.25" x14ac:dyDescent="0.3">
      <c r="A71" s="295"/>
      <c r="B71" s="296" t="s">
        <v>17</v>
      </c>
      <c r="C71" s="297" t="s">
        <v>158</v>
      </c>
      <c r="D71" s="298"/>
      <c r="E71" s="299"/>
      <c r="F71" s="300"/>
      <c r="G71" s="301"/>
      <c r="H71" s="302"/>
    </row>
    <row r="72" spans="1:8" s="24" customFormat="1" ht="18" customHeight="1" x14ac:dyDescent="0.2">
      <c r="A72" s="140"/>
      <c r="B72" s="143" t="s">
        <v>1</v>
      </c>
      <c r="C72" s="168"/>
      <c r="D72" s="170"/>
      <c r="E72" s="170"/>
      <c r="F72" s="170"/>
      <c r="G72" s="169"/>
      <c r="H72" s="139"/>
    </row>
    <row r="73" spans="1:8" s="24" customFormat="1" ht="18" customHeight="1" x14ac:dyDescent="0.25">
      <c r="A73" s="141"/>
      <c r="B73" s="144" t="s">
        <v>2</v>
      </c>
      <c r="C73" s="171"/>
      <c r="D73" s="172"/>
      <c r="E73" s="173"/>
      <c r="F73" s="173"/>
      <c r="G73" s="172"/>
      <c r="H73" s="139"/>
    </row>
    <row r="74" spans="1:8" s="24" customFormat="1" ht="18" customHeight="1" x14ac:dyDescent="0.2">
      <c r="A74" s="140"/>
      <c r="B74" s="143" t="s">
        <v>3</v>
      </c>
      <c r="C74" s="168"/>
      <c r="D74" s="170"/>
      <c r="E74" s="170"/>
      <c r="F74" s="170"/>
      <c r="G74" s="169"/>
      <c r="H74" s="139"/>
    </row>
    <row r="75" spans="1:8" s="24" customFormat="1" ht="18" customHeight="1" x14ac:dyDescent="0.25">
      <c r="A75" s="141"/>
      <c r="B75" s="144" t="s">
        <v>4</v>
      </c>
      <c r="C75" s="171"/>
      <c r="D75" s="173"/>
      <c r="E75" s="173"/>
      <c r="F75" s="173"/>
      <c r="G75" s="172"/>
      <c r="H75" s="139"/>
    </row>
    <row r="76" spans="1:8" s="43" customFormat="1" ht="18.75" customHeight="1" x14ac:dyDescent="0.2">
      <c r="A76" s="130"/>
      <c r="B76" s="3184" t="s">
        <v>159</v>
      </c>
      <c r="C76" s="3185"/>
      <c r="D76" s="3185"/>
      <c r="E76" s="3185"/>
      <c r="F76" s="3185"/>
      <c r="G76" s="3186"/>
      <c r="H76" s="122"/>
    </row>
    <row r="77" spans="1:8" s="43" customFormat="1" ht="18.75" customHeight="1" x14ac:dyDescent="0.2">
      <c r="B77" s="3184" t="s">
        <v>160</v>
      </c>
      <c r="C77" s="3185"/>
      <c r="D77" s="3185"/>
      <c r="E77" s="3185"/>
      <c r="F77" s="3185"/>
      <c r="G77" s="3186"/>
      <c r="H77" s="122"/>
    </row>
    <row r="78" spans="1:8" s="43" customFormat="1" ht="18.75" customHeight="1" x14ac:dyDescent="0.2">
      <c r="B78" s="3184" t="s">
        <v>161</v>
      </c>
      <c r="C78" s="3185"/>
      <c r="D78" s="3185"/>
      <c r="E78" s="3185"/>
      <c r="F78" s="3185"/>
      <c r="G78" s="3186"/>
      <c r="H78" s="122"/>
    </row>
    <row r="79" spans="1:8" ht="30" customHeight="1" x14ac:dyDescent="0.2">
      <c r="B79" s="153">
        <v>1</v>
      </c>
      <c r="C79" s="412" t="s">
        <v>162</v>
      </c>
      <c r="D79" s="226"/>
      <c r="E79" s="199"/>
      <c r="F79" s="200"/>
      <c r="G79" s="201"/>
      <c r="H79" s="122"/>
    </row>
    <row r="80" spans="1:8" s="9" customFormat="1" ht="18.75" customHeight="1" x14ac:dyDescent="0.25">
      <c r="B80" s="148"/>
      <c r="C80" s="413" t="s">
        <v>313</v>
      </c>
      <c r="D80" s="226" t="s">
        <v>95</v>
      </c>
      <c r="E80" s="199">
        <v>55</v>
      </c>
      <c r="F80" s="269">
        <v>0</v>
      </c>
      <c r="G80" s="270">
        <f>E80*F80</f>
        <v>0</v>
      </c>
      <c r="H80" s="150"/>
    </row>
    <row r="81" spans="2:8" ht="40.5" customHeight="1" x14ac:dyDescent="0.2">
      <c r="B81" s="154">
        <v>2</v>
      </c>
      <c r="C81" s="227" t="s">
        <v>172</v>
      </c>
      <c r="D81" s="209" t="s">
        <v>95</v>
      </c>
      <c r="E81" s="228">
        <v>55</v>
      </c>
      <c r="F81" s="269">
        <v>0</v>
      </c>
      <c r="G81" s="270">
        <f>E81*F81</f>
        <v>0</v>
      </c>
      <c r="H81" s="122"/>
    </row>
    <row r="82" spans="2:8" ht="41.25" customHeight="1" x14ac:dyDescent="0.2">
      <c r="B82" s="309" t="s">
        <v>173</v>
      </c>
      <c r="C82" s="227" t="s">
        <v>174</v>
      </c>
      <c r="D82" s="209" t="s">
        <v>98</v>
      </c>
      <c r="E82" s="228">
        <v>1</v>
      </c>
      <c r="F82" s="269">
        <v>0</v>
      </c>
      <c r="G82" s="270">
        <f>E82*F82</f>
        <v>0</v>
      </c>
      <c r="H82" s="122"/>
    </row>
    <row r="83" spans="2:8" ht="27" customHeight="1" x14ac:dyDescent="0.2">
      <c r="B83" s="309" t="s">
        <v>175</v>
      </c>
      <c r="C83" s="227" t="s">
        <v>176</v>
      </c>
      <c r="D83" s="209" t="s">
        <v>98</v>
      </c>
      <c r="E83" s="228">
        <v>1</v>
      </c>
      <c r="F83" s="269">
        <v>0</v>
      </c>
      <c r="G83" s="270">
        <f>E83*F83</f>
        <v>0</v>
      </c>
      <c r="H83" s="122"/>
    </row>
    <row r="84" spans="2:8" ht="39" customHeight="1" x14ac:dyDescent="0.2">
      <c r="B84" s="309" t="s">
        <v>177</v>
      </c>
      <c r="C84" s="227" t="s">
        <v>178</v>
      </c>
      <c r="D84" s="209" t="s">
        <v>98</v>
      </c>
      <c r="E84" s="228">
        <v>1</v>
      </c>
      <c r="F84" s="269">
        <v>0</v>
      </c>
      <c r="G84" s="270">
        <f>E84*F84</f>
        <v>0</v>
      </c>
      <c r="H84" s="122"/>
    </row>
    <row r="85" spans="2:8" ht="27.75" customHeight="1" x14ac:dyDescent="0.2">
      <c r="B85" s="153">
        <v>3</v>
      </c>
      <c r="C85" s="229" t="s">
        <v>179</v>
      </c>
      <c r="D85" s="198"/>
      <c r="E85" s="199"/>
      <c r="F85" s="200">
        <v>0</v>
      </c>
      <c r="G85" s="201"/>
      <c r="H85" s="122"/>
    </row>
    <row r="86" spans="2:8" s="34" customFormat="1" x14ac:dyDescent="0.2">
      <c r="B86" s="292" t="s">
        <v>270</v>
      </c>
      <c r="C86" s="264" t="s">
        <v>271</v>
      </c>
      <c r="D86" s="231"/>
      <c r="E86" s="265"/>
      <c r="F86" s="266"/>
      <c r="G86" s="234"/>
      <c r="H86" s="122"/>
    </row>
    <row r="87" spans="2:8" s="34" customFormat="1" x14ac:dyDescent="0.2">
      <c r="B87" s="135"/>
      <c r="C87" s="264" t="s">
        <v>873</v>
      </c>
      <c r="D87" s="231"/>
      <c r="E87" s="265"/>
      <c r="F87" s="266">
        <v>0</v>
      </c>
      <c r="G87" s="234"/>
      <c r="H87" s="122"/>
    </row>
    <row r="88" spans="2:8" s="34" customFormat="1" x14ac:dyDescent="0.2">
      <c r="B88" s="135"/>
      <c r="C88" s="267" t="s">
        <v>341</v>
      </c>
      <c r="D88" s="231" t="s">
        <v>149</v>
      </c>
      <c r="E88" s="265">
        <v>6</v>
      </c>
      <c r="F88" s="279">
        <v>0</v>
      </c>
      <c r="G88" s="272">
        <f t="shared" ref="G88:G114" si="3">E88*F88</f>
        <v>0</v>
      </c>
      <c r="H88" s="122"/>
    </row>
    <row r="89" spans="2:8" s="34" customFormat="1" x14ac:dyDescent="0.2">
      <c r="B89" s="135"/>
      <c r="C89" s="267" t="s">
        <v>2213</v>
      </c>
      <c r="D89" s="231" t="s">
        <v>149</v>
      </c>
      <c r="E89" s="265">
        <v>2</v>
      </c>
      <c r="F89" s="279">
        <v>0</v>
      </c>
      <c r="G89" s="272">
        <f t="shared" si="3"/>
        <v>0</v>
      </c>
      <c r="H89" s="122"/>
    </row>
    <row r="90" spans="2:8" s="34" customFormat="1" x14ac:dyDescent="0.2">
      <c r="B90" s="135"/>
      <c r="C90" s="267" t="s">
        <v>256</v>
      </c>
      <c r="D90" s="231" t="s">
        <v>149</v>
      </c>
      <c r="E90" s="265">
        <v>2</v>
      </c>
      <c r="F90" s="279">
        <v>0</v>
      </c>
      <c r="G90" s="272">
        <f t="shared" si="3"/>
        <v>0</v>
      </c>
      <c r="H90" s="122"/>
    </row>
    <row r="91" spans="2:8" s="34" customFormat="1" x14ac:dyDescent="0.2">
      <c r="B91" s="135"/>
      <c r="C91" s="267" t="s">
        <v>208</v>
      </c>
      <c r="D91" s="231" t="s">
        <v>149</v>
      </c>
      <c r="E91" s="265">
        <v>2</v>
      </c>
      <c r="F91" s="279">
        <v>0</v>
      </c>
      <c r="G91" s="272">
        <f t="shared" si="3"/>
        <v>0</v>
      </c>
      <c r="H91" s="122"/>
    </row>
    <row r="92" spans="2:8" s="34" customFormat="1" x14ac:dyDescent="0.2">
      <c r="B92" s="135"/>
      <c r="C92" s="267" t="s">
        <v>257</v>
      </c>
      <c r="D92" s="231" t="s">
        <v>149</v>
      </c>
      <c r="E92" s="265">
        <v>2</v>
      </c>
      <c r="F92" s="279">
        <v>0</v>
      </c>
      <c r="G92" s="272">
        <f t="shared" si="3"/>
        <v>0</v>
      </c>
      <c r="H92" s="122"/>
    </row>
    <row r="93" spans="2:8" s="34" customFormat="1" ht="15" customHeight="1" x14ac:dyDescent="0.2">
      <c r="B93" s="135"/>
      <c r="C93" s="267" t="s">
        <v>273</v>
      </c>
      <c r="D93" s="231" t="s">
        <v>149</v>
      </c>
      <c r="E93" s="265">
        <v>2</v>
      </c>
      <c r="F93" s="279">
        <v>0</v>
      </c>
      <c r="G93" s="272">
        <f t="shared" si="3"/>
        <v>0</v>
      </c>
      <c r="H93" s="122"/>
    </row>
    <row r="94" spans="2:8" s="34" customFormat="1" ht="15" customHeight="1" x14ac:dyDescent="0.2">
      <c r="B94" s="135"/>
      <c r="C94" s="267" t="s">
        <v>274</v>
      </c>
      <c r="D94" s="231" t="s">
        <v>149</v>
      </c>
      <c r="E94" s="265">
        <v>2</v>
      </c>
      <c r="F94" s="279">
        <v>0</v>
      </c>
      <c r="G94" s="272">
        <f t="shared" si="3"/>
        <v>0</v>
      </c>
      <c r="H94" s="122"/>
    </row>
    <row r="95" spans="2:8" s="34" customFormat="1" ht="15" customHeight="1" x14ac:dyDescent="0.2">
      <c r="B95" s="135"/>
      <c r="C95" s="267" t="s">
        <v>275</v>
      </c>
      <c r="D95" s="231" t="s">
        <v>149</v>
      </c>
      <c r="E95" s="265">
        <v>1</v>
      </c>
      <c r="F95" s="279">
        <v>0</v>
      </c>
      <c r="G95" s="272">
        <f t="shared" si="3"/>
        <v>0</v>
      </c>
      <c r="H95" s="122"/>
    </row>
    <row r="96" spans="2:8" s="34" customFormat="1" ht="12" customHeight="1" x14ac:dyDescent="0.2">
      <c r="B96" s="135"/>
      <c r="C96" s="268" t="s">
        <v>276</v>
      </c>
      <c r="D96" s="231" t="s">
        <v>149</v>
      </c>
      <c r="E96" s="265">
        <v>2</v>
      </c>
      <c r="F96" s="279">
        <v>0</v>
      </c>
      <c r="G96" s="272">
        <f t="shared" si="3"/>
        <v>0</v>
      </c>
      <c r="H96" s="122"/>
    </row>
    <row r="97" spans="2:8" s="34" customFormat="1" ht="12.75" customHeight="1" x14ac:dyDescent="0.2">
      <c r="B97" s="135"/>
      <c r="C97" s="268" t="s">
        <v>277</v>
      </c>
      <c r="D97" s="231" t="s">
        <v>149</v>
      </c>
      <c r="E97" s="265">
        <v>1</v>
      </c>
      <c r="F97" s="279">
        <v>0</v>
      </c>
      <c r="G97" s="272">
        <f t="shared" si="3"/>
        <v>0</v>
      </c>
      <c r="H97" s="122"/>
    </row>
    <row r="98" spans="2:8" s="34" customFormat="1" ht="12.75" customHeight="1" x14ac:dyDescent="0.2">
      <c r="B98" s="135"/>
      <c r="C98" s="268" t="s">
        <v>278</v>
      </c>
      <c r="D98" s="231" t="s">
        <v>149</v>
      </c>
      <c r="E98" s="265">
        <v>1</v>
      </c>
      <c r="F98" s="279">
        <v>0</v>
      </c>
      <c r="G98" s="272">
        <f t="shared" si="3"/>
        <v>0</v>
      </c>
      <c r="H98" s="122"/>
    </row>
    <row r="99" spans="2:8" s="34" customFormat="1" x14ac:dyDescent="0.2">
      <c r="B99" s="135"/>
      <c r="C99" s="268" t="s">
        <v>262</v>
      </c>
      <c r="D99" s="231" t="s">
        <v>149</v>
      </c>
      <c r="E99" s="265">
        <v>1</v>
      </c>
      <c r="F99" s="279">
        <v>0</v>
      </c>
      <c r="G99" s="272">
        <f t="shared" si="3"/>
        <v>0</v>
      </c>
      <c r="H99" s="122"/>
    </row>
    <row r="100" spans="2:8" s="34" customFormat="1" ht="14.25" customHeight="1" x14ac:dyDescent="0.2">
      <c r="B100" s="135"/>
      <c r="C100" s="268" t="s">
        <v>279</v>
      </c>
      <c r="D100" s="231" t="s">
        <v>149</v>
      </c>
      <c r="E100" s="265">
        <v>1</v>
      </c>
      <c r="F100" s="279">
        <v>0</v>
      </c>
      <c r="G100" s="272">
        <f t="shared" si="3"/>
        <v>0</v>
      </c>
      <c r="H100" s="122"/>
    </row>
    <row r="101" spans="2:8" s="34" customFormat="1" ht="14.25" customHeight="1" x14ac:dyDescent="0.2">
      <c r="B101" s="135"/>
      <c r="C101" s="268" t="s">
        <v>280</v>
      </c>
      <c r="D101" s="231" t="s">
        <v>149</v>
      </c>
      <c r="E101" s="265">
        <v>1</v>
      </c>
      <c r="F101" s="279">
        <v>0</v>
      </c>
      <c r="G101" s="272">
        <f t="shared" si="3"/>
        <v>0</v>
      </c>
      <c r="H101" s="122"/>
    </row>
    <row r="102" spans="2:8" s="34" customFormat="1" ht="14.25" customHeight="1" x14ac:dyDescent="0.2">
      <c r="B102" s="135"/>
      <c r="C102" s="268" t="s">
        <v>281</v>
      </c>
      <c r="D102" s="231" t="s">
        <v>149</v>
      </c>
      <c r="E102" s="265">
        <v>1</v>
      </c>
      <c r="F102" s="279">
        <v>0</v>
      </c>
      <c r="G102" s="272">
        <f t="shared" si="3"/>
        <v>0</v>
      </c>
      <c r="H102" s="122"/>
    </row>
    <row r="103" spans="2:8" s="34" customFormat="1" ht="14.25" customHeight="1" x14ac:dyDescent="0.2">
      <c r="B103" s="135"/>
      <c r="C103" s="268" t="s">
        <v>282</v>
      </c>
      <c r="D103" s="231" t="s">
        <v>149</v>
      </c>
      <c r="E103" s="265">
        <v>1</v>
      </c>
      <c r="F103" s="279">
        <v>0</v>
      </c>
      <c r="G103" s="272">
        <f t="shared" si="3"/>
        <v>0</v>
      </c>
      <c r="H103" s="122"/>
    </row>
    <row r="104" spans="2:8" s="34" customFormat="1" x14ac:dyDescent="0.2">
      <c r="B104" s="135"/>
      <c r="C104" s="416" t="s">
        <v>283</v>
      </c>
      <c r="D104" s="231" t="s">
        <v>149</v>
      </c>
      <c r="E104" s="265">
        <v>2</v>
      </c>
      <c r="F104" s="279">
        <v>0</v>
      </c>
      <c r="G104" s="272">
        <f t="shared" si="3"/>
        <v>0</v>
      </c>
      <c r="H104" s="122"/>
    </row>
    <row r="105" spans="2:8" s="34" customFormat="1" ht="41.25" customHeight="1" x14ac:dyDescent="0.2">
      <c r="B105" s="135"/>
      <c r="C105" s="416" t="s">
        <v>284</v>
      </c>
      <c r="D105" s="231" t="s">
        <v>149</v>
      </c>
      <c r="E105" s="265">
        <v>1</v>
      </c>
      <c r="F105" s="279">
        <v>0</v>
      </c>
      <c r="G105" s="272">
        <f t="shared" si="3"/>
        <v>0</v>
      </c>
      <c r="H105" s="122"/>
    </row>
    <row r="106" spans="2:8" s="34" customFormat="1" ht="38.25" customHeight="1" x14ac:dyDescent="0.2">
      <c r="B106" s="135"/>
      <c r="C106" s="268" t="s">
        <v>285</v>
      </c>
      <c r="D106" s="231" t="s">
        <v>149</v>
      </c>
      <c r="E106" s="265">
        <v>1</v>
      </c>
      <c r="F106" s="279">
        <v>0</v>
      </c>
      <c r="G106" s="272">
        <f t="shared" si="3"/>
        <v>0</v>
      </c>
      <c r="H106" s="122"/>
    </row>
    <row r="107" spans="2:8" s="34" customFormat="1" x14ac:dyDescent="0.2">
      <c r="B107" s="135"/>
      <c r="C107" s="267" t="s">
        <v>191</v>
      </c>
      <c r="D107" s="231" t="s">
        <v>149</v>
      </c>
      <c r="E107" s="265">
        <v>2</v>
      </c>
      <c r="F107" s="279">
        <v>0</v>
      </c>
      <c r="G107" s="272">
        <f t="shared" si="3"/>
        <v>0</v>
      </c>
      <c r="H107" s="122"/>
    </row>
    <row r="108" spans="2:8" s="34" customFormat="1" x14ac:dyDescent="0.2">
      <c r="B108" s="135"/>
      <c r="C108" s="268" t="s">
        <v>193</v>
      </c>
      <c r="D108" s="231" t="s">
        <v>149</v>
      </c>
      <c r="E108" s="265">
        <v>1</v>
      </c>
      <c r="F108" s="279">
        <v>0</v>
      </c>
      <c r="G108" s="272">
        <f t="shared" si="3"/>
        <v>0</v>
      </c>
      <c r="H108" s="122"/>
    </row>
    <row r="109" spans="2:8" s="34" customFormat="1" x14ac:dyDescent="0.2">
      <c r="B109" s="135"/>
      <c r="C109" s="268" t="s">
        <v>194</v>
      </c>
      <c r="D109" s="231" t="s">
        <v>149</v>
      </c>
      <c r="E109" s="265">
        <v>1</v>
      </c>
      <c r="F109" s="279">
        <v>0</v>
      </c>
      <c r="G109" s="272">
        <f t="shared" si="3"/>
        <v>0</v>
      </c>
      <c r="H109" s="122"/>
    </row>
    <row r="110" spans="2:8" s="34" customFormat="1" x14ac:dyDescent="0.2">
      <c r="B110" s="135"/>
      <c r="C110" s="267" t="s">
        <v>286</v>
      </c>
      <c r="D110" s="231" t="s">
        <v>149</v>
      </c>
      <c r="E110" s="265">
        <v>1</v>
      </c>
      <c r="F110" s="279">
        <v>0</v>
      </c>
      <c r="G110" s="272">
        <f t="shared" si="3"/>
        <v>0</v>
      </c>
      <c r="H110" s="122"/>
    </row>
    <row r="111" spans="2:8" s="34" customFormat="1" x14ac:dyDescent="0.2">
      <c r="B111" s="135"/>
      <c r="C111" s="416" t="s">
        <v>354</v>
      </c>
      <c r="D111" s="231" t="s">
        <v>149</v>
      </c>
      <c r="E111" s="265">
        <v>2</v>
      </c>
      <c r="F111" s="279">
        <v>0</v>
      </c>
      <c r="G111" s="272">
        <f t="shared" si="3"/>
        <v>0</v>
      </c>
      <c r="H111" s="122"/>
    </row>
    <row r="112" spans="2:8" s="34" customFormat="1" x14ac:dyDescent="0.2">
      <c r="B112" s="135"/>
      <c r="C112" s="416" t="s">
        <v>269</v>
      </c>
      <c r="D112" s="231" t="s">
        <v>149</v>
      </c>
      <c r="E112" s="265">
        <v>4</v>
      </c>
      <c r="F112" s="279">
        <v>0</v>
      </c>
      <c r="G112" s="272">
        <f t="shared" si="3"/>
        <v>0</v>
      </c>
      <c r="H112" s="122"/>
    </row>
    <row r="113" spans="2:8" s="34" customFormat="1" x14ac:dyDescent="0.2">
      <c r="B113" s="135"/>
      <c r="C113" s="416" t="s">
        <v>739</v>
      </c>
      <c r="D113" s="231" t="s">
        <v>149</v>
      </c>
      <c r="E113" s="265">
        <v>2</v>
      </c>
      <c r="F113" s="279">
        <v>0</v>
      </c>
      <c r="G113" s="272">
        <f t="shared" si="3"/>
        <v>0</v>
      </c>
      <c r="H113" s="122"/>
    </row>
    <row r="114" spans="2:8" s="34" customFormat="1" x14ac:dyDescent="0.2">
      <c r="B114" s="135"/>
      <c r="C114" s="416" t="s">
        <v>2509</v>
      </c>
      <c r="D114" s="231" t="s">
        <v>149</v>
      </c>
      <c r="E114" s="265">
        <v>4</v>
      </c>
      <c r="F114" s="279">
        <v>0</v>
      </c>
      <c r="G114" s="272">
        <f t="shared" si="3"/>
        <v>0</v>
      </c>
      <c r="H114" s="122"/>
    </row>
    <row r="115" spans="2:8" s="34" customFormat="1" x14ac:dyDescent="0.2">
      <c r="B115" s="135"/>
      <c r="C115" s="416" t="s">
        <v>2510</v>
      </c>
      <c r="D115" s="231" t="s">
        <v>149</v>
      </c>
      <c r="E115" s="265">
        <v>4</v>
      </c>
      <c r="F115" s="279">
        <v>0</v>
      </c>
      <c r="G115" s="272">
        <f t="shared" ref="G115:G120" si="4">E115*F115</f>
        <v>0</v>
      </c>
      <c r="H115" s="122"/>
    </row>
    <row r="116" spans="2:8" s="34" customFormat="1" ht="84" x14ac:dyDescent="0.2">
      <c r="B116" s="135"/>
      <c r="C116" s="416" t="s">
        <v>2508</v>
      </c>
      <c r="D116" s="231" t="s">
        <v>149</v>
      </c>
      <c r="E116" s="265">
        <v>1</v>
      </c>
      <c r="F116" s="279">
        <v>0</v>
      </c>
      <c r="G116" s="272">
        <f t="shared" si="4"/>
        <v>0</v>
      </c>
      <c r="H116" s="122"/>
    </row>
    <row r="117" spans="2:8" s="34" customFormat="1" ht="48" x14ac:dyDescent="0.2">
      <c r="B117" s="135"/>
      <c r="C117" s="416" t="s">
        <v>1519</v>
      </c>
      <c r="D117" s="231" t="s">
        <v>149</v>
      </c>
      <c r="E117" s="265">
        <v>1</v>
      </c>
      <c r="F117" s="279">
        <v>0</v>
      </c>
      <c r="G117" s="272">
        <f t="shared" si="4"/>
        <v>0</v>
      </c>
      <c r="H117" s="122"/>
    </row>
    <row r="118" spans="2:8" s="34" customFormat="1" x14ac:dyDescent="0.2">
      <c r="B118" s="135"/>
      <c r="C118" s="416" t="s">
        <v>227</v>
      </c>
      <c r="D118" s="231" t="s">
        <v>149</v>
      </c>
      <c r="E118" s="265">
        <v>2</v>
      </c>
      <c r="F118" s="279">
        <v>0</v>
      </c>
      <c r="G118" s="272">
        <f t="shared" si="4"/>
        <v>0</v>
      </c>
      <c r="H118" s="122"/>
    </row>
    <row r="119" spans="2:8" s="34" customFormat="1" x14ac:dyDescent="0.2">
      <c r="B119" s="135"/>
      <c r="C119" s="416" t="s">
        <v>197</v>
      </c>
      <c r="D119" s="231" t="s">
        <v>149</v>
      </c>
      <c r="E119" s="265">
        <v>1</v>
      </c>
      <c r="F119" s="279">
        <v>0</v>
      </c>
      <c r="G119" s="272">
        <f t="shared" si="4"/>
        <v>0</v>
      </c>
      <c r="H119" s="122"/>
    </row>
    <row r="120" spans="2:8" s="34" customFormat="1" x14ac:dyDescent="0.2">
      <c r="B120" s="135"/>
      <c r="C120" s="417" t="s">
        <v>198</v>
      </c>
      <c r="D120" s="231" t="s">
        <v>149</v>
      </c>
      <c r="E120" s="265">
        <v>1</v>
      </c>
      <c r="F120" s="279">
        <v>0</v>
      </c>
      <c r="G120" s="272">
        <f t="shared" si="4"/>
        <v>0</v>
      </c>
      <c r="H120" s="122"/>
    </row>
    <row r="121" spans="2:8" s="9" customFormat="1" ht="25.5" customHeight="1" x14ac:dyDescent="0.25">
      <c r="B121" s="293" t="s">
        <v>17</v>
      </c>
      <c r="C121" s="294" t="s">
        <v>302</v>
      </c>
      <c r="D121" s="218"/>
      <c r="E121" s="203"/>
      <c r="F121" s="204"/>
      <c r="G121" s="290">
        <f>SUM(G79:G120)</f>
        <v>0</v>
      </c>
      <c r="H121" s="150"/>
    </row>
    <row r="122" spans="2:8" x14ac:dyDescent="0.2">
      <c r="B122" s="51"/>
      <c r="C122" s="50"/>
      <c r="D122" s="50"/>
      <c r="E122" s="359"/>
      <c r="F122" s="360"/>
      <c r="G122" s="361"/>
      <c r="H122" s="122"/>
    </row>
    <row r="123" spans="2:8" ht="20.25" x14ac:dyDescent="0.2">
      <c r="B123" s="296" t="s">
        <v>18</v>
      </c>
      <c r="C123" s="297" t="s">
        <v>367</v>
      </c>
      <c r="D123" s="298"/>
      <c r="E123" s="299"/>
      <c r="F123" s="300"/>
      <c r="G123" s="301"/>
      <c r="H123" s="122"/>
    </row>
    <row r="124" spans="2:8" x14ac:dyDescent="0.2">
      <c r="B124" s="3205" t="s">
        <v>539</v>
      </c>
      <c r="C124" s="3206"/>
      <c r="D124" s="3206"/>
      <c r="E124" s="3206"/>
      <c r="F124" s="3206"/>
      <c r="G124" s="3207"/>
      <c r="H124" s="122"/>
    </row>
    <row r="125" spans="2:8" ht="25.5" customHeight="1" x14ac:dyDescent="0.2">
      <c r="B125" s="3205" t="s">
        <v>540</v>
      </c>
      <c r="C125" s="3206"/>
      <c r="D125" s="3206"/>
      <c r="E125" s="3206"/>
      <c r="F125" s="3206"/>
      <c r="G125" s="3207"/>
    </row>
    <row r="126" spans="2:8" x14ac:dyDescent="0.2">
      <c r="B126" s="3205" t="s">
        <v>541</v>
      </c>
      <c r="C126" s="3206"/>
      <c r="D126" s="3206"/>
      <c r="E126" s="3206"/>
      <c r="F126" s="3206"/>
      <c r="G126" s="3207"/>
    </row>
    <row r="127" spans="2:8" ht="25.5" customHeight="1" x14ac:dyDescent="0.2">
      <c r="B127" s="3205" t="s">
        <v>542</v>
      </c>
      <c r="C127" s="3206"/>
      <c r="D127" s="3206"/>
      <c r="E127" s="3206"/>
      <c r="F127" s="3206"/>
      <c r="G127" s="3207"/>
    </row>
    <row r="128" spans="2:8" ht="25.5" customHeight="1" x14ac:dyDescent="0.2">
      <c r="B128" s="3205" t="s">
        <v>543</v>
      </c>
      <c r="C128" s="3206"/>
      <c r="D128" s="3206"/>
      <c r="E128" s="3206"/>
      <c r="F128" s="3206"/>
      <c r="G128" s="3207"/>
    </row>
    <row r="129" spans="2:7" ht="25.5" customHeight="1" x14ac:dyDescent="0.2">
      <c r="B129" s="3205" t="s">
        <v>544</v>
      </c>
      <c r="C129" s="3206"/>
      <c r="D129" s="3206"/>
      <c r="E129" s="3206"/>
      <c r="F129" s="3206"/>
      <c r="G129" s="3207"/>
    </row>
    <row r="130" spans="2:7" x14ac:dyDescent="0.2">
      <c r="B130" s="3205" t="s">
        <v>545</v>
      </c>
      <c r="C130" s="3206"/>
      <c r="D130" s="3206"/>
      <c r="E130" s="3206"/>
      <c r="F130" s="3206"/>
      <c r="G130" s="3207"/>
    </row>
    <row r="131" spans="2:7" x14ac:dyDescent="0.2">
      <c r="B131" s="153">
        <v>1</v>
      </c>
      <c r="C131" s="357" t="s">
        <v>550</v>
      </c>
      <c r="D131" s="207"/>
      <c r="E131" s="199"/>
      <c r="F131" s="269"/>
      <c r="G131" s="270"/>
    </row>
    <row r="132" spans="2:7" ht="108" x14ac:dyDescent="0.2">
      <c r="B132" s="153"/>
      <c r="C132" s="197" t="s">
        <v>748</v>
      </c>
      <c r="D132" s="207" t="s">
        <v>98</v>
      </c>
      <c r="E132" s="199">
        <v>1</v>
      </c>
      <c r="F132" s="269">
        <v>0</v>
      </c>
      <c r="G132" s="270">
        <f t="shared" ref="G132:G157" si="5">E132*F132</f>
        <v>0</v>
      </c>
    </row>
    <row r="133" spans="2:7" ht="60" x14ac:dyDescent="0.2">
      <c r="B133" s="153"/>
      <c r="C133" s="197" t="s">
        <v>554</v>
      </c>
      <c r="D133" s="207" t="s">
        <v>123</v>
      </c>
      <c r="E133" s="199">
        <v>1</v>
      </c>
      <c r="F133" s="269">
        <v>0</v>
      </c>
      <c r="G133" s="270">
        <f t="shared" si="5"/>
        <v>0</v>
      </c>
    </row>
    <row r="134" spans="2:7" ht="36" x14ac:dyDescent="0.2">
      <c r="B134" s="153"/>
      <c r="C134" s="197" t="s">
        <v>561</v>
      </c>
      <c r="D134" s="207" t="s">
        <v>123</v>
      </c>
      <c r="E134" s="199">
        <v>1</v>
      </c>
      <c r="F134" s="269">
        <v>0</v>
      </c>
      <c r="G134" s="270">
        <f t="shared" si="5"/>
        <v>0</v>
      </c>
    </row>
    <row r="135" spans="2:7" ht="24" x14ac:dyDescent="0.2">
      <c r="B135" s="153"/>
      <c r="C135" s="197" t="s">
        <v>749</v>
      </c>
      <c r="D135" s="207" t="s">
        <v>123</v>
      </c>
      <c r="E135" s="199">
        <v>1</v>
      </c>
      <c r="F135" s="269">
        <v>0</v>
      </c>
      <c r="G135" s="270">
        <f t="shared" si="5"/>
        <v>0</v>
      </c>
    </row>
    <row r="136" spans="2:7" ht="36" x14ac:dyDescent="0.2">
      <c r="B136" s="153"/>
      <c r="C136" s="197" t="s">
        <v>565</v>
      </c>
      <c r="D136" s="207" t="s">
        <v>123</v>
      </c>
      <c r="E136" s="199">
        <v>1</v>
      </c>
      <c r="F136" s="269">
        <v>0</v>
      </c>
      <c r="G136" s="270">
        <f t="shared" si="5"/>
        <v>0</v>
      </c>
    </row>
    <row r="137" spans="2:7" ht="108" x14ac:dyDescent="0.2">
      <c r="B137" s="129"/>
      <c r="C137" s="197" t="s">
        <v>750</v>
      </c>
      <c r="D137" s="207" t="s">
        <v>98</v>
      </c>
      <c r="E137" s="199">
        <v>1</v>
      </c>
      <c r="F137" s="269">
        <v>0</v>
      </c>
      <c r="G137" s="270">
        <f t="shared" si="5"/>
        <v>0</v>
      </c>
    </row>
    <row r="138" spans="2:7" ht="72" x14ac:dyDescent="0.2">
      <c r="B138" s="129"/>
      <c r="C138" s="197" t="s">
        <v>751</v>
      </c>
      <c r="D138" s="207" t="s">
        <v>123</v>
      </c>
      <c r="E138" s="199">
        <v>1</v>
      </c>
      <c r="F138" s="269">
        <v>0</v>
      </c>
      <c r="G138" s="270">
        <f t="shared" si="5"/>
        <v>0</v>
      </c>
    </row>
    <row r="139" spans="2:7" ht="72" x14ac:dyDescent="0.2">
      <c r="B139" s="129"/>
      <c r="C139" s="197" t="s">
        <v>752</v>
      </c>
      <c r="D139" s="207" t="s">
        <v>123</v>
      </c>
      <c r="E139" s="199">
        <v>1</v>
      </c>
      <c r="F139" s="269">
        <v>0</v>
      </c>
      <c r="G139" s="270">
        <f t="shared" si="5"/>
        <v>0</v>
      </c>
    </row>
    <row r="140" spans="2:7" ht="72" x14ac:dyDescent="0.2">
      <c r="B140" s="129"/>
      <c r="C140" s="197" t="s">
        <v>753</v>
      </c>
      <c r="D140" s="207" t="s">
        <v>123</v>
      </c>
      <c r="E140" s="199">
        <v>2</v>
      </c>
      <c r="F140" s="269">
        <v>0</v>
      </c>
      <c r="G140" s="270">
        <f t="shared" si="5"/>
        <v>0</v>
      </c>
    </row>
    <row r="141" spans="2:7" ht="72" x14ac:dyDescent="0.2">
      <c r="B141" s="129"/>
      <c r="C141" s="197" t="s">
        <v>754</v>
      </c>
      <c r="D141" s="207" t="s">
        <v>123</v>
      </c>
      <c r="E141" s="199">
        <v>1</v>
      </c>
      <c r="F141" s="269">
        <v>0</v>
      </c>
      <c r="G141" s="270">
        <f t="shared" si="5"/>
        <v>0</v>
      </c>
    </row>
    <row r="142" spans="2:7" ht="60" x14ac:dyDescent="0.2">
      <c r="B142" s="129"/>
      <c r="C142" s="197" t="s">
        <v>755</v>
      </c>
      <c r="D142" s="207" t="s">
        <v>123</v>
      </c>
      <c r="E142" s="199">
        <v>1</v>
      </c>
      <c r="F142" s="269">
        <v>0</v>
      </c>
      <c r="G142" s="270">
        <f t="shared" si="5"/>
        <v>0</v>
      </c>
    </row>
    <row r="143" spans="2:7" ht="84" x14ac:dyDescent="0.2">
      <c r="B143" s="129"/>
      <c r="C143" s="311" t="s">
        <v>756</v>
      </c>
      <c r="D143" s="207" t="s">
        <v>98</v>
      </c>
      <c r="E143" s="199">
        <v>1</v>
      </c>
      <c r="F143" s="269">
        <v>0</v>
      </c>
      <c r="G143" s="270">
        <f t="shared" si="5"/>
        <v>0</v>
      </c>
    </row>
    <row r="144" spans="2:7" ht="60" x14ac:dyDescent="0.2">
      <c r="B144" s="129"/>
      <c r="C144" s="197" t="s">
        <v>757</v>
      </c>
      <c r="D144" s="207" t="s">
        <v>123</v>
      </c>
      <c r="E144" s="199">
        <v>1</v>
      </c>
      <c r="F144" s="269">
        <v>0</v>
      </c>
      <c r="G144" s="270">
        <f t="shared" si="5"/>
        <v>0</v>
      </c>
    </row>
    <row r="145" spans="2:8" ht="120" x14ac:dyDescent="0.2">
      <c r="B145" s="129"/>
      <c r="C145" s="197" t="s">
        <v>619</v>
      </c>
      <c r="D145" s="207" t="s">
        <v>123</v>
      </c>
      <c r="E145" s="199">
        <v>1</v>
      </c>
      <c r="F145" s="269">
        <v>0</v>
      </c>
      <c r="G145" s="270">
        <f t="shared" si="5"/>
        <v>0</v>
      </c>
    </row>
    <row r="146" spans="2:8" ht="36" x14ac:dyDescent="0.2">
      <c r="B146" s="129"/>
      <c r="C146" s="197" t="s">
        <v>758</v>
      </c>
      <c r="D146" s="207" t="s">
        <v>123</v>
      </c>
      <c r="E146" s="199">
        <v>60</v>
      </c>
      <c r="F146" s="269">
        <v>0</v>
      </c>
      <c r="G146" s="270">
        <f t="shared" si="5"/>
        <v>0</v>
      </c>
    </row>
    <row r="147" spans="2:8" ht="36" x14ac:dyDescent="0.2">
      <c r="B147" s="129"/>
      <c r="C147" s="197" t="s">
        <v>759</v>
      </c>
      <c r="D147" s="207" t="s">
        <v>123</v>
      </c>
      <c r="E147" s="199">
        <v>10</v>
      </c>
      <c r="F147" s="269">
        <v>0</v>
      </c>
      <c r="G147" s="270">
        <f t="shared" si="5"/>
        <v>0</v>
      </c>
    </row>
    <row r="148" spans="2:8" ht="36" x14ac:dyDescent="0.2">
      <c r="B148" s="129"/>
      <c r="C148" s="197" t="s">
        <v>760</v>
      </c>
      <c r="D148" s="207" t="s">
        <v>123</v>
      </c>
      <c r="E148" s="199">
        <v>2</v>
      </c>
      <c r="F148" s="269">
        <v>0</v>
      </c>
      <c r="G148" s="270">
        <f t="shared" si="5"/>
        <v>0</v>
      </c>
    </row>
    <row r="149" spans="2:8" ht="36" x14ac:dyDescent="0.2">
      <c r="B149" s="129"/>
      <c r="C149" s="197" t="s">
        <v>761</v>
      </c>
      <c r="D149" s="207" t="s">
        <v>123</v>
      </c>
      <c r="E149" s="199">
        <v>12</v>
      </c>
      <c r="F149" s="269">
        <v>0</v>
      </c>
      <c r="G149" s="270">
        <f t="shared" si="5"/>
        <v>0</v>
      </c>
    </row>
    <row r="150" spans="2:8" ht="36" x14ac:dyDescent="0.2">
      <c r="B150" s="129"/>
      <c r="C150" s="197" t="s">
        <v>762</v>
      </c>
      <c r="D150" s="207" t="s">
        <v>123</v>
      </c>
      <c r="E150" s="199">
        <v>1</v>
      </c>
      <c r="F150" s="269">
        <v>0</v>
      </c>
      <c r="G150" s="270">
        <f t="shared" si="5"/>
        <v>0</v>
      </c>
    </row>
    <row r="151" spans="2:8" ht="48" x14ac:dyDescent="0.2">
      <c r="B151" s="129"/>
      <c r="C151" s="197" t="s">
        <v>763</v>
      </c>
      <c r="D151" s="207" t="s">
        <v>123</v>
      </c>
      <c r="E151" s="199">
        <v>1</v>
      </c>
      <c r="F151" s="269">
        <v>0</v>
      </c>
      <c r="G151" s="270">
        <f t="shared" si="5"/>
        <v>0</v>
      </c>
    </row>
    <row r="152" spans="2:8" ht="60" x14ac:dyDescent="0.2">
      <c r="B152" s="129"/>
      <c r="C152" s="197" t="s">
        <v>764</v>
      </c>
      <c r="D152" s="207" t="s">
        <v>123</v>
      </c>
      <c r="E152" s="199">
        <v>3</v>
      </c>
      <c r="F152" s="269">
        <v>0</v>
      </c>
      <c r="G152" s="270">
        <f t="shared" si="5"/>
        <v>0</v>
      </c>
    </row>
    <row r="153" spans="2:8" ht="60" x14ac:dyDescent="0.2">
      <c r="B153" s="129"/>
      <c r="C153" s="197" t="s">
        <v>765</v>
      </c>
      <c r="D153" s="207" t="s">
        <v>123</v>
      </c>
      <c r="E153" s="199">
        <v>3</v>
      </c>
      <c r="F153" s="269">
        <v>0</v>
      </c>
      <c r="G153" s="270">
        <f t="shared" si="5"/>
        <v>0</v>
      </c>
    </row>
    <row r="154" spans="2:8" ht="60" x14ac:dyDescent="0.2">
      <c r="B154" s="129"/>
      <c r="C154" s="197" t="s">
        <v>766</v>
      </c>
      <c r="D154" s="207" t="s">
        <v>123</v>
      </c>
      <c r="E154" s="199">
        <v>3</v>
      </c>
      <c r="F154" s="269">
        <v>0</v>
      </c>
      <c r="G154" s="270">
        <f t="shared" si="5"/>
        <v>0</v>
      </c>
    </row>
    <row r="155" spans="2:8" ht="48" x14ac:dyDescent="0.2">
      <c r="B155" s="129"/>
      <c r="C155" s="197" t="s">
        <v>767</v>
      </c>
      <c r="D155" s="207" t="s">
        <v>98</v>
      </c>
      <c r="E155" s="199">
        <v>1</v>
      </c>
      <c r="F155" s="269">
        <v>0</v>
      </c>
      <c r="G155" s="270">
        <f t="shared" si="5"/>
        <v>0</v>
      </c>
    </row>
    <row r="156" spans="2:8" ht="72" x14ac:dyDescent="0.2">
      <c r="B156" s="129"/>
      <c r="C156" s="197" t="s">
        <v>768</v>
      </c>
      <c r="D156" s="207" t="s">
        <v>123</v>
      </c>
      <c r="E156" s="199">
        <v>1</v>
      </c>
      <c r="F156" s="269">
        <v>0</v>
      </c>
      <c r="G156" s="270">
        <f t="shared" si="5"/>
        <v>0</v>
      </c>
    </row>
    <row r="157" spans="2:8" ht="84" x14ac:dyDescent="0.2">
      <c r="B157" s="129"/>
      <c r="C157" s="197" t="s">
        <v>620</v>
      </c>
      <c r="D157" s="207" t="s">
        <v>123</v>
      </c>
      <c r="E157" s="199">
        <v>1</v>
      </c>
      <c r="F157" s="269">
        <v>0</v>
      </c>
      <c r="G157" s="270">
        <f t="shared" si="5"/>
        <v>0</v>
      </c>
    </row>
    <row r="158" spans="2:8" x14ac:dyDescent="0.2">
      <c r="B158" s="153">
        <v>2</v>
      </c>
      <c r="C158" s="357" t="s">
        <v>769</v>
      </c>
      <c r="D158" s="207"/>
      <c r="E158" s="199"/>
      <c r="F158" s="269"/>
      <c r="G158" s="270"/>
    </row>
    <row r="159" spans="2:8" s="121" customFormat="1" ht="387.75" customHeight="1" x14ac:dyDescent="0.2">
      <c r="B159" s="2743"/>
      <c r="C159" s="2744"/>
      <c r="D159" s="2745"/>
      <c r="E159" s="2746"/>
      <c r="F159" s="2747"/>
      <c r="G159" s="2736"/>
      <c r="H159" s="122"/>
    </row>
    <row r="160" spans="2:8" s="121" customFormat="1" ht="24.75" customHeight="1" x14ac:dyDescent="0.2">
      <c r="B160" s="2749"/>
      <c r="C160" s="2744" t="s">
        <v>2465</v>
      </c>
      <c r="D160" s="2748" t="s">
        <v>98</v>
      </c>
      <c r="E160" s="2746">
        <v>1</v>
      </c>
      <c r="F160" s="2747">
        <v>0</v>
      </c>
      <c r="G160" s="2736">
        <f t="shared" ref="G160" si="6">E160*F160</f>
        <v>0</v>
      </c>
      <c r="H160" s="122"/>
    </row>
    <row r="161" spans="2:7" ht="48" x14ac:dyDescent="0.2">
      <c r="B161" s="129"/>
      <c r="C161" s="197" t="s">
        <v>771</v>
      </c>
      <c r="D161" s="207" t="s">
        <v>123</v>
      </c>
      <c r="E161" s="199">
        <v>1</v>
      </c>
      <c r="F161" s="269">
        <v>0</v>
      </c>
      <c r="G161" s="270">
        <f t="shared" ref="G161:G166" si="7">E161*F161</f>
        <v>0</v>
      </c>
    </row>
    <row r="162" spans="2:7" ht="48" x14ac:dyDescent="0.2">
      <c r="B162" s="129"/>
      <c r="C162" s="197" t="s">
        <v>625</v>
      </c>
      <c r="D162" s="207" t="s">
        <v>123</v>
      </c>
      <c r="E162" s="199">
        <v>1</v>
      </c>
      <c r="F162" s="269">
        <v>0</v>
      </c>
      <c r="G162" s="270">
        <f t="shared" si="7"/>
        <v>0</v>
      </c>
    </row>
    <row r="163" spans="2:7" ht="60" x14ac:dyDescent="0.2">
      <c r="B163" s="129"/>
      <c r="C163" s="197" t="s">
        <v>772</v>
      </c>
      <c r="D163" s="207" t="s">
        <v>123</v>
      </c>
      <c r="E163" s="199">
        <v>1</v>
      </c>
      <c r="F163" s="269">
        <v>0</v>
      </c>
      <c r="G163" s="270">
        <f t="shared" si="7"/>
        <v>0</v>
      </c>
    </row>
    <row r="164" spans="2:7" ht="228" x14ac:dyDescent="0.2">
      <c r="B164" s="153"/>
      <c r="C164" s="311" t="s">
        <v>773</v>
      </c>
      <c r="D164" s="207" t="s">
        <v>123</v>
      </c>
      <c r="E164" s="199">
        <v>1</v>
      </c>
      <c r="F164" s="269">
        <v>0</v>
      </c>
      <c r="G164" s="270">
        <f t="shared" si="7"/>
        <v>0</v>
      </c>
    </row>
    <row r="165" spans="2:7" ht="72" x14ac:dyDescent="0.2">
      <c r="B165" s="153"/>
      <c r="C165" s="311" t="s">
        <v>774</v>
      </c>
      <c r="D165" s="207" t="s">
        <v>98</v>
      </c>
      <c r="E165" s="199">
        <v>1</v>
      </c>
      <c r="F165" s="269">
        <v>0</v>
      </c>
      <c r="G165" s="270">
        <f t="shared" si="7"/>
        <v>0</v>
      </c>
    </row>
    <row r="166" spans="2:7" ht="48" x14ac:dyDescent="0.2">
      <c r="B166" s="129"/>
      <c r="C166" s="197" t="s">
        <v>603</v>
      </c>
      <c r="D166" s="207" t="s">
        <v>123</v>
      </c>
      <c r="E166" s="199">
        <v>1</v>
      </c>
      <c r="F166" s="269">
        <v>0</v>
      </c>
      <c r="G166" s="270">
        <f t="shared" si="7"/>
        <v>0</v>
      </c>
    </row>
    <row r="167" spans="2:7" x14ac:dyDescent="0.2">
      <c r="B167" s="153">
        <v>3</v>
      </c>
      <c r="C167" s="357" t="s">
        <v>775</v>
      </c>
      <c r="D167" s="207"/>
      <c r="E167" s="199"/>
      <c r="F167" s="269"/>
      <c r="G167" s="270"/>
    </row>
    <row r="168" spans="2:7" ht="312" x14ac:dyDescent="0.2">
      <c r="B168" s="153"/>
      <c r="C168" s="311" t="s">
        <v>776</v>
      </c>
      <c r="D168" s="207" t="s">
        <v>98</v>
      </c>
      <c r="E168" s="199">
        <v>1</v>
      </c>
      <c r="F168" s="269">
        <v>0</v>
      </c>
      <c r="G168" s="270">
        <f>E168*F168</f>
        <v>0</v>
      </c>
    </row>
    <row r="169" spans="2:7" ht="72" x14ac:dyDescent="0.2">
      <c r="B169" s="129"/>
      <c r="C169" s="197" t="s">
        <v>777</v>
      </c>
      <c r="D169" s="207" t="s">
        <v>98</v>
      </c>
      <c r="E169" s="199">
        <v>1</v>
      </c>
      <c r="F169" s="269">
        <v>0</v>
      </c>
      <c r="G169" s="270">
        <f>E169*F169</f>
        <v>0</v>
      </c>
    </row>
    <row r="170" spans="2:7" ht="108" x14ac:dyDescent="0.2">
      <c r="B170" s="129"/>
      <c r="C170" s="197" t="s">
        <v>778</v>
      </c>
      <c r="D170" s="207" t="s">
        <v>98</v>
      </c>
      <c r="E170" s="199">
        <v>1</v>
      </c>
      <c r="F170" s="269">
        <v>0</v>
      </c>
      <c r="G170" s="270">
        <f>E170*F170</f>
        <v>0</v>
      </c>
    </row>
    <row r="171" spans="2:7" x14ac:dyDescent="0.2">
      <c r="B171" s="153">
        <v>4</v>
      </c>
      <c r="C171" s="357" t="s">
        <v>779</v>
      </c>
      <c r="D171" s="207"/>
      <c r="E171" s="199"/>
      <c r="F171" s="269"/>
      <c r="G171" s="270"/>
    </row>
    <row r="172" spans="2:7" ht="72" x14ac:dyDescent="0.2">
      <c r="B172" s="129"/>
      <c r="C172" s="197" t="s">
        <v>780</v>
      </c>
      <c r="D172" s="207" t="s">
        <v>98</v>
      </c>
      <c r="E172" s="199">
        <v>3</v>
      </c>
      <c r="F172" s="200">
        <v>0</v>
      </c>
      <c r="G172" s="270">
        <f>E172*F172</f>
        <v>0</v>
      </c>
    </row>
    <row r="173" spans="2:7" ht="60" x14ac:dyDescent="0.2">
      <c r="B173" s="153"/>
      <c r="C173" s="311" t="s">
        <v>781</v>
      </c>
      <c r="D173" s="207" t="s">
        <v>98</v>
      </c>
      <c r="E173" s="199">
        <v>1</v>
      </c>
      <c r="F173" s="200">
        <v>0</v>
      </c>
      <c r="G173" s="270">
        <f>E173*F173</f>
        <v>0</v>
      </c>
    </row>
    <row r="174" spans="2:7" ht="36" x14ac:dyDescent="0.2">
      <c r="B174" s="153"/>
      <c r="C174" s="311" t="s">
        <v>782</v>
      </c>
      <c r="D174" s="207" t="s">
        <v>123</v>
      </c>
      <c r="E174" s="199">
        <v>1</v>
      </c>
      <c r="F174" s="200">
        <v>0</v>
      </c>
      <c r="G174" s="270">
        <f>E174*F174</f>
        <v>0</v>
      </c>
    </row>
    <row r="175" spans="2:7" ht="132" x14ac:dyDescent="0.2">
      <c r="B175" s="153"/>
      <c r="C175" s="311" t="s">
        <v>508</v>
      </c>
      <c r="D175" s="207" t="s">
        <v>123</v>
      </c>
      <c r="E175" s="199">
        <v>1</v>
      </c>
      <c r="F175" s="200">
        <v>0</v>
      </c>
      <c r="G175" s="270">
        <f>E175*F175</f>
        <v>0</v>
      </c>
    </row>
    <row r="176" spans="2:7" ht="120" x14ac:dyDescent="0.2">
      <c r="B176" s="129"/>
      <c r="C176" s="197" t="s">
        <v>783</v>
      </c>
      <c r="D176" s="207" t="s">
        <v>123</v>
      </c>
      <c r="E176" s="199">
        <v>1</v>
      </c>
      <c r="F176" s="200">
        <v>0</v>
      </c>
      <c r="G176" s="270">
        <f>E176*F176</f>
        <v>0</v>
      </c>
    </row>
    <row r="177" spans="2:7" x14ac:dyDescent="0.2">
      <c r="B177" s="153">
        <v>5</v>
      </c>
      <c r="C177" s="357" t="s">
        <v>784</v>
      </c>
      <c r="D177" s="207"/>
      <c r="E177" s="199"/>
      <c r="F177" s="269"/>
      <c r="G177" s="270"/>
    </row>
    <row r="178" spans="2:7" x14ac:dyDescent="0.2">
      <c r="B178" s="153"/>
      <c r="C178" s="311" t="s">
        <v>643</v>
      </c>
      <c r="D178" s="207" t="s">
        <v>644</v>
      </c>
      <c r="E178" s="199">
        <v>30</v>
      </c>
      <c r="F178" s="269">
        <v>0</v>
      </c>
      <c r="G178" s="270">
        <f t="shared" ref="G178:G186" si="8">E178*F178</f>
        <v>0</v>
      </c>
    </row>
    <row r="179" spans="2:7" x14ac:dyDescent="0.2">
      <c r="B179" s="153"/>
      <c r="C179" s="311" t="s">
        <v>645</v>
      </c>
      <c r="D179" s="207" t="s">
        <v>644</v>
      </c>
      <c r="E179" s="199">
        <v>50</v>
      </c>
      <c r="F179" s="269">
        <v>0</v>
      </c>
      <c r="G179" s="270">
        <f t="shared" si="8"/>
        <v>0</v>
      </c>
    </row>
    <row r="180" spans="2:7" x14ac:dyDescent="0.2">
      <c r="B180" s="153"/>
      <c r="C180" s="311" t="s">
        <v>646</v>
      </c>
      <c r="D180" s="207" t="s">
        <v>644</v>
      </c>
      <c r="E180" s="199">
        <v>200</v>
      </c>
      <c r="F180" s="269">
        <v>0</v>
      </c>
      <c r="G180" s="270">
        <f t="shared" si="8"/>
        <v>0</v>
      </c>
    </row>
    <row r="181" spans="2:7" x14ac:dyDescent="0.2">
      <c r="B181" s="153"/>
      <c r="C181" s="311" t="s">
        <v>647</v>
      </c>
      <c r="D181" s="207" t="s">
        <v>644</v>
      </c>
      <c r="E181" s="199">
        <v>100</v>
      </c>
      <c r="F181" s="269">
        <v>0</v>
      </c>
      <c r="G181" s="270">
        <f t="shared" si="8"/>
        <v>0</v>
      </c>
    </row>
    <row r="182" spans="2:7" x14ac:dyDescent="0.2">
      <c r="B182" s="153"/>
      <c r="C182" s="311" t="s">
        <v>648</v>
      </c>
      <c r="D182" s="207" t="s">
        <v>644</v>
      </c>
      <c r="E182" s="199">
        <v>50</v>
      </c>
      <c r="F182" s="269">
        <v>0</v>
      </c>
      <c r="G182" s="270">
        <f t="shared" si="8"/>
        <v>0</v>
      </c>
    </row>
    <row r="183" spans="2:7" x14ac:dyDescent="0.2">
      <c r="B183" s="153"/>
      <c r="C183" s="311" t="s">
        <v>650</v>
      </c>
      <c r="D183" s="207" t="s">
        <v>123</v>
      </c>
      <c r="E183" s="199">
        <v>2</v>
      </c>
      <c r="F183" s="269">
        <v>0</v>
      </c>
      <c r="G183" s="270">
        <f t="shared" si="8"/>
        <v>0</v>
      </c>
    </row>
    <row r="184" spans="2:7" x14ac:dyDescent="0.2">
      <c r="B184" s="153"/>
      <c r="C184" s="311" t="s">
        <v>651</v>
      </c>
      <c r="D184" s="207" t="s">
        <v>644</v>
      </c>
      <c r="E184" s="199">
        <v>70</v>
      </c>
      <c r="F184" s="269">
        <v>0</v>
      </c>
      <c r="G184" s="270">
        <f t="shared" si="8"/>
        <v>0</v>
      </c>
    </row>
    <row r="185" spans="2:7" x14ac:dyDescent="0.2">
      <c r="B185" s="153"/>
      <c r="C185" s="311" t="s">
        <v>652</v>
      </c>
      <c r="D185" s="207" t="s">
        <v>644</v>
      </c>
      <c r="E185" s="199">
        <v>50</v>
      </c>
      <c r="F185" s="269">
        <v>0</v>
      </c>
      <c r="G185" s="270">
        <f t="shared" si="8"/>
        <v>0</v>
      </c>
    </row>
    <row r="186" spans="2:7" x14ac:dyDescent="0.2">
      <c r="B186" s="153"/>
      <c r="C186" s="311" t="s">
        <v>632</v>
      </c>
      <c r="D186" s="207" t="s">
        <v>98</v>
      </c>
      <c r="E186" s="199">
        <v>1</v>
      </c>
      <c r="F186" s="269">
        <v>0</v>
      </c>
      <c r="G186" s="270">
        <f t="shared" si="8"/>
        <v>0</v>
      </c>
    </row>
    <row r="187" spans="2:7" x14ac:dyDescent="0.2">
      <c r="B187" s="153">
        <v>6</v>
      </c>
      <c r="C187" s="357" t="s">
        <v>785</v>
      </c>
      <c r="D187" s="207"/>
      <c r="E187" s="199"/>
      <c r="F187" s="269"/>
      <c r="G187" s="270"/>
    </row>
    <row r="188" spans="2:7" ht="36" x14ac:dyDescent="0.2">
      <c r="B188" s="153"/>
      <c r="C188" s="311" t="s">
        <v>666</v>
      </c>
      <c r="D188" s="207" t="s">
        <v>644</v>
      </c>
      <c r="E188" s="199">
        <v>40</v>
      </c>
      <c r="F188" s="269">
        <v>0</v>
      </c>
      <c r="G188" s="270">
        <f t="shared" ref="G188:G198" si="9">E188*F188</f>
        <v>0</v>
      </c>
    </row>
    <row r="189" spans="2:7" x14ac:dyDescent="0.2">
      <c r="B189" s="153"/>
      <c r="C189" s="311" t="s">
        <v>667</v>
      </c>
      <c r="D189" s="207" t="s">
        <v>644</v>
      </c>
      <c r="E189" s="199">
        <v>100</v>
      </c>
      <c r="F189" s="269">
        <v>0</v>
      </c>
      <c r="G189" s="270">
        <f t="shared" si="9"/>
        <v>0</v>
      </c>
    </row>
    <row r="190" spans="2:7" x14ac:dyDescent="0.2">
      <c r="B190" s="153"/>
      <c r="C190" s="311" t="s">
        <v>668</v>
      </c>
      <c r="D190" s="207" t="s">
        <v>644</v>
      </c>
      <c r="E190" s="199">
        <v>40</v>
      </c>
      <c r="F190" s="269">
        <v>0</v>
      </c>
      <c r="G190" s="270">
        <f t="shared" si="9"/>
        <v>0</v>
      </c>
    </row>
    <row r="191" spans="2:7" x14ac:dyDescent="0.2">
      <c r="B191" s="153"/>
      <c r="C191" s="311" t="s">
        <v>669</v>
      </c>
      <c r="D191" s="207" t="s">
        <v>123</v>
      </c>
      <c r="E191" s="199">
        <v>1</v>
      </c>
      <c r="F191" s="269">
        <v>0</v>
      </c>
      <c r="G191" s="270">
        <f t="shared" si="9"/>
        <v>0</v>
      </c>
    </row>
    <row r="192" spans="2:7" x14ac:dyDescent="0.2">
      <c r="B192" s="153"/>
      <c r="C192" s="311" t="s">
        <v>786</v>
      </c>
      <c r="D192" s="207" t="s">
        <v>123</v>
      </c>
      <c r="E192" s="199">
        <v>1</v>
      </c>
      <c r="F192" s="269">
        <v>0</v>
      </c>
      <c r="G192" s="270">
        <f t="shared" si="9"/>
        <v>0</v>
      </c>
    </row>
    <row r="193" spans="2:7" x14ac:dyDescent="0.2">
      <c r="B193" s="153"/>
      <c r="C193" s="311" t="s">
        <v>672</v>
      </c>
      <c r="D193" s="207" t="s">
        <v>123</v>
      </c>
      <c r="E193" s="199">
        <v>1</v>
      </c>
      <c r="F193" s="269">
        <v>0</v>
      </c>
      <c r="G193" s="270">
        <f t="shared" si="9"/>
        <v>0</v>
      </c>
    </row>
    <row r="194" spans="2:7" ht="24" x14ac:dyDescent="0.2">
      <c r="B194" s="153"/>
      <c r="C194" s="311" t="s">
        <v>673</v>
      </c>
      <c r="D194" s="207" t="s">
        <v>123</v>
      </c>
      <c r="E194" s="199">
        <v>4</v>
      </c>
      <c r="F194" s="269">
        <v>0</v>
      </c>
      <c r="G194" s="270">
        <f t="shared" si="9"/>
        <v>0</v>
      </c>
    </row>
    <row r="195" spans="2:7" x14ac:dyDescent="0.2">
      <c r="B195" s="153"/>
      <c r="C195" s="311" t="s">
        <v>787</v>
      </c>
      <c r="D195" s="207" t="s">
        <v>123</v>
      </c>
      <c r="E195" s="199">
        <v>1</v>
      </c>
      <c r="F195" s="269">
        <v>0</v>
      </c>
      <c r="G195" s="270">
        <f t="shared" si="9"/>
        <v>0</v>
      </c>
    </row>
    <row r="196" spans="2:7" x14ac:dyDescent="0.2">
      <c r="B196" s="153"/>
      <c r="C196" s="311" t="s">
        <v>675</v>
      </c>
      <c r="D196" s="207" t="s">
        <v>123</v>
      </c>
      <c r="E196" s="199">
        <v>3</v>
      </c>
      <c r="F196" s="269">
        <v>0</v>
      </c>
      <c r="G196" s="270">
        <f t="shared" si="9"/>
        <v>0</v>
      </c>
    </row>
    <row r="197" spans="2:7" x14ac:dyDescent="0.2">
      <c r="B197" s="153"/>
      <c r="C197" s="311" t="s">
        <v>676</v>
      </c>
      <c r="D197" s="207" t="s">
        <v>123</v>
      </c>
      <c r="E197" s="199">
        <v>2</v>
      </c>
      <c r="F197" s="269">
        <v>0</v>
      </c>
      <c r="G197" s="270">
        <f t="shared" si="9"/>
        <v>0</v>
      </c>
    </row>
    <row r="198" spans="2:7" ht="24" x14ac:dyDescent="0.2">
      <c r="B198" s="153"/>
      <c r="C198" s="311" t="s">
        <v>677</v>
      </c>
      <c r="D198" s="207" t="s">
        <v>123</v>
      </c>
      <c r="E198" s="199">
        <v>1</v>
      </c>
      <c r="F198" s="269">
        <v>0</v>
      </c>
      <c r="G198" s="270">
        <f t="shared" si="9"/>
        <v>0</v>
      </c>
    </row>
    <row r="199" spans="2:7" x14ac:dyDescent="0.2">
      <c r="B199" s="153">
        <v>7</v>
      </c>
      <c r="C199" s="357" t="s">
        <v>788</v>
      </c>
      <c r="D199" s="207"/>
      <c r="E199" s="199"/>
      <c r="F199" s="269"/>
      <c r="G199" s="270"/>
    </row>
    <row r="200" spans="2:7" x14ac:dyDescent="0.2">
      <c r="B200" s="129"/>
      <c r="C200" s="197" t="s">
        <v>655</v>
      </c>
      <c r="D200" s="207" t="s">
        <v>644</v>
      </c>
      <c r="E200" s="199">
        <v>60</v>
      </c>
      <c r="F200" s="200">
        <v>0</v>
      </c>
      <c r="G200" s="270">
        <f t="shared" ref="G200:G206" si="10">E200*F200</f>
        <v>0</v>
      </c>
    </row>
    <row r="201" spans="2:7" ht="36" x14ac:dyDescent="0.2">
      <c r="B201" s="129"/>
      <c r="C201" s="197" t="s">
        <v>656</v>
      </c>
      <c r="D201" s="207" t="s">
        <v>98</v>
      </c>
      <c r="E201" s="199">
        <v>2</v>
      </c>
      <c r="F201" s="200">
        <v>0</v>
      </c>
      <c r="G201" s="270">
        <f t="shared" si="10"/>
        <v>0</v>
      </c>
    </row>
    <row r="202" spans="2:7" ht="36" x14ac:dyDescent="0.2">
      <c r="B202" s="129"/>
      <c r="C202" s="197" t="s">
        <v>657</v>
      </c>
      <c r="D202" s="207" t="s">
        <v>98</v>
      </c>
      <c r="E202" s="199">
        <v>1</v>
      </c>
      <c r="F202" s="200">
        <v>0</v>
      </c>
      <c r="G202" s="270">
        <f t="shared" si="10"/>
        <v>0</v>
      </c>
    </row>
    <row r="203" spans="2:7" ht="24" x14ac:dyDescent="0.2">
      <c r="B203" s="129"/>
      <c r="C203" s="197" t="s">
        <v>658</v>
      </c>
      <c r="D203" s="207" t="s">
        <v>644</v>
      </c>
      <c r="E203" s="199">
        <v>160</v>
      </c>
      <c r="F203" s="200">
        <v>0</v>
      </c>
      <c r="G203" s="270">
        <f t="shared" si="10"/>
        <v>0</v>
      </c>
    </row>
    <row r="204" spans="2:7" x14ac:dyDescent="0.2">
      <c r="B204" s="129"/>
      <c r="C204" s="197" t="s">
        <v>660</v>
      </c>
      <c r="D204" s="207" t="s">
        <v>123</v>
      </c>
      <c r="E204" s="199">
        <v>15</v>
      </c>
      <c r="F204" s="200">
        <v>0</v>
      </c>
      <c r="G204" s="270">
        <f t="shared" si="10"/>
        <v>0</v>
      </c>
    </row>
    <row r="205" spans="2:7" ht="24" x14ac:dyDescent="0.2">
      <c r="B205" s="129"/>
      <c r="C205" s="197" t="s">
        <v>661</v>
      </c>
      <c r="D205" s="207" t="s">
        <v>98</v>
      </c>
      <c r="E205" s="199">
        <v>15</v>
      </c>
      <c r="F205" s="200">
        <v>0</v>
      </c>
      <c r="G205" s="270">
        <f t="shared" si="10"/>
        <v>0</v>
      </c>
    </row>
    <row r="206" spans="2:7" x14ac:dyDescent="0.2">
      <c r="B206" s="129"/>
      <c r="C206" s="197" t="s">
        <v>663</v>
      </c>
      <c r="D206" s="207" t="s">
        <v>98</v>
      </c>
      <c r="E206" s="199">
        <v>1</v>
      </c>
      <c r="F206" s="200">
        <v>0</v>
      </c>
      <c r="G206" s="270">
        <f t="shared" si="10"/>
        <v>0</v>
      </c>
    </row>
    <row r="207" spans="2:7" x14ac:dyDescent="0.2">
      <c r="B207" s="153">
        <v>8</v>
      </c>
      <c r="C207" s="357" t="s">
        <v>679</v>
      </c>
      <c r="D207" s="207"/>
      <c r="E207" s="199"/>
      <c r="F207" s="269"/>
      <c r="G207" s="270"/>
    </row>
    <row r="208" spans="2:7" x14ac:dyDescent="0.2">
      <c r="B208" s="153"/>
      <c r="C208" s="311" t="s">
        <v>680</v>
      </c>
      <c r="D208" s="207" t="s">
        <v>98</v>
      </c>
      <c r="E208" s="199">
        <v>16</v>
      </c>
      <c r="F208" s="269">
        <v>0</v>
      </c>
      <c r="G208" s="270">
        <f>E208*F208</f>
        <v>0</v>
      </c>
    </row>
    <row r="209" spans="2:7" ht="60" x14ac:dyDescent="0.2">
      <c r="B209" s="153"/>
      <c r="C209" s="311" t="s">
        <v>789</v>
      </c>
      <c r="D209" s="207" t="s">
        <v>98</v>
      </c>
      <c r="E209" s="199">
        <v>1</v>
      </c>
      <c r="F209" s="269">
        <v>0</v>
      </c>
      <c r="G209" s="270">
        <f>E209*F209</f>
        <v>0</v>
      </c>
    </row>
    <row r="210" spans="2:7" ht="36" x14ac:dyDescent="0.2">
      <c r="B210" s="129"/>
      <c r="C210" s="197" t="s">
        <v>790</v>
      </c>
      <c r="D210" s="207" t="s">
        <v>98</v>
      </c>
      <c r="E210" s="199">
        <v>1</v>
      </c>
      <c r="F210" s="269">
        <v>0</v>
      </c>
      <c r="G210" s="270">
        <f>E210*F210</f>
        <v>0</v>
      </c>
    </row>
    <row r="211" spans="2:7" ht="48" x14ac:dyDescent="0.2">
      <c r="B211" s="153"/>
      <c r="C211" s="311" t="s">
        <v>791</v>
      </c>
      <c r="D211" s="207" t="s">
        <v>98</v>
      </c>
      <c r="E211" s="199">
        <v>1</v>
      </c>
      <c r="F211" s="269">
        <v>0</v>
      </c>
      <c r="G211" s="270">
        <f>E211*F211</f>
        <v>0</v>
      </c>
    </row>
    <row r="212" spans="2:7" ht="48" x14ac:dyDescent="0.2">
      <c r="B212" s="153"/>
      <c r="C212" s="311" t="s">
        <v>792</v>
      </c>
      <c r="D212" s="207" t="s">
        <v>98</v>
      </c>
      <c r="E212" s="199">
        <v>1</v>
      </c>
      <c r="F212" s="269">
        <v>0</v>
      </c>
      <c r="G212" s="270">
        <f>E212*F212</f>
        <v>0</v>
      </c>
    </row>
    <row r="213" spans="2:7" x14ac:dyDescent="0.2">
      <c r="B213" s="153">
        <v>9</v>
      </c>
      <c r="C213" s="357" t="s">
        <v>793</v>
      </c>
      <c r="D213" s="207"/>
      <c r="E213" s="199"/>
      <c r="F213" s="269"/>
      <c r="G213" s="270"/>
    </row>
    <row r="214" spans="2:7" ht="132" x14ac:dyDescent="0.2">
      <c r="B214" s="101"/>
      <c r="C214" s="100" t="s">
        <v>690</v>
      </c>
      <c r="D214" s="207" t="s">
        <v>98</v>
      </c>
      <c r="E214" s="199">
        <v>1</v>
      </c>
      <c r="F214" s="269">
        <v>0</v>
      </c>
      <c r="G214" s="270">
        <f t="shared" ref="G214:G223" si="11">E214*F214</f>
        <v>0</v>
      </c>
    </row>
    <row r="215" spans="2:7" ht="24" x14ac:dyDescent="0.2">
      <c r="B215" s="153"/>
      <c r="C215" s="99" t="s">
        <v>691</v>
      </c>
      <c r="D215" s="207" t="s">
        <v>644</v>
      </c>
      <c r="E215" s="199">
        <v>180</v>
      </c>
      <c r="F215" s="269">
        <v>0</v>
      </c>
      <c r="G215" s="270">
        <f t="shared" si="11"/>
        <v>0</v>
      </c>
    </row>
    <row r="216" spans="2:7" ht="108" x14ac:dyDescent="0.2">
      <c r="B216" s="153"/>
      <c r="C216" s="98" t="s">
        <v>693</v>
      </c>
      <c r="D216" s="207" t="s">
        <v>644</v>
      </c>
      <c r="E216" s="199">
        <v>150</v>
      </c>
      <c r="F216" s="269">
        <v>0</v>
      </c>
      <c r="G216" s="270">
        <f t="shared" si="11"/>
        <v>0</v>
      </c>
    </row>
    <row r="217" spans="2:7" ht="36" x14ac:dyDescent="0.2">
      <c r="B217" s="153"/>
      <c r="C217" s="97" t="s">
        <v>694</v>
      </c>
      <c r="D217" s="207" t="s">
        <v>98</v>
      </c>
      <c r="E217" s="199">
        <v>1</v>
      </c>
      <c r="F217" s="269">
        <v>0</v>
      </c>
      <c r="G217" s="270">
        <f t="shared" si="11"/>
        <v>0</v>
      </c>
    </row>
    <row r="218" spans="2:7" ht="36" x14ac:dyDescent="0.2">
      <c r="B218" s="153"/>
      <c r="C218" s="97" t="s">
        <v>692</v>
      </c>
      <c r="D218" s="207" t="s">
        <v>98</v>
      </c>
      <c r="E218" s="199">
        <v>1</v>
      </c>
      <c r="F218" s="269">
        <v>0</v>
      </c>
      <c r="G218" s="270">
        <f t="shared" si="11"/>
        <v>0</v>
      </c>
    </row>
    <row r="219" spans="2:7" ht="24" x14ac:dyDescent="0.2">
      <c r="B219" s="153"/>
      <c r="C219" s="97" t="s">
        <v>695</v>
      </c>
      <c r="D219" s="207" t="s">
        <v>98</v>
      </c>
      <c r="E219" s="199">
        <v>1</v>
      </c>
      <c r="F219" s="269">
        <v>0</v>
      </c>
      <c r="G219" s="270">
        <f t="shared" si="11"/>
        <v>0</v>
      </c>
    </row>
    <row r="220" spans="2:7" x14ac:dyDescent="0.2">
      <c r="B220" s="153"/>
      <c r="C220" s="97" t="s">
        <v>696</v>
      </c>
      <c r="D220" s="207" t="s">
        <v>644</v>
      </c>
      <c r="E220" s="199">
        <v>60</v>
      </c>
      <c r="F220" s="269">
        <v>0</v>
      </c>
      <c r="G220" s="270">
        <f t="shared" si="11"/>
        <v>0</v>
      </c>
    </row>
    <row r="221" spans="2:7" x14ac:dyDescent="0.2">
      <c r="B221" s="153"/>
      <c r="C221" s="97" t="s">
        <v>697</v>
      </c>
      <c r="D221" s="207" t="s">
        <v>98</v>
      </c>
      <c r="E221" s="199">
        <v>1</v>
      </c>
      <c r="F221" s="269">
        <v>0</v>
      </c>
      <c r="G221" s="270">
        <f t="shared" si="11"/>
        <v>0</v>
      </c>
    </row>
    <row r="222" spans="2:7" x14ac:dyDescent="0.2">
      <c r="B222" s="153"/>
      <c r="C222" s="97" t="s">
        <v>698</v>
      </c>
      <c r="D222" s="207" t="s">
        <v>98</v>
      </c>
      <c r="E222" s="199">
        <v>1</v>
      </c>
      <c r="F222" s="269">
        <v>0</v>
      </c>
      <c r="G222" s="270">
        <f t="shared" si="11"/>
        <v>0</v>
      </c>
    </row>
    <row r="223" spans="2:7" ht="24" x14ac:dyDescent="0.2">
      <c r="B223" s="153"/>
      <c r="C223" s="97" t="s">
        <v>699</v>
      </c>
      <c r="D223" s="207" t="s">
        <v>98</v>
      </c>
      <c r="E223" s="199">
        <v>1</v>
      </c>
      <c r="F223" s="269">
        <v>0</v>
      </c>
      <c r="G223" s="270">
        <f t="shared" si="11"/>
        <v>0</v>
      </c>
    </row>
    <row r="224" spans="2:7" x14ac:dyDescent="0.2">
      <c r="B224" s="293" t="s">
        <v>18</v>
      </c>
      <c r="C224" s="294" t="s">
        <v>794</v>
      </c>
      <c r="D224" s="218"/>
      <c r="E224" s="203"/>
      <c r="F224" s="204"/>
      <c r="G224" s="290">
        <f>SUM(G132:G223)</f>
        <v>0</v>
      </c>
    </row>
  </sheetData>
  <mergeCells count="12">
    <mergeCell ref="B76:G76"/>
    <mergeCell ref="C6:G6"/>
    <mergeCell ref="B44:G44"/>
    <mergeCell ref="B128:G128"/>
    <mergeCell ref="B129:G129"/>
    <mergeCell ref="B130:G130"/>
    <mergeCell ref="B77:G77"/>
    <mergeCell ref="B78:G78"/>
    <mergeCell ref="B124:G124"/>
    <mergeCell ref="B125:G125"/>
    <mergeCell ref="B126:G126"/>
    <mergeCell ref="B127:G127"/>
  </mergeCells>
  <pageMargins left="0.7" right="0.7" top="0.75" bottom="0.75" header="0.3" footer="0.3"/>
  <pageSetup paperSize="9" scale="80" orientation="portrait" horizontalDpi="4294967295" verticalDpi="4294967295" r:id="rId1"/>
  <headerFooter alignWithMargins="0">
    <oddFooter>&amp;C&amp;8&amp;P/&amp;N</oddFooter>
  </headerFooter>
  <rowBreaks count="3" manualBreakCount="3">
    <brk id="18" max="16383" man="1"/>
    <brk id="61" max="6" man="1"/>
    <brk id="69" max="1638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1109-21E5-4E92-BAAB-E2D9CFA40240}">
  <sheetPr>
    <tabColor theme="0" tint="-0.14999847407452621"/>
  </sheetPr>
  <dimension ref="A2:M257"/>
  <sheetViews>
    <sheetView showZeros="0" topLeftCell="A60"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11" width="10.42578125" style="121"/>
    <col min="12" max="12" width="12" style="121" bestFit="1" customWidth="1"/>
    <col min="13"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2214</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G257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1760</v>
      </c>
      <c r="F24" s="467">
        <v>0</v>
      </c>
      <c r="G24" s="352">
        <f t="shared" ref="G24" si="0">E24*F24</f>
        <v>0</v>
      </c>
    </row>
    <row r="25" spans="2:8" x14ac:dyDescent="0.2">
      <c r="B25" s="129">
        <v>2</v>
      </c>
      <c r="C25" s="206" t="s">
        <v>96</v>
      </c>
      <c r="D25" s="207" t="s">
        <v>95</v>
      </c>
      <c r="E25" s="353">
        <f>E24</f>
        <v>1760</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2</v>
      </c>
      <c r="F30" s="467">
        <v>0</v>
      </c>
      <c r="G30" s="352">
        <f t="shared" si="1"/>
        <v>0</v>
      </c>
    </row>
    <row r="31" spans="2:8" ht="54" customHeight="1" x14ac:dyDescent="0.2">
      <c r="B31" s="129">
        <v>8</v>
      </c>
      <c r="C31" s="1822" t="s">
        <v>103</v>
      </c>
      <c r="D31" s="210" t="s">
        <v>98</v>
      </c>
      <c r="E31" s="353">
        <v>2</v>
      </c>
      <c r="F31" s="467">
        <v>0</v>
      </c>
      <c r="G31" s="352">
        <f t="shared" si="1"/>
        <v>0</v>
      </c>
    </row>
    <row r="32" spans="2:8" ht="36" x14ac:dyDescent="0.2">
      <c r="B32" s="129">
        <v>9</v>
      </c>
      <c r="C32" s="3165" t="s">
        <v>2590</v>
      </c>
      <c r="D32" s="210" t="s">
        <v>95</v>
      </c>
      <c r="E32" s="353">
        <v>1989</v>
      </c>
      <c r="F32" s="467">
        <v>0</v>
      </c>
      <c r="G32" s="352">
        <f t="shared" si="1"/>
        <v>0</v>
      </c>
      <c r="H32" s="571"/>
    </row>
    <row r="33" spans="2:12" ht="27.75" customHeight="1" x14ac:dyDescent="0.2">
      <c r="B33" s="129">
        <v>10</v>
      </c>
      <c r="C33" s="3165" t="s">
        <v>2591</v>
      </c>
      <c r="D33" s="210" t="s">
        <v>95</v>
      </c>
      <c r="E33" s="353">
        <v>1989</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3</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row>
    <row r="43" spans="2:12" ht="27.75" customHeight="1" x14ac:dyDescent="0.2">
      <c r="B43" s="131">
        <v>1</v>
      </c>
      <c r="C43" s="206" t="s">
        <v>111</v>
      </c>
      <c r="D43" s="207" t="s">
        <v>112</v>
      </c>
      <c r="E43" s="353">
        <f>(1989*1*1.4*0.07)</f>
        <v>194.92200000000003</v>
      </c>
      <c r="F43" s="467">
        <v>0</v>
      </c>
      <c r="G43" s="352">
        <f t="shared" ref="G43:G75" si="2">E43*F43</f>
        <v>0</v>
      </c>
      <c r="I43" s="132"/>
    </row>
    <row r="44" spans="2:12" ht="39" customHeight="1" x14ac:dyDescent="0.2">
      <c r="B44" s="131">
        <v>2</v>
      </c>
      <c r="C44" s="206" t="s">
        <v>113</v>
      </c>
      <c r="D44" s="207" t="s">
        <v>95</v>
      </c>
      <c r="E44" s="353">
        <v>1139.5</v>
      </c>
      <c r="F44" s="467">
        <v>0</v>
      </c>
      <c r="G44" s="352">
        <f t="shared" si="2"/>
        <v>0</v>
      </c>
      <c r="I44" s="132"/>
    </row>
    <row r="45" spans="2:12" ht="36" x14ac:dyDescent="0.2">
      <c r="B45" s="131">
        <v>3</v>
      </c>
      <c r="C45" s="206" t="s">
        <v>114</v>
      </c>
      <c r="D45" s="209" t="s">
        <v>112</v>
      </c>
      <c r="E45" s="353">
        <f>((1989*1*1.4)-E43)*0.1</f>
        <v>258.96780000000001</v>
      </c>
      <c r="F45" s="467">
        <v>0</v>
      </c>
      <c r="G45" s="352">
        <f t="shared" si="2"/>
        <v>0</v>
      </c>
      <c r="I45" s="133"/>
      <c r="K45" s="134"/>
      <c r="L45" s="134"/>
    </row>
    <row r="46" spans="2:12" ht="39.75" customHeight="1" x14ac:dyDescent="0.2">
      <c r="B46" s="131">
        <v>4</v>
      </c>
      <c r="C46" s="206" t="s">
        <v>115</v>
      </c>
      <c r="D46" s="209" t="s">
        <v>112</v>
      </c>
      <c r="E46" s="353">
        <f>((1989*1*1.4)-E43)*0.9</f>
        <v>2330.7102</v>
      </c>
      <c r="F46" s="467">
        <v>0</v>
      </c>
      <c r="G46" s="352">
        <f t="shared" si="2"/>
        <v>0</v>
      </c>
      <c r="I46" s="133"/>
      <c r="J46" s="134"/>
    </row>
    <row r="47" spans="2:12" ht="29.25" customHeight="1" x14ac:dyDescent="0.2">
      <c r="B47" s="131">
        <v>5</v>
      </c>
      <c r="C47" s="311" t="s">
        <v>116</v>
      </c>
      <c r="D47" s="219" t="s">
        <v>117</v>
      </c>
      <c r="E47" s="471">
        <f>1989*1.4</f>
        <v>2784.6</v>
      </c>
      <c r="F47" s="467">
        <v>0</v>
      </c>
      <c r="G47" s="352">
        <f t="shared" si="2"/>
        <v>0</v>
      </c>
      <c r="I47" s="1364"/>
    </row>
    <row r="48" spans="2:12" ht="29.25" customHeight="1" x14ac:dyDescent="0.2">
      <c r="B48" s="131">
        <v>6</v>
      </c>
      <c r="C48" s="206" t="s">
        <v>118</v>
      </c>
      <c r="D48" s="209" t="s">
        <v>117</v>
      </c>
      <c r="E48" s="353">
        <f>1989*1</f>
        <v>1989</v>
      </c>
      <c r="F48" s="467">
        <v>0</v>
      </c>
      <c r="G48" s="352">
        <f t="shared" si="2"/>
        <v>0</v>
      </c>
      <c r="I48" s="1364"/>
    </row>
    <row r="49" spans="2:12" ht="27" customHeight="1" x14ac:dyDescent="0.2">
      <c r="B49" s="131">
        <v>7</v>
      </c>
      <c r="C49" s="206" t="s">
        <v>304</v>
      </c>
      <c r="D49" s="209" t="s">
        <v>112</v>
      </c>
      <c r="E49" s="353">
        <v>553.03</v>
      </c>
      <c r="F49" s="467">
        <v>0</v>
      </c>
      <c r="G49" s="352">
        <f t="shared" si="2"/>
        <v>0</v>
      </c>
      <c r="I49" s="133"/>
      <c r="J49" s="1365"/>
    </row>
    <row r="50" spans="2:12" ht="24" x14ac:dyDescent="0.2">
      <c r="B50" s="131">
        <v>8</v>
      </c>
      <c r="C50" s="206" t="s">
        <v>119</v>
      </c>
      <c r="D50" s="209" t="s">
        <v>112</v>
      </c>
      <c r="E50" s="353">
        <v>1457.45</v>
      </c>
      <c r="F50" s="467">
        <v>0</v>
      </c>
      <c r="G50" s="352">
        <f t="shared" si="2"/>
        <v>0</v>
      </c>
      <c r="I50" s="134"/>
      <c r="K50" s="1365"/>
    </row>
    <row r="51" spans="2:12" ht="40.5" customHeight="1" x14ac:dyDescent="0.2">
      <c r="B51" s="131">
        <v>9</v>
      </c>
      <c r="C51" s="208" t="s">
        <v>120</v>
      </c>
      <c r="D51" s="209" t="s">
        <v>112</v>
      </c>
      <c r="E51" s="353">
        <v>460.4</v>
      </c>
      <c r="F51" s="467">
        <v>0</v>
      </c>
      <c r="G51" s="352">
        <f t="shared" si="2"/>
        <v>0</v>
      </c>
      <c r="I51" s="1365"/>
      <c r="J51" s="1365"/>
      <c r="K51" s="1365"/>
    </row>
    <row r="52" spans="2:12" s="130" customFormat="1" ht="39" customHeight="1" x14ac:dyDescent="0.2">
      <c r="B52" s="131">
        <v>10</v>
      </c>
      <c r="C52" s="314" t="s">
        <v>121</v>
      </c>
      <c r="D52" s="210" t="s">
        <v>112</v>
      </c>
      <c r="E52" s="353">
        <v>313.72000000000003</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row>
    <row r="54" spans="2:12" s="147" customFormat="1" ht="15" customHeight="1" x14ac:dyDescent="0.25">
      <c r="B54" s="3188"/>
      <c r="C54" s="308" t="s">
        <v>124</v>
      </c>
      <c r="D54" s="207" t="s">
        <v>95</v>
      </c>
      <c r="E54" s="353">
        <v>55</v>
      </c>
      <c r="F54" s="467">
        <v>0</v>
      </c>
      <c r="G54" s="352">
        <f t="shared" si="2"/>
        <v>0</v>
      </c>
      <c r="H54" s="572"/>
      <c r="I54" s="490"/>
    </row>
    <row r="55" spans="2:12" s="147" customFormat="1" ht="15" customHeight="1" x14ac:dyDescent="0.25">
      <c r="B55" s="3189"/>
      <c r="C55" s="308" t="s">
        <v>305</v>
      </c>
      <c r="D55" s="207" t="s">
        <v>95</v>
      </c>
      <c r="E55" s="353">
        <v>15</v>
      </c>
      <c r="F55" s="467">
        <v>0</v>
      </c>
      <c r="G55" s="352">
        <f t="shared" si="2"/>
        <v>0</v>
      </c>
      <c r="H55" s="572"/>
    </row>
    <row r="56" spans="2:12" ht="25.5" customHeight="1" x14ac:dyDescent="0.2">
      <c r="B56" s="131">
        <v>12</v>
      </c>
      <c r="C56" s="206" t="s">
        <v>125</v>
      </c>
      <c r="D56" s="209" t="s">
        <v>95</v>
      </c>
      <c r="E56" s="353">
        <v>596.70000000000005</v>
      </c>
      <c r="F56" s="467">
        <v>0</v>
      </c>
      <c r="G56" s="352">
        <f t="shared" si="2"/>
        <v>0</v>
      </c>
      <c r="H56" s="571"/>
      <c r="I56" s="1365"/>
    </row>
    <row r="57" spans="2:12" ht="16.5" customHeight="1" x14ac:dyDescent="0.2">
      <c r="B57" s="131">
        <v>13</v>
      </c>
      <c r="C57" s="206" t="s">
        <v>126</v>
      </c>
      <c r="D57" s="207" t="s">
        <v>117</v>
      </c>
      <c r="E57" s="353">
        <v>684.3</v>
      </c>
      <c r="F57" s="467">
        <v>0</v>
      </c>
      <c r="G57" s="352">
        <f t="shared" si="2"/>
        <v>0</v>
      </c>
      <c r="H57" s="571"/>
    </row>
    <row r="58" spans="2:12" ht="48" x14ac:dyDescent="0.2">
      <c r="B58" s="131">
        <v>14</v>
      </c>
      <c r="C58" s="206" t="s">
        <v>127</v>
      </c>
      <c r="D58" s="207" t="s">
        <v>117</v>
      </c>
      <c r="E58" s="353">
        <f>E57</f>
        <v>684.3</v>
      </c>
      <c r="F58" s="467">
        <v>0</v>
      </c>
      <c r="G58" s="352">
        <f t="shared" si="2"/>
        <v>0</v>
      </c>
      <c r="H58" s="571"/>
      <c r="I58" s="1365"/>
    </row>
    <row r="59" spans="2:12" ht="65.25" customHeight="1" x14ac:dyDescent="0.2">
      <c r="B59" s="131">
        <v>15</v>
      </c>
      <c r="C59" s="314" t="s">
        <v>706</v>
      </c>
      <c r="D59" s="209" t="s">
        <v>117</v>
      </c>
      <c r="E59" s="353">
        <v>289.8</v>
      </c>
      <c r="F59" s="467">
        <v>0</v>
      </c>
      <c r="G59" s="352">
        <f t="shared" si="2"/>
        <v>0</v>
      </c>
      <c r="H59" s="571"/>
      <c r="I59" s="1370"/>
    </row>
    <row r="60" spans="2:12" ht="51.75" customHeight="1" x14ac:dyDescent="0.2">
      <c r="B60" s="131">
        <v>16</v>
      </c>
      <c r="C60" s="208" t="s">
        <v>129</v>
      </c>
      <c r="D60" s="209" t="s">
        <v>117</v>
      </c>
      <c r="E60" s="353">
        <v>213.5</v>
      </c>
      <c r="F60" s="467">
        <v>0</v>
      </c>
      <c r="G60" s="352">
        <f t="shared" si="2"/>
        <v>0</v>
      </c>
      <c r="H60" s="571"/>
    </row>
    <row r="61" spans="2:12" ht="64.5" customHeight="1" x14ac:dyDescent="0.2">
      <c r="B61" s="131">
        <v>17</v>
      </c>
      <c r="C61" s="208" t="s">
        <v>708</v>
      </c>
      <c r="D61" s="209" t="s">
        <v>117</v>
      </c>
      <c r="E61" s="353">
        <v>213.5</v>
      </c>
      <c r="F61" s="467">
        <v>0</v>
      </c>
      <c r="G61" s="352">
        <f t="shared" si="2"/>
        <v>0</v>
      </c>
      <c r="H61" s="571"/>
      <c r="I61" s="1365"/>
    </row>
    <row r="62" spans="2:12" ht="76.5" customHeight="1" x14ac:dyDescent="0.2">
      <c r="B62" s="312" t="s">
        <v>580</v>
      </c>
      <c r="C62" s="208" t="s">
        <v>711</v>
      </c>
      <c r="D62" s="209" t="s">
        <v>117</v>
      </c>
      <c r="E62" s="353">
        <v>181</v>
      </c>
      <c r="F62" s="467">
        <v>0</v>
      </c>
      <c r="G62" s="352">
        <f>E62*F62</f>
        <v>0</v>
      </c>
      <c r="H62" s="571"/>
    </row>
    <row r="63" spans="2:12" ht="38.25" customHeight="1" x14ac:dyDescent="0.2">
      <c r="B63" s="131">
        <v>19</v>
      </c>
      <c r="C63" s="206" t="s">
        <v>132</v>
      </c>
      <c r="D63" s="207" t="s">
        <v>117</v>
      </c>
      <c r="E63" s="353">
        <v>94</v>
      </c>
      <c r="F63" s="467">
        <v>0</v>
      </c>
      <c r="G63" s="352">
        <f t="shared" si="2"/>
        <v>0</v>
      </c>
    </row>
    <row r="64" spans="2:12" ht="14.25" customHeight="1" x14ac:dyDescent="0.2">
      <c r="B64" s="131">
        <v>20</v>
      </c>
      <c r="C64" s="206" t="s">
        <v>134</v>
      </c>
      <c r="D64" s="209" t="s">
        <v>112</v>
      </c>
      <c r="E64" s="353">
        <v>1327.15</v>
      </c>
      <c r="F64" s="467">
        <v>0</v>
      </c>
      <c r="G64" s="352">
        <f t="shared" si="2"/>
        <v>0</v>
      </c>
      <c r="I64" s="1365"/>
    </row>
    <row r="65" spans="2:9" ht="15.75" customHeight="1" x14ac:dyDescent="0.2">
      <c r="B65" s="131">
        <v>21</v>
      </c>
      <c r="C65" s="206" t="s">
        <v>135</v>
      </c>
      <c r="D65" s="209" t="s">
        <v>112</v>
      </c>
      <c r="E65" s="353">
        <f>E64</f>
        <v>1327.15</v>
      </c>
      <c r="F65" s="467">
        <v>0</v>
      </c>
      <c r="G65" s="352">
        <f t="shared" si="2"/>
        <v>0</v>
      </c>
    </row>
    <row r="66" spans="2:9" ht="27.75" customHeight="1" x14ac:dyDescent="0.2">
      <c r="B66" s="131">
        <v>22</v>
      </c>
      <c r="C66" s="206" t="s">
        <v>136</v>
      </c>
      <c r="D66" s="209" t="s">
        <v>117</v>
      </c>
      <c r="E66" s="353">
        <v>684.3</v>
      </c>
      <c r="F66" s="467">
        <v>0</v>
      </c>
      <c r="G66" s="352">
        <f t="shared" si="2"/>
        <v>0</v>
      </c>
    </row>
    <row r="67" spans="2:9" ht="30" customHeight="1" x14ac:dyDescent="0.2">
      <c r="B67" s="131">
        <v>23</v>
      </c>
      <c r="C67" s="206" t="s">
        <v>138</v>
      </c>
      <c r="D67" s="207" t="s">
        <v>117</v>
      </c>
      <c r="E67" s="353">
        <v>456.7</v>
      </c>
      <c r="F67" s="467">
        <v>0</v>
      </c>
      <c r="G67" s="352">
        <f t="shared" si="2"/>
        <v>0</v>
      </c>
    </row>
    <row r="68" spans="2:9" s="130" customFormat="1" ht="51.75" customHeight="1" x14ac:dyDescent="0.2">
      <c r="B68" s="2721">
        <v>24</v>
      </c>
      <c r="C68" s="408" t="s">
        <v>139</v>
      </c>
      <c r="D68" s="221"/>
      <c r="E68" s="353"/>
      <c r="F68" s="467"/>
      <c r="G68" s="352"/>
      <c r="H68" s="565"/>
    </row>
    <row r="69" spans="2:9" s="130" customFormat="1" x14ac:dyDescent="0.2">
      <c r="B69" s="2722"/>
      <c r="C69" s="291" t="s">
        <v>713</v>
      </c>
      <c r="D69" s="221" t="s">
        <v>95</v>
      </c>
      <c r="E69" s="353">
        <v>30</v>
      </c>
      <c r="F69" s="467">
        <v>0</v>
      </c>
      <c r="G69" s="352">
        <f t="shared" si="2"/>
        <v>0</v>
      </c>
      <c r="H69" s="565"/>
    </row>
    <row r="70" spans="2:9" ht="39.75" customHeight="1" x14ac:dyDescent="0.2">
      <c r="B70" s="2721">
        <v>25</v>
      </c>
      <c r="C70" s="409" t="s">
        <v>309</v>
      </c>
      <c r="D70" s="207"/>
      <c r="E70" s="353"/>
      <c r="F70" s="467"/>
      <c r="G70" s="352"/>
    </row>
    <row r="71" spans="2:9" s="130" customFormat="1" x14ac:dyDescent="0.2">
      <c r="B71" s="2722"/>
      <c r="C71" s="291" t="s">
        <v>715</v>
      </c>
      <c r="D71" s="221" t="s">
        <v>95</v>
      </c>
      <c r="E71" s="353">
        <v>11</v>
      </c>
      <c r="F71" s="467">
        <v>0</v>
      </c>
      <c r="G71" s="352">
        <f t="shared" ref="G71" si="3">E71*F71</f>
        <v>0</v>
      </c>
      <c r="H71" s="565"/>
    </row>
    <row r="72" spans="2:9" ht="39.75" customHeight="1" x14ac:dyDescent="0.2">
      <c r="B72" s="131">
        <v>26</v>
      </c>
      <c r="C72" s="409" t="s">
        <v>142</v>
      </c>
      <c r="D72" s="207" t="s">
        <v>117</v>
      </c>
      <c r="E72" s="353">
        <v>26</v>
      </c>
      <c r="F72" s="467">
        <v>0</v>
      </c>
      <c r="G72" s="352">
        <f t="shared" si="2"/>
        <v>0</v>
      </c>
      <c r="I72" s="1372"/>
    </row>
    <row r="73" spans="2:9" ht="25.5" customHeight="1" x14ac:dyDescent="0.2">
      <c r="B73" s="131">
        <v>27</v>
      </c>
      <c r="C73" s="409" t="s">
        <v>143</v>
      </c>
      <c r="D73" s="207" t="s">
        <v>95</v>
      </c>
      <c r="E73" s="353">
        <v>75</v>
      </c>
      <c r="F73" s="467">
        <v>0</v>
      </c>
      <c r="G73" s="352">
        <f t="shared" si="2"/>
        <v>0</v>
      </c>
      <c r="H73" s="571"/>
    </row>
    <row r="74" spans="2:9" ht="25.5" customHeight="1" x14ac:dyDescent="0.2">
      <c r="B74" s="312" t="s">
        <v>600</v>
      </c>
      <c r="C74" s="409" t="s">
        <v>718</v>
      </c>
      <c r="D74" s="207" t="s">
        <v>95</v>
      </c>
      <c r="E74" s="353">
        <v>37</v>
      </c>
      <c r="F74" s="467">
        <v>0</v>
      </c>
      <c r="G74" s="352">
        <f t="shared" si="2"/>
        <v>0</v>
      </c>
      <c r="H74" s="571"/>
    </row>
    <row r="75" spans="2:9" ht="192" x14ac:dyDescent="0.2">
      <c r="B75" s="312" t="s">
        <v>602</v>
      </c>
      <c r="C75" s="1384" t="s">
        <v>1759</v>
      </c>
      <c r="D75" s="1367" t="s">
        <v>149</v>
      </c>
      <c r="E75" s="1359">
        <v>1</v>
      </c>
      <c r="F75" s="467">
        <v>0</v>
      </c>
      <c r="G75" s="1361">
        <f t="shared" si="2"/>
        <v>0</v>
      </c>
      <c r="H75" s="571"/>
    </row>
    <row r="76" spans="2:9" ht="29.25" customHeight="1" x14ac:dyDescent="0.2">
      <c r="B76" s="411">
        <v>30</v>
      </c>
      <c r="C76" s="410" t="s">
        <v>151</v>
      </c>
      <c r="D76" s="222" t="s">
        <v>112</v>
      </c>
      <c r="E76" s="472">
        <v>6</v>
      </c>
      <c r="F76" s="467">
        <v>0</v>
      </c>
      <c r="G76" s="352">
        <f>E76*F76</f>
        <v>0</v>
      </c>
    </row>
    <row r="77" spans="2:9" ht="36.75" customHeight="1" x14ac:dyDescent="0.2">
      <c r="B77" s="131">
        <v>31</v>
      </c>
      <c r="C77" s="1366" t="s">
        <v>152</v>
      </c>
      <c r="D77" s="1367" t="s">
        <v>149</v>
      </c>
      <c r="E77" s="1359">
        <v>25</v>
      </c>
      <c r="F77" s="467">
        <v>0</v>
      </c>
      <c r="G77" s="1361">
        <f>E77*F77</f>
        <v>0</v>
      </c>
    </row>
    <row r="78" spans="2:9" ht="30" customHeight="1" x14ac:dyDescent="0.2">
      <c r="B78" s="411">
        <v>32</v>
      </c>
      <c r="C78" s="223" t="s">
        <v>153</v>
      </c>
      <c r="D78" s="222" t="s">
        <v>112</v>
      </c>
      <c r="E78" s="472">
        <v>8.5</v>
      </c>
      <c r="F78" s="467">
        <v>0</v>
      </c>
      <c r="G78" s="352">
        <f>E78*F78</f>
        <v>0</v>
      </c>
    </row>
    <row r="79" spans="2:9" ht="28.5" customHeight="1" x14ac:dyDescent="0.2">
      <c r="B79" s="131">
        <v>33</v>
      </c>
      <c r="C79" s="223" t="s">
        <v>155</v>
      </c>
      <c r="D79" s="222" t="s">
        <v>156</v>
      </c>
      <c r="E79" s="472">
        <v>12</v>
      </c>
      <c r="F79" s="467">
        <v>0</v>
      </c>
      <c r="G79" s="352">
        <f>E79*F79</f>
        <v>0</v>
      </c>
    </row>
    <row r="80" spans="2:9" s="147" customFormat="1" ht="21.75" customHeight="1" x14ac:dyDescent="0.25">
      <c r="B80" s="327" t="s">
        <v>12</v>
      </c>
      <c r="C80" s="214" t="s">
        <v>157</v>
      </c>
      <c r="D80" s="224"/>
      <c r="E80" s="215"/>
      <c r="F80" s="216"/>
      <c r="G80" s="290">
        <f>SUM(G43:G79)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30" customHeight="1" x14ac:dyDescent="0.2">
      <c r="B92" s="153">
        <v>1</v>
      </c>
      <c r="C92" s="1806" t="s">
        <v>162</v>
      </c>
      <c r="D92" s="226"/>
      <c r="E92" s="353"/>
      <c r="F92" s="358"/>
      <c r="G92" s="350"/>
    </row>
    <row r="93" spans="1:9" s="147" customFormat="1" ht="18.75" customHeight="1" x14ac:dyDescent="0.25">
      <c r="B93" s="148"/>
      <c r="C93" s="1807" t="s">
        <v>723</v>
      </c>
      <c r="D93" s="226" t="s">
        <v>95</v>
      </c>
      <c r="E93" s="353">
        <v>75</v>
      </c>
      <c r="F93" s="467">
        <v>0</v>
      </c>
      <c r="G93" s="352">
        <f t="shared" ref="G93:G103" si="4">E93*F93</f>
        <v>0</v>
      </c>
      <c r="H93" s="150"/>
      <c r="I93" s="490"/>
    </row>
    <row r="94" spans="1:9" ht="27" customHeight="1" x14ac:dyDescent="0.2">
      <c r="B94" s="148"/>
      <c r="C94" s="1807" t="s">
        <v>835</v>
      </c>
      <c r="D94" s="226" t="s">
        <v>95</v>
      </c>
      <c r="E94" s="353">
        <v>8</v>
      </c>
      <c r="F94" s="467">
        <v>0</v>
      </c>
      <c r="G94" s="352">
        <f t="shared" si="4"/>
        <v>0</v>
      </c>
    </row>
    <row r="95" spans="1:9" s="147" customFormat="1" ht="18.75" customHeight="1" x14ac:dyDescent="0.25">
      <c r="B95" s="148"/>
      <c r="C95" s="1807" t="s">
        <v>821</v>
      </c>
      <c r="D95" s="226" t="s">
        <v>95</v>
      </c>
      <c r="E95" s="353">
        <v>1330</v>
      </c>
      <c r="F95" s="467">
        <v>0</v>
      </c>
      <c r="G95" s="352">
        <f t="shared" si="4"/>
        <v>0</v>
      </c>
      <c r="H95" s="150"/>
      <c r="I95" s="490"/>
    </row>
    <row r="96" spans="1:9" ht="27" customHeight="1" x14ac:dyDescent="0.2">
      <c r="B96" s="148"/>
      <c r="C96" s="1807" t="s">
        <v>822</v>
      </c>
      <c r="D96" s="226" t="s">
        <v>95</v>
      </c>
      <c r="E96" s="353">
        <v>147</v>
      </c>
      <c r="F96" s="467">
        <v>0</v>
      </c>
      <c r="G96" s="352">
        <f t="shared" si="4"/>
        <v>0</v>
      </c>
      <c r="I96" s="1365"/>
    </row>
    <row r="97" spans="2:9" s="147" customFormat="1" ht="18.75" customHeight="1" x14ac:dyDescent="0.25">
      <c r="B97" s="148"/>
      <c r="C97" s="1807" t="s">
        <v>1733</v>
      </c>
      <c r="D97" s="226" t="s">
        <v>95</v>
      </c>
      <c r="E97" s="353">
        <v>180</v>
      </c>
      <c r="F97" s="467">
        <v>0</v>
      </c>
      <c r="G97" s="352">
        <f t="shared" si="4"/>
        <v>0</v>
      </c>
      <c r="H97" s="150"/>
      <c r="I97" s="490"/>
    </row>
    <row r="98" spans="2:9" ht="27" customHeight="1" x14ac:dyDescent="0.2">
      <c r="B98" s="148"/>
      <c r="C98" s="1807" t="s">
        <v>1734</v>
      </c>
      <c r="D98" s="226" t="s">
        <v>95</v>
      </c>
      <c r="E98" s="353">
        <v>20</v>
      </c>
      <c r="F98" s="467">
        <v>0</v>
      </c>
      <c r="G98" s="352">
        <f t="shared" si="4"/>
        <v>0</v>
      </c>
    </row>
    <row r="99" spans="2:9" s="147" customFormat="1" ht="18.75" customHeight="1" x14ac:dyDescent="0.25">
      <c r="B99" s="148"/>
      <c r="C99" s="1807" t="s">
        <v>165</v>
      </c>
      <c r="D99" s="226" t="s">
        <v>95</v>
      </c>
      <c r="E99" s="353">
        <v>206</v>
      </c>
      <c r="F99" s="467">
        <v>0</v>
      </c>
      <c r="G99" s="352">
        <f t="shared" si="4"/>
        <v>0</v>
      </c>
      <c r="H99" s="150"/>
      <c r="I99" s="490"/>
    </row>
    <row r="100" spans="2:9" ht="27" customHeight="1" x14ac:dyDescent="0.2">
      <c r="B100" s="148"/>
      <c r="C100" s="1807" t="s">
        <v>166</v>
      </c>
      <c r="D100" s="226" t="s">
        <v>95</v>
      </c>
      <c r="E100" s="353">
        <v>23</v>
      </c>
      <c r="F100" s="467">
        <v>0</v>
      </c>
      <c r="G100" s="352">
        <f t="shared" si="4"/>
        <v>0</v>
      </c>
    </row>
    <row r="101" spans="2:9" ht="39" customHeight="1" x14ac:dyDescent="0.2">
      <c r="B101" s="3181" t="s">
        <v>167</v>
      </c>
      <c r="C101" s="310" t="s">
        <v>168</v>
      </c>
      <c r="D101" s="221"/>
      <c r="E101" s="353"/>
      <c r="F101" s="467"/>
      <c r="G101" s="352"/>
    </row>
    <row r="102" spans="2:9" ht="12.75" customHeight="1" x14ac:dyDescent="0.2">
      <c r="B102" s="3182"/>
      <c r="C102" s="291" t="s">
        <v>170</v>
      </c>
      <c r="D102" s="221" t="s">
        <v>95</v>
      </c>
      <c r="E102" s="353">
        <v>50</v>
      </c>
      <c r="F102" s="467">
        <v>0</v>
      </c>
      <c r="G102" s="352">
        <f t="shared" ref="G102" si="5">E102*F102</f>
        <v>0</v>
      </c>
    </row>
    <row r="103" spans="2:9" ht="36" x14ac:dyDescent="0.2">
      <c r="B103" s="154">
        <v>2</v>
      </c>
      <c r="C103" s="227" t="s">
        <v>172</v>
      </c>
      <c r="D103" s="209" t="s">
        <v>95</v>
      </c>
      <c r="E103" s="348">
        <f>SUM(E93:E100)</f>
        <v>1989</v>
      </c>
      <c r="F103" s="467">
        <v>0</v>
      </c>
      <c r="G103" s="352">
        <f t="shared" si="4"/>
        <v>0</v>
      </c>
    </row>
    <row r="104" spans="2:9" ht="36" x14ac:dyDescent="0.2">
      <c r="B104" s="309" t="s">
        <v>173</v>
      </c>
      <c r="C104" s="227" t="s">
        <v>174</v>
      </c>
      <c r="D104" s="209" t="s">
        <v>95</v>
      </c>
      <c r="E104" s="348">
        <f>SUM(E93:E100)</f>
        <v>1989</v>
      </c>
      <c r="F104" s="467">
        <v>0</v>
      </c>
      <c r="G104" s="352">
        <f>E104*F104</f>
        <v>0</v>
      </c>
    </row>
    <row r="105" spans="2:9" s="147" customFormat="1" ht="24" x14ac:dyDescent="0.25">
      <c r="B105" s="309" t="s">
        <v>175</v>
      </c>
      <c r="C105" s="227" t="s">
        <v>176</v>
      </c>
      <c r="D105" s="209" t="s">
        <v>95</v>
      </c>
      <c r="E105" s="348">
        <f>SUM(E93:E100)</f>
        <v>1989</v>
      </c>
      <c r="F105" s="467">
        <v>0</v>
      </c>
      <c r="G105" s="352">
        <f>E105*F105</f>
        <v>0</v>
      </c>
      <c r="H105" s="150"/>
    </row>
    <row r="106" spans="2:9" s="147" customFormat="1" ht="36" x14ac:dyDescent="0.25">
      <c r="B106" s="309" t="s">
        <v>177</v>
      </c>
      <c r="C106" s="227" t="s">
        <v>178</v>
      </c>
      <c r="D106" s="209" t="s">
        <v>95</v>
      </c>
      <c r="E106" s="348">
        <f>SUM(E93:E100)</f>
        <v>1989</v>
      </c>
      <c r="F106" s="467">
        <v>0</v>
      </c>
      <c r="G106" s="352">
        <f>E106*F106</f>
        <v>0</v>
      </c>
      <c r="H106" s="150"/>
    </row>
    <row r="107" spans="2:9" ht="24" x14ac:dyDescent="0.2">
      <c r="B107" s="153">
        <v>3</v>
      </c>
      <c r="C107" s="264" t="s">
        <v>179</v>
      </c>
      <c r="D107" s="231"/>
      <c r="E107" s="232"/>
      <c r="F107" s="233">
        <v>0</v>
      </c>
      <c r="G107" s="234"/>
    </row>
    <row r="108" spans="2:9" s="147" customFormat="1" x14ac:dyDescent="0.25">
      <c r="B108" s="292" t="s">
        <v>180</v>
      </c>
      <c r="C108" s="1808" t="s">
        <v>181</v>
      </c>
      <c r="D108" s="231"/>
      <c r="E108" s="232"/>
      <c r="F108" s="233"/>
      <c r="G108" s="234"/>
      <c r="H108" s="150"/>
    </row>
    <row r="109" spans="2:9" s="147" customFormat="1" x14ac:dyDescent="0.25">
      <c r="B109" s="129"/>
      <c r="C109" s="1808" t="s">
        <v>185</v>
      </c>
      <c r="D109" s="231"/>
      <c r="E109" s="232"/>
      <c r="F109" s="233"/>
      <c r="G109" s="234"/>
      <c r="H109" s="150"/>
    </row>
    <row r="110" spans="2:9" s="136" customFormat="1" x14ac:dyDescent="0.2">
      <c r="B110" s="152"/>
      <c r="C110" s="1810" t="s">
        <v>186</v>
      </c>
      <c r="D110" s="236" t="s">
        <v>149</v>
      </c>
      <c r="E110" s="232">
        <v>25</v>
      </c>
      <c r="F110" s="271">
        <v>0</v>
      </c>
      <c r="G110" s="272">
        <f t="shared" ref="G110:G111" si="6">E110*F110</f>
        <v>0</v>
      </c>
      <c r="H110" s="565"/>
    </row>
    <row r="111" spans="2:9" s="136" customFormat="1" x14ac:dyDescent="0.2">
      <c r="B111" s="152"/>
      <c r="C111" s="1810" t="s">
        <v>187</v>
      </c>
      <c r="D111" s="236" t="s">
        <v>149</v>
      </c>
      <c r="E111" s="232">
        <v>8</v>
      </c>
      <c r="F111" s="271">
        <v>0</v>
      </c>
      <c r="G111" s="272">
        <f t="shared" si="6"/>
        <v>0</v>
      </c>
      <c r="H111" s="565"/>
    </row>
    <row r="112" spans="2:9" s="136" customFormat="1" x14ac:dyDescent="0.2">
      <c r="B112" s="292" t="s">
        <v>188</v>
      </c>
      <c r="C112" s="238" t="s">
        <v>189</v>
      </c>
      <c r="D112" s="239"/>
      <c r="E112" s="240"/>
      <c r="F112" s="241">
        <v>0</v>
      </c>
      <c r="G112" s="242"/>
      <c r="H112" s="565"/>
    </row>
    <row r="113" spans="2:8" s="136" customFormat="1" x14ac:dyDescent="0.2">
      <c r="B113" s="135"/>
      <c r="C113" s="238" t="s">
        <v>838</v>
      </c>
      <c r="D113" s="239"/>
      <c r="E113" s="240"/>
      <c r="F113" s="241">
        <v>0</v>
      </c>
      <c r="G113" s="242"/>
      <c r="H113" s="565"/>
    </row>
    <row r="114" spans="2:8" s="136" customFormat="1" x14ac:dyDescent="0.2">
      <c r="B114" s="135"/>
      <c r="C114" s="243" t="s">
        <v>207</v>
      </c>
      <c r="D114" s="239" t="s">
        <v>149</v>
      </c>
      <c r="E114" s="240">
        <v>1</v>
      </c>
      <c r="F114" s="273">
        <v>0</v>
      </c>
      <c r="G114" s="274">
        <f t="shared" ref="G114:G121" si="7">E114*F114</f>
        <v>0</v>
      </c>
      <c r="H114" s="565"/>
    </row>
    <row r="115" spans="2:8" s="136" customFormat="1" ht="36" x14ac:dyDescent="0.2">
      <c r="B115" s="135"/>
      <c r="C115" s="244" t="s">
        <v>192</v>
      </c>
      <c r="D115" s="239" t="s">
        <v>149</v>
      </c>
      <c r="E115" s="240">
        <v>1</v>
      </c>
      <c r="F115" s="273">
        <v>0</v>
      </c>
      <c r="G115" s="274">
        <f t="shared" si="7"/>
        <v>0</v>
      </c>
      <c r="H115" s="565"/>
    </row>
    <row r="116" spans="2:8" s="136" customFormat="1" x14ac:dyDescent="0.2">
      <c r="B116" s="135"/>
      <c r="C116" s="244" t="s">
        <v>193</v>
      </c>
      <c r="D116" s="239" t="s">
        <v>149</v>
      </c>
      <c r="E116" s="240">
        <v>1</v>
      </c>
      <c r="F116" s="273">
        <v>0</v>
      </c>
      <c r="G116" s="274">
        <f t="shared" si="7"/>
        <v>0</v>
      </c>
      <c r="H116" s="565"/>
    </row>
    <row r="117" spans="2:8" s="136" customFormat="1" x14ac:dyDescent="0.2">
      <c r="B117" s="135"/>
      <c r="C117" s="244" t="s">
        <v>194</v>
      </c>
      <c r="D117" s="239" t="s">
        <v>149</v>
      </c>
      <c r="E117" s="240">
        <v>1</v>
      </c>
      <c r="F117" s="273">
        <v>0</v>
      </c>
      <c r="G117" s="274">
        <f t="shared" si="7"/>
        <v>0</v>
      </c>
      <c r="H117" s="565"/>
    </row>
    <row r="118" spans="2:8" s="136" customFormat="1" x14ac:dyDescent="0.2">
      <c r="B118" s="135"/>
      <c r="C118" s="244" t="s">
        <v>235</v>
      </c>
      <c r="D118" s="239" t="s">
        <v>149</v>
      </c>
      <c r="E118" s="240">
        <v>2</v>
      </c>
      <c r="F118" s="273">
        <v>0</v>
      </c>
      <c r="G118" s="274">
        <f t="shared" si="7"/>
        <v>0</v>
      </c>
      <c r="H118" s="565"/>
    </row>
    <row r="119" spans="2:8" s="136" customFormat="1" x14ac:dyDescent="0.2">
      <c r="B119" s="135"/>
      <c r="C119" s="244" t="s">
        <v>839</v>
      </c>
      <c r="D119" s="239" t="s">
        <v>149</v>
      </c>
      <c r="E119" s="240">
        <v>2</v>
      </c>
      <c r="F119" s="273">
        <v>0</v>
      </c>
      <c r="G119" s="274">
        <f t="shared" si="7"/>
        <v>0</v>
      </c>
      <c r="H119" s="565"/>
    </row>
    <row r="120" spans="2:8" s="136" customFormat="1" x14ac:dyDescent="0.2">
      <c r="B120" s="135"/>
      <c r="C120" s="244" t="s">
        <v>197</v>
      </c>
      <c r="D120" s="239" t="s">
        <v>149</v>
      </c>
      <c r="E120" s="240">
        <v>1</v>
      </c>
      <c r="F120" s="273">
        <v>0</v>
      </c>
      <c r="G120" s="274">
        <f t="shared" si="7"/>
        <v>0</v>
      </c>
      <c r="H120" s="565"/>
    </row>
    <row r="121" spans="2:8" s="136" customFormat="1" x14ac:dyDescent="0.2">
      <c r="B121" s="135"/>
      <c r="C121" s="244" t="s">
        <v>198</v>
      </c>
      <c r="D121" s="239" t="s">
        <v>149</v>
      </c>
      <c r="E121" s="240">
        <v>1</v>
      </c>
      <c r="F121" s="273">
        <v>0</v>
      </c>
      <c r="G121" s="274">
        <f t="shared" si="7"/>
        <v>0</v>
      </c>
      <c r="H121" s="565"/>
    </row>
    <row r="122" spans="2:8" s="136" customFormat="1" x14ac:dyDescent="0.2">
      <c r="B122" s="135"/>
      <c r="C122" s="238" t="s">
        <v>840</v>
      </c>
      <c r="D122" s="239"/>
      <c r="E122" s="240"/>
      <c r="F122" s="241">
        <v>0</v>
      </c>
      <c r="G122" s="242"/>
      <c r="H122" s="565"/>
    </row>
    <row r="123" spans="2:8" s="136" customFormat="1" x14ac:dyDescent="0.2">
      <c r="B123" s="135"/>
      <c r="C123" s="243" t="s">
        <v>841</v>
      </c>
      <c r="D123" s="239" t="s">
        <v>149</v>
      </c>
      <c r="E123" s="240">
        <v>3</v>
      </c>
      <c r="F123" s="273">
        <v>0</v>
      </c>
      <c r="G123" s="274">
        <f t="shared" ref="G123:G132" si="8">E123*F123</f>
        <v>0</v>
      </c>
      <c r="H123" s="565"/>
    </row>
    <row r="124" spans="2:8" s="136" customFormat="1" ht="36" x14ac:dyDescent="0.2">
      <c r="B124" s="135"/>
      <c r="C124" s="244" t="s">
        <v>285</v>
      </c>
      <c r="D124" s="239" t="s">
        <v>149</v>
      </c>
      <c r="E124" s="240">
        <v>3</v>
      </c>
      <c r="F124" s="273">
        <v>0</v>
      </c>
      <c r="G124" s="274">
        <f t="shared" si="8"/>
        <v>0</v>
      </c>
      <c r="H124" s="565"/>
    </row>
    <row r="125" spans="2:8" s="136" customFormat="1" x14ac:dyDescent="0.2">
      <c r="B125" s="135"/>
      <c r="C125" s="244" t="s">
        <v>193</v>
      </c>
      <c r="D125" s="239" t="s">
        <v>149</v>
      </c>
      <c r="E125" s="240">
        <v>3</v>
      </c>
      <c r="F125" s="273">
        <v>0</v>
      </c>
      <c r="G125" s="274">
        <f t="shared" si="8"/>
        <v>0</v>
      </c>
      <c r="H125" s="565"/>
    </row>
    <row r="126" spans="2:8" s="136" customFormat="1" x14ac:dyDescent="0.2">
      <c r="B126" s="135"/>
      <c r="C126" s="244" t="s">
        <v>194</v>
      </c>
      <c r="D126" s="239" t="s">
        <v>149</v>
      </c>
      <c r="E126" s="240">
        <v>3</v>
      </c>
      <c r="F126" s="273">
        <v>0</v>
      </c>
      <c r="G126" s="274">
        <f t="shared" si="8"/>
        <v>0</v>
      </c>
      <c r="H126" s="565"/>
    </row>
    <row r="127" spans="2:8" s="136" customFormat="1" x14ac:dyDescent="0.2">
      <c r="B127" s="135"/>
      <c r="C127" s="1811" t="s">
        <v>239</v>
      </c>
      <c r="D127" s="239" t="s">
        <v>149</v>
      </c>
      <c r="E127" s="240">
        <v>6</v>
      </c>
      <c r="F127" s="273">
        <v>0</v>
      </c>
      <c r="G127" s="274">
        <f t="shared" si="8"/>
        <v>0</v>
      </c>
      <c r="H127" s="565"/>
    </row>
    <row r="128" spans="2:8" s="136" customFormat="1" x14ac:dyDescent="0.2">
      <c r="B128" s="135"/>
      <c r="C128" s="1811" t="s">
        <v>240</v>
      </c>
      <c r="D128" s="239" t="s">
        <v>149</v>
      </c>
      <c r="E128" s="240">
        <v>6</v>
      </c>
      <c r="F128" s="273">
        <v>0</v>
      </c>
      <c r="G128" s="274">
        <f t="shared" si="8"/>
        <v>0</v>
      </c>
      <c r="H128" s="565"/>
    </row>
    <row r="129" spans="2:8" s="136" customFormat="1" x14ac:dyDescent="0.2">
      <c r="B129" s="135"/>
      <c r="C129" s="1811" t="s">
        <v>241</v>
      </c>
      <c r="D129" s="239" t="s">
        <v>149</v>
      </c>
      <c r="E129" s="240">
        <v>6</v>
      </c>
      <c r="F129" s="273">
        <v>0</v>
      </c>
      <c r="G129" s="274">
        <f t="shared" si="8"/>
        <v>0</v>
      </c>
      <c r="H129" s="565"/>
    </row>
    <row r="130" spans="2:8" s="136" customFormat="1" x14ac:dyDescent="0.2">
      <c r="B130" s="135"/>
      <c r="C130" s="1811" t="s">
        <v>242</v>
      </c>
      <c r="D130" s="239" t="s">
        <v>149</v>
      </c>
      <c r="E130" s="240">
        <v>6</v>
      </c>
      <c r="F130" s="273">
        <v>0</v>
      </c>
      <c r="G130" s="274">
        <f t="shared" si="8"/>
        <v>0</v>
      </c>
      <c r="H130" s="565"/>
    </row>
    <row r="131" spans="2:8" s="136" customFormat="1" x14ac:dyDescent="0.2">
      <c r="B131" s="135"/>
      <c r="C131" s="1811" t="s">
        <v>197</v>
      </c>
      <c r="D131" s="239" t="s">
        <v>149</v>
      </c>
      <c r="E131" s="240">
        <v>3</v>
      </c>
      <c r="F131" s="273">
        <v>0</v>
      </c>
      <c r="G131" s="274">
        <f t="shared" si="8"/>
        <v>0</v>
      </c>
      <c r="H131" s="565"/>
    </row>
    <row r="132" spans="2:8" s="136" customFormat="1" x14ac:dyDescent="0.2">
      <c r="B132" s="135"/>
      <c r="C132" s="1812" t="s">
        <v>198</v>
      </c>
      <c r="D132" s="239" t="s">
        <v>149</v>
      </c>
      <c r="E132" s="240">
        <v>3</v>
      </c>
      <c r="F132" s="273">
        <v>0</v>
      </c>
      <c r="G132" s="274">
        <f t="shared" si="8"/>
        <v>0</v>
      </c>
      <c r="H132" s="565"/>
    </row>
    <row r="133" spans="2:8" s="136" customFormat="1" x14ac:dyDescent="0.2">
      <c r="B133" s="292" t="s">
        <v>199</v>
      </c>
      <c r="C133" s="247" t="s">
        <v>200</v>
      </c>
      <c r="D133" s="202"/>
      <c r="E133" s="248"/>
      <c r="F133" s="249"/>
      <c r="G133" s="205"/>
      <c r="H133" s="565"/>
    </row>
    <row r="134" spans="2:8" s="136" customFormat="1" x14ac:dyDescent="0.2">
      <c r="B134" s="292"/>
      <c r="C134" s="247" t="s">
        <v>1769</v>
      </c>
      <c r="D134" s="202"/>
      <c r="E134" s="248"/>
      <c r="F134" s="249">
        <v>0</v>
      </c>
      <c r="G134" s="205"/>
      <c r="H134" s="565"/>
    </row>
    <row r="135" spans="2:8" s="136" customFormat="1" ht="27.75" customHeight="1" x14ac:dyDescent="0.2">
      <c r="B135" s="135"/>
      <c r="C135" s="250" t="s">
        <v>202</v>
      </c>
      <c r="D135" s="202" t="s">
        <v>149</v>
      </c>
      <c r="E135" s="248">
        <v>1</v>
      </c>
      <c r="F135" s="275">
        <v>0</v>
      </c>
      <c r="G135" s="276">
        <f t="shared" ref="G135:G139" si="9">E135*F135</f>
        <v>0</v>
      </c>
      <c r="H135" s="565"/>
    </row>
    <row r="136" spans="2:8" s="136" customFormat="1" x14ac:dyDescent="0.2">
      <c r="B136" s="135"/>
      <c r="C136" s="1813" t="s">
        <v>1723</v>
      </c>
      <c r="D136" s="202" t="s">
        <v>149</v>
      </c>
      <c r="E136" s="248">
        <v>2</v>
      </c>
      <c r="F136" s="275">
        <v>0</v>
      </c>
      <c r="G136" s="276">
        <f t="shared" si="9"/>
        <v>0</v>
      </c>
      <c r="H136" s="565"/>
    </row>
    <row r="137" spans="2:8" s="136" customFormat="1" x14ac:dyDescent="0.2">
      <c r="B137" s="135"/>
      <c r="C137" s="1813" t="s">
        <v>1770</v>
      </c>
      <c r="D137" s="202" t="s">
        <v>149</v>
      </c>
      <c r="E137" s="248">
        <v>2</v>
      </c>
      <c r="F137" s="275">
        <v>0</v>
      </c>
      <c r="G137" s="276">
        <f t="shared" si="9"/>
        <v>0</v>
      </c>
      <c r="H137" s="565"/>
    </row>
    <row r="138" spans="2:8" s="136" customFormat="1" x14ac:dyDescent="0.2">
      <c r="B138" s="135"/>
      <c r="C138" s="1813" t="s">
        <v>203</v>
      </c>
      <c r="D138" s="202" t="s">
        <v>149</v>
      </c>
      <c r="E138" s="248">
        <v>1</v>
      </c>
      <c r="F138" s="275">
        <v>0</v>
      </c>
      <c r="G138" s="276">
        <f t="shared" si="9"/>
        <v>0</v>
      </c>
      <c r="H138" s="565"/>
    </row>
    <row r="139" spans="2:8" s="136" customFormat="1" x14ac:dyDescent="0.2">
      <c r="B139" s="135"/>
      <c r="C139" s="1818" t="s">
        <v>1725</v>
      </c>
      <c r="D139" s="202" t="s">
        <v>149</v>
      </c>
      <c r="E139" s="248">
        <v>1</v>
      </c>
      <c r="F139" s="275">
        <v>0</v>
      </c>
      <c r="G139" s="276">
        <f t="shared" si="9"/>
        <v>0</v>
      </c>
      <c r="H139" s="565"/>
    </row>
    <row r="140" spans="2:8" s="136" customFormat="1" ht="12.75" customHeight="1" x14ac:dyDescent="0.2">
      <c r="B140" s="135"/>
      <c r="C140" s="247" t="s">
        <v>201</v>
      </c>
      <c r="D140" s="202"/>
      <c r="E140" s="248"/>
      <c r="F140" s="275"/>
      <c r="G140" s="205"/>
      <c r="H140" s="565"/>
    </row>
    <row r="141" spans="2:8" s="136" customFormat="1" ht="27.75" customHeight="1" x14ac:dyDescent="0.2">
      <c r="B141" s="135"/>
      <c r="C141" s="250" t="s">
        <v>202</v>
      </c>
      <c r="D141" s="202" t="s">
        <v>149</v>
      </c>
      <c r="E141" s="248">
        <v>3</v>
      </c>
      <c r="F141" s="275">
        <v>0</v>
      </c>
      <c r="G141" s="276">
        <f t="shared" ref="G141:G143" si="10">E141*F141</f>
        <v>0</v>
      </c>
      <c r="H141" s="565"/>
    </row>
    <row r="142" spans="2:8" s="136" customFormat="1" x14ac:dyDescent="0.2">
      <c r="B142" s="135"/>
      <c r="C142" s="1814" t="s">
        <v>203</v>
      </c>
      <c r="D142" s="202" t="s">
        <v>149</v>
      </c>
      <c r="E142" s="248">
        <v>3</v>
      </c>
      <c r="F142" s="275">
        <v>0</v>
      </c>
      <c r="G142" s="276">
        <f t="shared" si="10"/>
        <v>0</v>
      </c>
      <c r="H142" s="565"/>
    </row>
    <row r="143" spans="2:8" s="136" customFormat="1" x14ac:dyDescent="0.2">
      <c r="B143" s="135"/>
      <c r="C143" s="1815" t="s">
        <v>198</v>
      </c>
      <c r="D143" s="202" t="s">
        <v>149</v>
      </c>
      <c r="E143" s="248">
        <v>3</v>
      </c>
      <c r="F143" s="275">
        <v>0</v>
      </c>
      <c r="G143" s="276">
        <f t="shared" si="10"/>
        <v>0</v>
      </c>
      <c r="H143" s="565"/>
    </row>
    <row r="144" spans="2:8" s="136" customFormat="1" x14ac:dyDescent="0.2">
      <c r="B144" s="292" t="s">
        <v>204</v>
      </c>
      <c r="C144" s="253" t="s">
        <v>205</v>
      </c>
      <c r="D144" s="254"/>
      <c r="E144" s="255"/>
      <c r="F144" s="256"/>
      <c r="G144" s="257"/>
      <c r="H144" s="565"/>
    </row>
    <row r="145" spans="2:8" s="136" customFormat="1" x14ac:dyDescent="0.2">
      <c r="B145" s="135"/>
      <c r="C145" s="253" t="s">
        <v>1794</v>
      </c>
      <c r="D145" s="254"/>
      <c r="E145" s="255"/>
      <c r="F145" s="256">
        <v>0</v>
      </c>
      <c r="G145" s="257"/>
      <c r="H145" s="565"/>
    </row>
    <row r="146" spans="2:8" s="136" customFormat="1" x14ac:dyDescent="0.2">
      <c r="B146" s="135"/>
      <c r="C146" s="258" t="s">
        <v>841</v>
      </c>
      <c r="D146" s="254" t="s">
        <v>149</v>
      </c>
      <c r="E146" s="255">
        <v>1</v>
      </c>
      <c r="F146" s="277">
        <v>0</v>
      </c>
      <c r="G146" s="278">
        <f t="shared" ref="G146:G162" si="11">E146*F146</f>
        <v>0</v>
      </c>
      <c r="H146" s="565"/>
    </row>
    <row r="147" spans="2:8" s="136" customFormat="1" x14ac:dyDescent="0.2">
      <c r="B147" s="135"/>
      <c r="C147" s="258" t="s">
        <v>213</v>
      </c>
      <c r="D147" s="254" t="s">
        <v>149</v>
      </c>
      <c r="E147" s="255">
        <v>2</v>
      </c>
      <c r="F147" s="277">
        <v>0</v>
      </c>
      <c r="G147" s="278">
        <f t="shared" si="11"/>
        <v>0</v>
      </c>
      <c r="H147" s="565"/>
    </row>
    <row r="148" spans="2:8" s="136" customFormat="1" x14ac:dyDescent="0.2">
      <c r="B148" s="135"/>
      <c r="C148" s="259" t="s">
        <v>843</v>
      </c>
      <c r="D148" s="254" t="s">
        <v>149</v>
      </c>
      <c r="E148" s="255">
        <v>1</v>
      </c>
      <c r="F148" s="277">
        <v>0</v>
      </c>
      <c r="G148" s="278">
        <f t="shared" si="11"/>
        <v>0</v>
      </c>
      <c r="H148" s="565"/>
    </row>
    <row r="149" spans="2:8" s="136" customFormat="1" x14ac:dyDescent="0.2">
      <c r="B149" s="135"/>
      <c r="C149" s="259" t="s">
        <v>210</v>
      </c>
      <c r="D149" s="254" t="s">
        <v>149</v>
      </c>
      <c r="E149" s="255">
        <v>1</v>
      </c>
      <c r="F149" s="277">
        <v>0</v>
      </c>
      <c r="G149" s="278">
        <f t="shared" si="11"/>
        <v>0</v>
      </c>
      <c r="H149" s="565"/>
    </row>
    <row r="150" spans="2:8" s="136" customFormat="1" x14ac:dyDescent="0.2">
      <c r="B150" s="135"/>
      <c r="C150" s="259" t="s">
        <v>211</v>
      </c>
      <c r="D150" s="254" t="s">
        <v>149</v>
      </c>
      <c r="E150" s="255">
        <v>1</v>
      </c>
      <c r="F150" s="277">
        <v>0</v>
      </c>
      <c r="G150" s="278">
        <f t="shared" si="11"/>
        <v>0</v>
      </c>
      <c r="H150" s="565"/>
    </row>
    <row r="151" spans="2:8" s="136" customFormat="1" x14ac:dyDescent="0.2">
      <c r="B151" s="135"/>
      <c r="C151" s="259" t="s">
        <v>212</v>
      </c>
      <c r="D151" s="254" t="s">
        <v>149</v>
      </c>
      <c r="E151" s="255">
        <v>1</v>
      </c>
      <c r="F151" s="277">
        <v>0</v>
      </c>
      <c r="G151" s="278">
        <f t="shared" si="11"/>
        <v>0</v>
      </c>
      <c r="H151" s="565"/>
    </row>
    <row r="152" spans="2:8" s="136" customFormat="1" x14ac:dyDescent="0.2">
      <c r="B152" s="135"/>
      <c r="C152" s="259" t="s">
        <v>213</v>
      </c>
      <c r="D152" s="254" t="s">
        <v>149</v>
      </c>
      <c r="E152" s="255">
        <v>1</v>
      </c>
      <c r="F152" s="277">
        <v>0</v>
      </c>
      <c r="G152" s="278">
        <f t="shared" si="11"/>
        <v>0</v>
      </c>
      <c r="H152" s="565"/>
    </row>
    <row r="153" spans="2:8" s="136" customFormat="1" x14ac:dyDescent="0.2">
      <c r="B153" s="135"/>
      <c r="C153" s="259" t="s">
        <v>214</v>
      </c>
      <c r="D153" s="254" t="s">
        <v>149</v>
      </c>
      <c r="E153" s="255">
        <v>1</v>
      </c>
      <c r="F153" s="277">
        <v>0</v>
      </c>
      <c r="G153" s="278">
        <f t="shared" si="11"/>
        <v>0</v>
      </c>
      <c r="H153" s="565"/>
    </row>
    <row r="154" spans="2:8" s="136" customFormat="1" x14ac:dyDescent="0.2">
      <c r="B154" s="135"/>
      <c r="C154" s="259" t="s">
        <v>215</v>
      </c>
      <c r="D154" s="254" t="s">
        <v>149</v>
      </c>
      <c r="E154" s="255">
        <v>1</v>
      </c>
      <c r="F154" s="277">
        <v>0</v>
      </c>
      <c r="G154" s="278">
        <f t="shared" si="11"/>
        <v>0</v>
      </c>
      <c r="H154" s="565"/>
    </row>
    <row r="155" spans="2:8" s="136" customFormat="1" x14ac:dyDescent="0.2">
      <c r="B155" s="135"/>
      <c r="C155" s="1816" t="s">
        <v>216</v>
      </c>
      <c r="D155" s="254" t="s">
        <v>149</v>
      </c>
      <c r="E155" s="255">
        <v>1</v>
      </c>
      <c r="F155" s="277">
        <v>0</v>
      </c>
      <c r="G155" s="278">
        <f t="shared" si="11"/>
        <v>0</v>
      </c>
      <c r="H155" s="565"/>
    </row>
    <row r="156" spans="2:8" s="136" customFormat="1" x14ac:dyDescent="0.2">
      <c r="B156" s="135"/>
      <c r="C156" s="1816" t="s">
        <v>329</v>
      </c>
      <c r="D156" s="254" t="s">
        <v>149</v>
      </c>
      <c r="E156" s="255">
        <v>1</v>
      </c>
      <c r="F156" s="277">
        <v>0</v>
      </c>
      <c r="G156" s="278">
        <f t="shared" si="11"/>
        <v>0</v>
      </c>
      <c r="H156" s="565"/>
    </row>
    <row r="157" spans="2:8" s="136" customFormat="1" x14ac:dyDescent="0.2">
      <c r="B157" s="135"/>
      <c r="C157" s="1816" t="s">
        <v>239</v>
      </c>
      <c r="D157" s="254" t="s">
        <v>149</v>
      </c>
      <c r="E157" s="255">
        <v>2</v>
      </c>
      <c r="F157" s="277">
        <v>0</v>
      </c>
      <c r="G157" s="278">
        <f t="shared" si="11"/>
        <v>0</v>
      </c>
      <c r="H157" s="565"/>
    </row>
    <row r="158" spans="2:8" s="136" customFormat="1" x14ac:dyDescent="0.2">
      <c r="B158" s="135"/>
      <c r="C158" s="1816" t="s">
        <v>241</v>
      </c>
      <c r="D158" s="254" t="s">
        <v>149</v>
      </c>
      <c r="E158" s="255">
        <v>2</v>
      </c>
      <c r="F158" s="277">
        <v>0</v>
      </c>
      <c r="G158" s="278">
        <f t="shared" si="11"/>
        <v>0</v>
      </c>
      <c r="H158" s="565"/>
    </row>
    <row r="159" spans="2:8" s="136" customFormat="1" x14ac:dyDescent="0.2">
      <c r="B159" s="135"/>
      <c r="C159" s="1816" t="s">
        <v>242</v>
      </c>
      <c r="D159" s="254" t="s">
        <v>149</v>
      </c>
      <c r="E159" s="255">
        <v>2</v>
      </c>
      <c r="F159" s="277">
        <v>0</v>
      </c>
      <c r="G159" s="278">
        <f t="shared" si="11"/>
        <v>0</v>
      </c>
      <c r="H159" s="565"/>
    </row>
    <row r="160" spans="2:8" s="136" customFormat="1" x14ac:dyDescent="0.2">
      <c r="B160" s="135"/>
      <c r="C160" s="1816" t="s">
        <v>219</v>
      </c>
      <c r="D160" s="254" t="s">
        <v>149</v>
      </c>
      <c r="E160" s="255">
        <v>1</v>
      </c>
      <c r="F160" s="277">
        <v>0</v>
      </c>
      <c r="G160" s="278">
        <f t="shared" si="11"/>
        <v>0</v>
      </c>
      <c r="H160" s="565"/>
    </row>
    <row r="161" spans="2:8" s="136" customFormat="1" x14ac:dyDescent="0.2">
      <c r="B161" s="135"/>
      <c r="C161" s="1816" t="s">
        <v>227</v>
      </c>
      <c r="D161" s="254" t="s">
        <v>149</v>
      </c>
      <c r="E161" s="255">
        <v>3</v>
      </c>
      <c r="F161" s="277">
        <v>0</v>
      </c>
      <c r="G161" s="278">
        <f t="shared" si="11"/>
        <v>0</v>
      </c>
      <c r="H161" s="565"/>
    </row>
    <row r="162" spans="2:8" s="136" customFormat="1" x14ac:dyDescent="0.2">
      <c r="B162" s="135"/>
      <c r="C162" s="1817" t="s">
        <v>198</v>
      </c>
      <c r="D162" s="254" t="s">
        <v>149</v>
      </c>
      <c r="E162" s="255">
        <v>1</v>
      </c>
      <c r="F162" s="277">
        <v>0</v>
      </c>
      <c r="G162" s="278">
        <f t="shared" si="11"/>
        <v>0</v>
      </c>
      <c r="H162" s="565"/>
    </row>
    <row r="163" spans="2:8" s="136" customFormat="1" x14ac:dyDescent="0.2">
      <c r="B163" s="292" t="s">
        <v>220</v>
      </c>
      <c r="C163" s="238" t="s">
        <v>221</v>
      </c>
      <c r="D163" s="239"/>
      <c r="E163" s="240"/>
      <c r="F163" s="241"/>
      <c r="G163" s="242"/>
      <c r="H163" s="565"/>
    </row>
    <row r="164" spans="2:8" s="136" customFormat="1" x14ac:dyDescent="0.2">
      <c r="B164" s="135"/>
      <c r="C164" s="238" t="s">
        <v>222</v>
      </c>
      <c r="D164" s="239"/>
      <c r="E164" s="240"/>
      <c r="F164" s="241">
        <v>0</v>
      </c>
      <c r="G164" s="242"/>
      <c r="H164" s="565"/>
    </row>
    <row r="165" spans="2:8" s="136" customFormat="1" x14ac:dyDescent="0.2">
      <c r="B165" s="135"/>
      <c r="C165" s="243" t="s">
        <v>207</v>
      </c>
      <c r="D165" s="239" t="s">
        <v>149</v>
      </c>
      <c r="E165" s="240">
        <v>2</v>
      </c>
      <c r="F165" s="273">
        <v>0</v>
      </c>
      <c r="G165" s="274">
        <f t="shared" ref="G165:G176" si="12">E165*F165</f>
        <v>0</v>
      </c>
      <c r="H165" s="565"/>
    </row>
    <row r="166" spans="2:8" s="136" customFormat="1" ht="24" x14ac:dyDescent="0.2">
      <c r="B166" s="135"/>
      <c r="C166" s="244" t="s">
        <v>223</v>
      </c>
      <c r="D166" s="239" t="s">
        <v>149</v>
      </c>
      <c r="E166" s="240">
        <v>2</v>
      </c>
      <c r="F166" s="273">
        <v>0</v>
      </c>
      <c r="G166" s="274">
        <f t="shared" si="12"/>
        <v>0</v>
      </c>
      <c r="H166" s="565"/>
    </row>
    <row r="167" spans="2:8" s="136" customFormat="1" x14ac:dyDescent="0.2">
      <c r="B167" s="135"/>
      <c r="C167" s="244" t="s">
        <v>213</v>
      </c>
      <c r="D167" s="239" t="s">
        <v>149</v>
      </c>
      <c r="E167" s="240">
        <v>2</v>
      </c>
      <c r="F167" s="273">
        <v>0</v>
      </c>
      <c r="G167" s="274">
        <f t="shared" si="12"/>
        <v>0</v>
      </c>
      <c r="H167" s="565"/>
    </row>
    <row r="168" spans="2:8" s="136" customFormat="1" x14ac:dyDescent="0.2">
      <c r="B168" s="135"/>
      <c r="C168" s="244" t="s">
        <v>224</v>
      </c>
      <c r="D168" s="239" t="s">
        <v>149</v>
      </c>
      <c r="E168" s="240">
        <v>2</v>
      </c>
      <c r="F168" s="273">
        <v>0</v>
      </c>
      <c r="G168" s="274">
        <f t="shared" si="12"/>
        <v>0</v>
      </c>
      <c r="H168" s="565"/>
    </row>
    <row r="169" spans="2:8" s="136" customFormat="1" x14ac:dyDescent="0.2">
      <c r="B169" s="135"/>
      <c r="C169" s="244" t="s">
        <v>225</v>
      </c>
      <c r="D169" s="239" t="s">
        <v>149</v>
      </c>
      <c r="E169" s="240">
        <v>2</v>
      </c>
      <c r="F169" s="273">
        <v>0</v>
      </c>
      <c r="G169" s="274">
        <f t="shared" si="12"/>
        <v>0</v>
      </c>
      <c r="H169" s="565"/>
    </row>
    <row r="170" spans="2:8" s="136" customFormat="1" x14ac:dyDescent="0.2">
      <c r="B170" s="135"/>
      <c r="C170" s="1811" t="s">
        <v>226</v>
      </c>
      <c r="D170" s="239" t="s">
        <v>149</v>
      </c>
      <c r="E170" s="240">
        <v>2</v>
      </c>
      <c r="F170" s="273">
        <v>0</v>
      </c>
      <c r="G170" s="274">
        <f t="shared" si="12"/>
        <v>0</v>
      </c>
      <c r="H170" s="565"/>
    </row>
    <row r="171" spans="2:8" s="136" customFormat="1" x14ac:dyDescent="0.2">
      <c r="B171" s="135"/>
      <c r="C171" s="1811" t="s">
        <v>217</v>
      </c>
      <c r="D171" s="239" t="s">
        <v>149</v>
      </c>
      <c r="E171" s="240">
        <v>2</v>
      </c>
      <c r="F171" s="273">
        <v>0</v>
      </c>
      <c r="G171" s="274">
        <f t="shared" si="12"/>
        <v>0</v>
      </c>
      <c r="H171" s="565"/>
    </row>
    <row r="172" spans="2:8" s="136" customFormat="1" x14ac:dyDescent="0.2">
      <c r="B172" s="135"/>
      <c r="C172" s="1811" t="s">
        <v>195</v>
      </c>
      <c r="D172" s="239" t="s">
        <v>149</v>
      </c>
      <c r="E172" s="240">
        <v>4</v>
      </c>
      <c r="F172" s="273">
        <v>0</v>
      </c>
      <c r="G172" s="274">
        <f t="shared" si="12"/>
        <v>0</v>
      </c>
      <c r="H172" s="565"/>
    </row>
    <row r="173" spans="2:8" s="136" customFormat="1" x14ac:dyDescent="0.2">
      <c r="B173" s="135"/>
      <c r="C173" s="1811" t="s">
        <v>218</v>
      </c>
      <c r="D173" s="239" t="s">
        <v>149</v>
      </c>
      <c r="E173" s="240">
        <v>4</v>
      </c>
      <c r="F173" s="273">
        <v>0</v>
      </c>
      <c r="G173" s="274">
        <f t="shared" si="12"/>
        <v>0</v>
      </c>
      <c r="H173" s="565"/>
    </row>
    <row r="174" spans="2:8" s="136" customFormat="1" x14ac:dyDescent="0.2">
      <c r="B174" s="135"/>
      <c r="C174" s="1811" t="s">
        <v>227</v>
      </c>
      <c r="D174" s="239" t="s">
        <v>149</v>
      </c>
      <c r="E174" s="240">
        <v>2</v>
      </c>
      <c r="F174" s="273">
        <v>0</v>
      </c>
      <c r="G174" s="274">
        <f t="shared" si="12"/>
        <v>0</v>
      </c>
      <c r="H174" s="565"/>
    </row>
    <row r="175" spans="2:8" s="136" customFormat="1" x14ac:dyDescent="0.2">
      <c r="B175" s="135"/>
      <c r="C175" s="1812" t="s">
        <v>198</v>
      </c>
      <c r="D175" s="239" t="s">
        <v>149</v>
      </c>
      <c r="E175" s="240">
        <v>2</v>
      </c>
      <c r="F175" s="273">
        <v>0</v>
      </c>
      <c r="G175" s="274">
        <f t="shared" si="12"/>
        <v>0</v>
      </c>
      <c r="H175" s="565"/>
    </row>
    <row r="176" spans="2:8" s="136" customFormat="1" ht="24" x14ac:dyDescent="0.2">
      <c r="B176" s="309" t="s">
        <v>228</v>
      </c>
      <c r="C176" s="238" t="s">
        <v>229</v>
      </c>
      <c r="D176" s="239" t="s">
        <v>149</v>
      </c>
      <c r="E176" s="240">
        <v>2</v>
      </c>
      <c r="F176" s="273">
        <v>0</v>
      </c>
      <c r="G176" s="274">
        <f t="shared" si="12"/>
        <v>0</v>
      </c>
      <c r="H176" s="565"/>
    </row>
    <row r="177" spans="2:8" s="136" customFormat="1" x14ac:dyDescent="0.2">
      <c r="B177" s="292" t="s">
        <v>330</v>
      </c>
      <c r="C177" s="253" t="s">
        <v>231</v>
      </c>
      <c r="D177" s="254"/>
      <c r="E177" s="255"/>
      <c r="F177" s="256"/>
      <c r="G177" s="257"/>
      <c r="H177" s="565"/>
    </row>
    <row r="178" spans="2:8" s="136" customFormat="1" x14ac:dyDescent="0.2">
      <c r="B178" s="135"/>
      <c r="C178" s="253" t="s">
        <v>1747</v>
      </c>
      <c r="D178" s="254"/>
      <c r="E178" s="255"/>
      <c r="F178" s="256">
        <v>0</v>
      </c>
      <c r="G178" s="257"/>
      <c r="H178" s="565"/>
    </row>
    <row r="179" spans="2:8" ht="24" x14ac:dyDescent="0.2">
      <c r="B179" s="655"/>
      <c r="C179" s="1379" t="s">
        <v>1266</v>
      </c>
      <c r="D179" s="1380" t="s">
        <v>149</v>
      </c>
      <c r="E179" s="1381">
        <v>2</v>
      </c>
      <c r="F179" s="1382">
        <v>0</v>
      </c>
      <c r="G179" s="1383">
        <f t="shared" ref="G179:G186" si="13">E179*F179</f>
        <v>0</v>
      </c>
    </row>
    <row r="180" spans="2:8" s="136" customFormat="1" x14ac:dyDescent="0.2">
      <c r="B180" s="135"/>
      <c r="C180" s="1819" t="s">
        <v>354</v>
      </c>
      <c r="D180" s="254" t="s">
        <v>149</v>
      </c>
      <c r="E180" s="255">
        <v>4</v>
      </c>
      <c r="F180" s="1382">
        <v>0</v>
      </c>
      <c r="G180" s="278">
        <f t="shared" si="13"/>
        <v>0</v>
      </c>
      <c r="H180" s="565"/>
    </row>
    <row r="181" spans="2:8" s="136" customFormat="1" x14ac:dyDescent="0.2">
      <c r="B181" s="135"/>
      <c r="C181" s="1819" t="s">
        <v>239</v>
      </c>
      <c r="D181" s="254" t="s">
        <v>149</v>
      </c>
      <c r="E181" s="255">
        <v>2</v>
      </c>
      <c r="F181" s="1382">
        <v>0</v>
      </c>
      <c r="G181" s="278">
        <f t="shared" si="13"/>
        <v>0</v>
      </c>
      <c r="H181" s="565"/>
    </row>
    <row r="182" spans="2:8" s="136" customFormat="1" x14ac:dyDescent="0.2">
      <c r="B182" s="135"/>
      <c r="C182" s="1819" t="s">
        <v>1761</v>
      </c>
      <c r="D182" s="254" t="s">
        <v>149</v>
      </c>
      <c r="E182" s="255">
        <v>2</v>
      </c>
      <c r="F182" s="1382">
        <v>0</v>
      </c>
      <c r="G182" s="278">
        <f t="shared" si="13"/>
        <v>0</v>
      </c>
      <c r="H182" s="565"/>
    </row>
    <row r="183" spans="2:8" s="136" customFormat="1" x14ac:dyDescent="0.2">
      <c r="B183" s="135"/>
      <c r="C183" s="1819" t="s">
        <v>1774</v>
      </c>
      <c r="D183" s="254" t="s">
        <v>149</v>
      </c>
      <c r="E183" s="255">
        <v>2</v>
      </c>
      <c r="F183" s="1382">
        <v>0</v>
      </c>
      <c r="G183" s="278">
        <f t="shared" si="13"/>
        <v>0</v>
      </c>
      <c r="H183" s="565"/>
    </row>
    <row r="184" spans="2:8" s="136" customFormat="1" x14ac:dyDescent="0.2">
      <c r="B184" s="135"/>
      <c r="C184" s="1819" t="s">
        <v>1775</v>
      </c>
      <c r="D184" s="254" t="s">
        <v>149</v>
      </c>
      <c r="E184" s="255">
        <v>2</v>
      </c>
      <c r="F184" s="1382">
        <v>0</v>
      </c>
      <c r="G184" s="278">
        <f t="shared" si="13"/>
        <v>0</v>
      </c>
      <c r="H184" s="565"/>
    </row>
    <row r="185" spans="2:8" s="136" customFormat="1" x14ac:dyDescent="0.2">
      <c r="B185" s="135"/>
      <c r="C185" s="1819" t="s">
        <v>227</v>
      </c>
      <c r="D185" s="254" t="s">
        <v>149</v>
      </c>
      <c r="E185" s="255">
        <v>2</v>
      </c>
      <c r="F185" s="1382">
        <v>0</v>
      </c>
      <c r="G185" s="278">
        <f t="shared" si="13"/>
        <v>0</v>
      </c>
      <c r="H185" s="565"/>
    </row>
    <row r="186" spans="2:8" s="136" customFormat="1" x14ac:dyDescent="0.2">
      <c r="B186" s="135"/>
      <c r="C186" s="1820" t="s">
        <v>1725</v>
      </c>
      <c r="D186" s="254" t="s">
        <v>149</v>
      </c>
      <c r="E186" s="255">
        <v>2</v>
      </c>
      <c r="F186" s="1382">
        <v>0</v>
      </c>
      <c r="G186" s="278">
        <f t="shared" si="13"/>
        <v>0</v>
      </c>
      <c r="H186" s="565"/>
    </row>
    <row r="187" spans="2:8" s="136" customFormat="1" x14ac:dyDescent="0.2">
      <c r="B187" s="135"/>
      <c r="C187" s="253" t="s">
        <v>1753</v>
      </c>
      <c r="D187" s="254"/>
      <c r="E187" s="255"/>
      <c r="F187" s="256">
        <v>0</v>
      </c>
      <c r="G187" s="257"/>
      <c r="H187" s="565"/>
    </row>
    <row r="188" spans="2:8" s="136" customFormat="1" ht="24" x14ac:dyDescent="0.2">
      <c r="B188" s="135"/>
      <c r="C188" s="258" t="s">
        <v>233</v>
      </c>
      <c r="D188" s="254" t="s">
        <v>149</v>
      </c>
      <c r="E188" s="255">
        <v>1</v>
      </c>
      <c r="F188" s="277">
        <v>0</v>
      </c>
      <c r="G188" s="278">
        <f t="shared" ref="G188:G192" si="14">E188*F188</f>
        <v>0</v>
      </c>
      <c r="H188" s="565"/>
    </row>
    <row r="189" spans="2:8" s="136" customFormat="1" x14ac:dyDescent="0.2">
      <c r="B189" s="135"/>
      <c r="C189" s="1819" t="s">
        <v>235</v>
      </c>
      <c r="D189" s="254" t="s">
        <v>149</v>
      </c>
      <c r="E189" s="255">
        <v>3</v>
      </c>
      <c r="F189" s="277">
        <v>0</v>
      </c>
      <c r="G189" s="278">
        <f t="shared" si="14"/>
        <v>0</v>
      </c>
      <c r="H189" s="565"/>
    </row>
    <row r="190" spans="2:8" s="136" customFormat="1" x14ac:dyDescent="0.2">
      <c r="B190" s="135"/>
      <c r="C190" s="1819" t="s">
        <v>1738</v>
      </c>
      <c r="D190" s="254" t="s">
        <v>149</v>
      </c>
      <c r="E190" s="255">
        <v>3</v>
      </c>
      <c r="F190" s="277">
        <v>0</v>
      </c>
      <c r="G190" s="278">
        <f t="shared" si="14"/>
        <v>0</v>
      </c>
      <c r="H190" s="565"/>
    </row>
    <row r="191" spans="2:8" s="136" customFormat="1" x14ac:dyDescent="0.2">
      <c r="B191" s="135"/>
      <c r="C191" s="1819" t="s">
        <v>227</v>
      </c>
      <c r="D191" s="254" t="s">
        <v>149</v>
      </c>
      <c r="E191" s="255">
        <v>1</v>
      </c>
      <c r="F191" s="277">
        <v>0</v>
      </c>
      <c r="G191" s="278">
        <f t="shared" si="14"/>
        <v>0</v>
      </c>
      <c r="H191" s="565"/>
    </row>
    <row r="192" spans="2:8" s="136" customFormat="1" x14ac:dyDescent="0.2">
      <c r="B192" s="135"/>
      <c r="C192" s="1820" t="s">
        <v>1725</v>
      </c>
      <c r="D192" s="254" t="s">
        <v>149</v>
      </c>
      <c r="E192" s="255">
        <v>1</v>
      </c>
      <c r="F192" s="277">
        <v>0</v>
      </c>
      <c r="G192" s="278">
        <f t="shared" si="14"/>
        <v>0</v>
      </c>
      <c r="H192" s="565"/>
    </row>
    <row r="193" spans="2:9" s="136" customFormat="1" x14ac:dyDescent="0.2">
      <c r="B193" s="135"/>
      <c r="C193" s="253" t="s">
        <v>844</v>
      </c>
      <c r="D193" s="254"/>
      <c r="E193" s="255"/>
      <c r="F193" s="256">
        <v>0</v>
      </c>
      <c r="G193" s="257"/>
      <c r="H193" s="565"/>
    </row>
    <row r="194" spans="2:9" s="136" customFormat="1" ht="24" x14ac:dyDescent="0.2">
      <c r="B194" s="135"/>
      <c r="C194" s="258" t="s">
        <v>238</v>
      </c>
      <c r="D194" s="254" t="s">
        <v>149</v>
      </c>
      <c r="E194" s="255">
        <v>2</v>
      </c>
      <c r="F194" s="277">
        <v>0</v>
      </c>
      <c r="G194" s="278">
        <f t="shared" ref="G194:G202" si="15">E194*F194</f>
        <v>0</v>
      </c>
      <c r="H194" s="565"/>
    </row>
    <row r="195" spans="2:9" s="136" customFormat="1" x14ac:dyDescent="0.2">
      <c r="B195" s="135"/>
      <c r="C195" s="1816" t="s">
        <v>235</v>
      </c>
      <c r="D195" s="254" t="s">
        <v>149</v>
      </c>
      <c r="E195" s="255">
        <v>4</v>
      </c>
      <c r="F195" s="277">
        <v>0</v>
      </c>
      <c r="G195" s="278">
        <f t="shared" si="15"/>
        <v>0</v>
      </c>
      <c r="H195" s="565"/>
    </row>
    <row r="196" spans="2:9" s="136" customFormat="1" x14ac:dyDescent="0.2">
      <c r="B196" s="135"/>
      <c r="C196" s="1816" t="s">
        <v>239</v>
      </c>
      <c r="D196" s="254" t="s">
        <v>149</v>
      </c>
      <c r="E196" s="255">
        <v>2</v>
      </c>
      <c r="F196" s="277">
        <v>0</v>
      </c>
      <c r="G196" s="278">
        <f t="shared" si="15"/>
        <v>0</v>
      </c>
      <c r="H196" s="565"/>
    </row>
    <row r="197" spans="2:9" s="136" customFormat="1" x14ac:dyDescent="0.2">
      <c r="B197" s="135"/>
      <c r="C197" s="1816" t="s">
        <v>236</v>
      </c>
      <c r="D197" s="254" t="s">
        <v>149</v>
      </c>
      <c r="E197" s="255">
        <v>4</v>
      </c>
      <c r="F197" s="277">
        <v>0</v>
      </c>
      <c r="G197" s="278">
        <f t="shared" si="15"/>
        <v>0</v>
      </c>
      <c r="H197" s="565"/>
    </row>
    <row r="198" spans="2:9" s="136" customFormat="1" x14ac:dyDescent="0.2">
      <c r="B198" s="135"/>
      <c r="C198" s="1816" t="s">
        <v>240</v>
      </c>
      <c r="D198" s="254" t="s">
        <v>149</v>
      </c>
      <c r="E198" s="255">
        <v>2</v>
      </c>
      <c r="F198" s="277">
        <v>0</v>
      </c>
      <c r="G198" s="278">
        <f t="shared" si="15"/>
        <v>0</v>
      </c>
      <c r="H198" s="565"/>
    </row>
    <row r="199" spans="2:9" s="136" customFormat="1" x14ac:dyDescent="0.2">
      <c r="B199" s="135"/>
      <c r="C199" s="1816" t="s">
        <v>241</v>
      </c>
      <c r="D199" s="254" t="s">
        <v>149</v>
      </c>
      <c r="E199" s="255">
        <v>2</v>
      </c>
      <c r="F199" s="277">
        <v>0</v>
      </c>
      <c r="G199" s="278">
        <f t="shared" si="15"/>
        <v>0</v>
      </c>
      <c r="H199" s="565"/>
    </row>
    <row r="200" spans="2:9" s="136" customFormat="1" x14ac:dyDescent="0.2">
      <c r="B200" s="135"/>
      <c r="C200" s="1816" t="s">
        <v>242</v>
      </c>
      <c r="D200" s="254" t="s">
        <v>149</v>
      </c>
      <c r="E200" s="255">
        <v>2</v>
      </c>
      <c r="F200" s="277">
        <v>0</v>
      </c>
      <c r="G200" s="278">
        <f t="shared" si="15"/>
        <v>0</v>
      </c>
      <c r="H200" s="565"/>
    </row>
    <row r="201" spans="2:9" s="136" customFormat="1" x14ac:dyDescent="0.2">
      <c r="B201" s="135"/>
      <c r="C201" s="1816" t="s">
        <v>227</v>
      </c>
      <c r="D201" s="254" t="s">
        <v>149</v>
      </c>
      <c r="E201" s="255">
        <v>2</v>
      </c>
      <c r="F201" s="277">
        <v>0</v>
      </c>
      <c r="G201" s="278">
        <f t="shared" si="15"/>
        <v>0</v>
      </c>
      <c r="H201" s="565"/>
    </row>
    <row r="202" spans="2:9" s="136" customFormat="1" x14ac:dyDescent="0.2">
      <c r="B202" s="135"/>
      <c r="C202" s="1817" t="s">
        <v>198</v>
      </c>
      <c r="D202" s="254" t="s">
        <v>149</v>
      </c>
      <c r="E202" s="255">
        <v>2</v>
      </c>
      <c r="F202" s="277">
        <v>0</v>
      </c>
      <c r="G202" s="278">
        <f t="shared" si="15"/>
        <v>0</v>
      </c>
      <c r="H202" s="565"/>
    </row>
    <row r="203" spans="2:9" s="136" customFormat="1" x14ac:dyDescent="0.2">
      <c r="B203" s="292" t="s">
        <v>230</v>
      </c>
      <c r="C203" s="247" t="s">
        <v>244</v>
      </c>
      <c r="D203" s="202"/>
      <c r="E203" s="248"/>
      <c r="F203" s="249"/>
      <c r="G203" s="205"/>
      <c r="H203" s="565"/>
    </row>
    <row r="204" spans="2:9" s="136" customFormat="1" ht="12.75" customHeight="1" x14ac:dyDescent="0.3">
      <c r="B204" s="135"/>
      <c r="C204" s="247" t="s">
        <v>1754</v>
      </c>
      <c r="D204" s="202"/>
      <c r="E204" s="248"/>
      <c r="F204" s="249">
        <v>0</v>
      </c>
      <c r="G204" s="205"/>
      <c r="H204" s="565"/>
      <c r="I204" s="1408"/>
    </row>
    <row r="205" spans="2:9" s="136" customFormat="1" ht="36" x14ac:dyDescent="0.3">
      <c r="B205" s="135"/>
      <c r="C205" s="262" t="s">
        <v>1755</v>
      </c>
      <c r="D205" s="202" t="s">
        <v>149</v>
      </c>
      <c r="E205" s="248">
        <v>2</v>
      </c>
      <c r="F205" s="275">
        <v>0</v>
      </c>
      <c r="G205" s="276">
        <f t="shared" ref="G205:G207" si="16">E205*F205</f>
        <v>0</v>
      </c>
      <c r="H205" s="565"/>
      <c r="I205" s="1408"/>
    </row>
    <row r="206" spans="2:9" s="136" customFormat="1" ht="12.75" customHeight="1" x14ac:dyDescent="0.3">
      <c r="B206" s="135"/>
      <c r="C206" s="1814" t="s">
        <v>247</v>
      </c>
      <c r="D206" s="202" t="s">
        <v>149</v>
      </c>
      <c r="E206" s="248">
        <v>2</v>
      </c>
      <c r="F206" s="275">
        <v>0</v>
      </c>
      <c r="G206" s="276">
        <f t="shared" si="16"/>
        <v>0</v>
      </c>
      <c r="H206" s="565"/>
      <c r="I206" s="1408"/>
    </row>
    <row r="207" spans="2:9" s="136" customFormat="1" ht="12.75" customHeight="1" x14ac:dyDescent="0.3">
      <c r="B207" s="135"/>
      <c r="C207" s="1821" t="s">
        <v>248</v>
      </c>
      <c r="D207" s="202" t="s">
        <v>149</v>
      </c>
      <c r="E207" s="248">
        <v>2</v>
      </c>
      <c r="F207" s="275">
        <v>0</v>
      </c>
      <c r="G207" s="276">
        <f t="shared" si="16"/>
        <v>0</v>
      </c>
      <c r="H207" s="565"/>
      <c r="I207" s="1408"/>
    </row>
    <row r="208" spans="2:9" ht="12.75" customHeight="1" x14ac:dyDescent="0.3">
      <c r="B208" s="135"/>
      <c r="C208" s="247" t="s">
        <v>849</v>
      </c>
      <c r="D208" s="202"/>
      <c r="E208" s="248"/>
      <c r="F208" s="249">
        <v>0</v>
      </c>
      <c r="G208" s="205"/>
      <c r="I208" s="1408"/>
    </row>
    <row r="209" spans="2:13" s="136" customFormat="1" ht="36" x14ac:dyDescent="0.3">
      <c r="B209" s="135"/>
      <c r="C209" s="262" t="s">
        <v>850</v>
      </c>
      <c r="D209" s="202" t="s">
        <v>149</v>
      </c>
      <c r="E209" s="248">
        <v>3</v>
      </c>
      <c r="F209" s="275">
        <v>0</v>
      </c>
      <c r="G209" s="276">
        <f t="shared" ref="G209:G211" si="17">E209*F209</f>
        <v>0</v>
      </c>
      <c r="H209" s="565"/>
      <c r="I209" s="1408"/>
    </row>
    <row r="210" spans="2:13" s="147" customFormat="1" ht="12.75" customHeight="1" x14ac:dyDescent="0.3">
      <c r="B210" s="135"/>
      <c r="C210" s="1814" t="s">
        <v>247</v>
      </c>
      <c r="D210" s="202" t="s">
        <v>149</v>
      </c>
      <c r="E210" s="248">
        <v>3</v>
      </c>
      <c r="F210" s="275">
        <v>0</v>
      </c>
      <c r="G210" s="276">
        <f t="shared" si="17"/>
        <v>0</v>
      </c>
      <c r="H210" s="150"/>
      <c r="I210" s="1408"/>
    </row>
    <row r="211" spans="2:13" ht="12.75" customHeight="1" x14ac:dyDescent="0.3">
      <c r="B211" s="135"/>
      <c r="C211" s="1815" t="s">
        <v>198</v>
      </c>
      <c r="D211" s="202" t="s">
        <v>149</v>
      </c>
      <c r="E211" s="248">
        <v>3</v>
      </c>
      <c r="F211" s="275">
        <v>0</v>
      </c>
      <c r="G211" s="276">
        <f t="shared" si="17"/>
        <v>0</v>
      </c>
      <c r="I211" s="1408"/>
    </row>
    <row r="212" spans="2:13" ht="12.75" customHeight="1" x14ac:dyDescent="0.3">
      <c r="B212" s="135"/>
      <c r="C212" s="247" t="s">
        <v>826</v>
      </c>
      <c r="D212" s="202"/>
      <c r="E212" s="248"/>
      <c r="F212" s="249">
        <v>0</v>
      </c>
      <c r="G212" s="205"/>
      <c r="I212" s="1408"/>
    </row>
    <row r="213" spans="2:13" ht="36" x14ac:dyDescent="0.3">
      <c r="B213" s="135"/>
      <c r="C213" s="262" t="s">
        <v>827</v>
      </c>
      <c r="D213" s="202" t="s">
        <v>149</v>
      </c>
      <c r="E213" s="248">
        <v>1</v>
      </c>
      <c r="F213" s="275">
        <v>0</v>
      </c>
      <c r="G213" s="276">
        <f t="shared" ref="G213:G215" si="18">E213*F213</f>
        <v>0</v>
      </c>
      <c r="I213" s="1408"/>
    </row>
    <row r="214" spans="2:13" ht="12.75" customHeight="1" x14ac:dyDescent="0.3">
      <c r="B214" s="135"/>
      <c r="C214" s="1814" t="s">
        <v>247</v>
      </c>
      <c r="D214" s="202" t="s">
        <v>149</v>
      </c>
      <c r="E214" s="248">
        <v>1</v>
      </c>
      <c r="F214" s="275">
        <v>0</v>
      </c>
      <c r="G214" s="276">
        <f t="shared" si="18"/>
        <v>0</v>
      </c>
      <c r="I214" s="1408"/>
    </row>
    <row r="215" spans="2:13" ht="12.75" customHeight="1" x14ac:dyDescent="0.3">
      <c r="B215" s="135"/>
      <c r="C215" s="1821" t="s">
        <v>248</v>
      </c>
      <c r="D215" s="202" t="s">
        <v>149</v>
      </c>
      <c r="E215" s="248">
        <v>1</v>
      </c>
      <c r="F215" s="275">
        <v>0</v>
      </c>
      <c r="G215" s="276">
        <f t="shared" si="18"/>
        <v>0</v>
      </c>
      <c r="I215" s="1408"/>
    </row>
    <row r="216" spans="2:13" ht="12.75" customHeight="1" x14ac:dyDescent="0.3">
      <c r="B216" s="135"/>
      <c r="C216" s="247" t="s">
        <v>828</v>
      </c>
      <c r="D216" s="202"/>
      <c r="E216" s="248"/>
      <c r="F216" s="249">
        <v>0</v>
      </c>
      <c r="G216" s="205"/>
      <c r="I216" s="1408"/>
    </row>
    <row r="217" spans="2:13" ht="36" x14ac:dyDescent="0.3">
      <c r="B217" s="135"/>
      <c r="C217" s="262" t="s">
        <v>829</v>
      </c>
      <c r="D217" s="202" t="s">
        <v>149</v>
      </c>
      <c r="E217" s="248">
        <v>19</v>
      </c>
      <c r="F217" s="275">
        <v>0</v>
      </c>
      <c r="G217" s="276">
        <f t="shared" ref="G217:G221" si="19">E217*F217</f>
        <v>0</v>
      </c>
      <c r="I217" s="1408"/>
    </row>
    <row r="218" spans="2:13" ht="12.75" customHeight="1" x14ac:dyDescent="0.3">
      <c r="B218" s="135"/>
      <c r="C218" s="1814" t="s">
        <v>247</v>
      </c>
      <c r="D218" s="202" t="s">
        <v>149</v>
      </c>
      <c r="E218" s="248">
        <v>19</v>
      </c>
      <c r="F218" s="275">
        <v>0</v>
      </c>
      <c r="G218" s="276">
        <f t="shared" si="19"/>
        <v>0</v>
      </c>
      <c r="I218" s="1408"/>
    </row>
    <row r="219" spans="2:13" ht="12.75" customHeight="1" x14ac:dyDescent="0.3">
      <c r="B219" s="135"/>
      <c r="C219" s="1815" t="s">
        <v>198</v>
      </c>
      <c r="D219" s="202" t="s">
        <v>149</v>
      </c>
      <c r="E219" s="248">
        <v>19</v>
      </c>
      <c r="F219" s="275">
        <v>0</v>
      </c>
      <c r="G219" s="276">
        <f t="shared" si="19"/>
        <v>0</v>
      </c>
      <c r="I219" s="1408"/>
    </row>
    <row r="220" spans="2:13" ht="12.75" customHeight="1" x14ac:dyDescent="0.3">
      <c r="B220" s="655"/>
      <c r="C220" s="1831" t="s">
        <v>1726</v>
      </c>
      <c r="D220" s="1375" t="s">
        <v>149</v>
      </c>
      <c r="E220" s="1376">
        <v>3</v>
      </c>
      <c r="F220" s="275">
        <v>0</v>
      </c>
      <c r="G220" s="1378">
        <f t="shared" si="19"/>
        <v>0</v>
      </c>
      <c r="I220" s="1408"/>
    </row>
    <row r="221" spans="2:13" ht="12.75" customHeight="1" x14ac:dyDescent="0.3">
      <c r="B221" s="655"/>
      <c r="C221" s="1831" t="s">
        <v>1727</v>
      </c>
      <c r="D221" s="1375" t="s">
        <v>149</v>
      </c>
      <c r="E221" s="1376">
        <v>3</v>
      </c>
      <c r="F221" s="275">
        <v>0</v>
      </c>
      <c r="G221" s="1378">
        <f t="shared" si="19"/>
        <v>0</v>
      </c>
      <c r="I221" s="1408"/>
    </row>
    <row r="222" spans="2:13" ht="12.75" customHeight="1" x14ac:dyDescent="0.3">
      <c r="B222" s="292" t="s">
        <v>243</v>
      </c>
      <c r="C222" s="264" t="s">
        <v>271</v>
      </c>
      <c r="D222" s="231"/>
      <c r="E222" s="265"/>
      <c r="F222" s="266"/>
      <c r="G222" s="234"/>
      <c r="I222" s="1408"/>
    </row>
    <row r="223" spans="2:13" s="136" customFormat="1" ht="12.75" customHeight="1" x14ac:dyDescent="0.3">
      <c r="B223" s="135"/>
      <c r="C223" s="264" t="s">
        <v>287</v>
      </c>
      <c r="D223" s="231"/>
      <c r="E223" s="265"/>
      <c r="F223" s="266">
        <v>0</v>
      </c>
      <c r="G223" s="234"/>
      <c r="H223" s="565"/>
      <c r="I223" s="1408"/>
    </row>
    <row r="224" spans="2:13" s="136" customFormat="1" ht="12.75" customHeight="1" x14ac:dyDescent="0.2">
      <c r="B224" s="135"/>
      <c r="C224" s="267" t="s">
        <v>256</v>
      </c>
      <c r="D224" s="231" t="s">
        <v>149</v>
      </c>
      <c r="E224" s="265">
        <v>2</v>
      </c>
      <c r="F224" s="279">
        <v>0</v>
      </c>
      <c r="G224" s="272">
        <f>E224*F224</f>
        <v>0</v>
      </c>
      <c r="H224" s="565"/>
      <c r="I224" s="1409"/>
      <c r="J224" s="1410"/>
      <c r="K224" s="1411"/>
      <c r="L224" s="1412"/>
      <c r="M224" s="1413"/>
    </row>
    <row r="225" spans="2:13" s="136" customFormat="1" ht="12.75" customHeight="1" x14ac:dyDescent="0.2">
      <c r="B225" s="135"/>
      <c r="C225" s="267" t="s">
        <v>288</v>
      </c>
      <c r="D225" s="231" t="s">
        <v>149</v>
      </c>
      <c r="E225" s="265">
        <v>2</v>
      </c>
      <c r="F225" s="279">
        <v>0</v>
      </c>
      <c r="G225" s="272">
        <f t="shared" ref="G225:G253" si="20">E225*F225</f>
        <v>0</v>
      </c>
      <c r="H225" s="565"/>
      <c r="I225" s="1409"/>
      <c r="J225" s="1410"/>
      <c r="K225" s="1411"/>
      <c r="L225" s="1412"/>
      <c r="M225" s="1413"/>
    </row>
    <row r="226" spans="2:13" s="136" customFormat="1" ht="12.75" customHeight="1" x14ac:dyDescent="0.2">
      <c r="B226" s="135"/>
      <c r="C226" s="267" t="s">
        <v>289</v>
      </c>
      <c r="D226" s="231" t="s">
        <v>149</v>
      </c>
      <c r="E226" s="265">
        <v>2</v>
      </c>
      <c r="F226" s="279">
        <v>0</v>
      </c>
      <c r="G226" s="272">
        <f t="shared" si="20"/>
        <v>0</v>
      </c>
      <c r="H226" s="565"/>
      <c r="I226" s="1409"/>
      <c r="J226" s="1410"/>
      <c r="K226" s="1411"/>
      <c r="L226" s="1412"/>
      <c r="M226" s="1413"/>
    </row>
    <row r="227" spans="2:13" s="136" customFormat="1" ht="12.75" customHeight="1" x14ac:dyDescent="0.2">
      <c r="B227" s="135"/>
      <c r="C227" s="267" t="s">
        <v>213</v>
      </c>
      <c r="D227" s="231" t="s">
        <v>149</v>
      </c>
      <c r="E227" s="265">
        <v>2</v>
      </c>
      <c r="F227" s="279">
        <v>0</v>
      </c>
      <c r="G227" s="272">
        <f t="shared" si="20"/>
        <v>0</v>
      </c>
      <c r="H227" s="565"/>
      <c r="I227" s="1409"/>
      <c r="J227" s="1410"/>
      <c r="K227" s="1411"/>
      <c r="L227" s="1412"/>
      <c r="M227" s="1413"/>
    </row>
    <row r="228" spans="2:13" s="136" customFormat="1" ht="12.75" customHeight="1" x14ac:dyDescent="0.2">
      <c r="B228" s="135"/>
      <c r="C228" s="267" t="s">
        <v>290</v>
      </c>
      <c r="D228" s="231" t="s">
        <v>149</v>
      </c>
      <c r="E228" s="265">
        <v>2</v>
      </c>
      <c r="F228" s="279">
        <v>0</v>
      </c>
      <c r="G228" s="272">
        <f t="shared" si="20"/>
        <v>0</v>
      </c>
      <c r="H228" s="565"/>
      <c r="I228" s="1409"/>
      <c r="J228" s="1410"/>
      <c r="K228" s="1411"/>
      <c r="L228" s="1412"/>
      <c r="M228" s="1413"/>
    </row>
    <row r="229" spans="2:13" s="136" customFormat="1" ht="15" customHeight="1" x14ac:dyDescent="0.2">
      <c r="B229" s="135"/>
      <c r="C229" s="267" t="s">
        <v>291</v>
      </c>
      <c r="D229" s="231" t="s">
        <v>149</v>
      </c>
      <c r="E229" s="265">
        <v>2</v>
      </c>
      <c r="F229" s="279">
        <v>0</v>
      </c>
      <c r="G229" s="272">
        <f t="shared" si="20"/>
        <v>0</v>
      </c>
      <c r="H229" s="565"/>
      <c r="I229" s="1409"/>
      <c r="J229" s="1410"/>
      <c r="K229" s="1411"/>
      <c r="L229" s="1412"/>
      <c r="M229" s="1413"/>
    </row>
    <row r="230" spans="2:13" s="136" customFormat="1" ht="15" customHeight="1" x14ac:dyDescent="0.2">
      <c r="B230" s="135"/>
      <c r="C230" s="267" t="s">
        <v>274</v>
      </c>
      <c r="D230" s="231" t="s">
        <v>149</v>
      </c>
      <c r="E230" s="265">
        <v>2</v>
      </c>
      <c r="F230" s="279">
        <v>0</v>
      </c>
      <c r="G230" s="272">
        <f t="shared" si="20"/>
        <v>0</v>
      </c>
      <c r="H230" s="565"/>
      <c r="I230" s="1414"/>
      <c r="J230" s="1410"/>
      <c r="K230" s="1411"/>
      <c r="L230" s="1412"/>
      <c r="M230" s="1413"/>
    </row>
    <row r="231" spans="2:13" s="136" customFormat="1" ht="15" customHeight="1" x14ac:dyDescent="0.2">
      <c r="B231" s="135"/>
      <c r="C231" s="267" t="s">
        <v>292</v>
      </c>
      <c r="D231" s="231" t="s">
        <v>149</v>
      </c>
      <c r="E231" s="265">
        <v>1</v>
      </c>
      <c r="F231" s="279">
        <v>0</v>
      </c>
      <c r="G231" s="272">
        <f t="shared" si="20"/>
        <v>0</v>
      </c>
      <c r="H231" s="565"/>
      <c r="I231" s="1414"/>
      <c r="J231" s="1410"/>
      <c r="K231" s="1411"/>
      <c r="L231" s="1412"/>
      <c r="M231" s="1413"/>
    </row>
    <row r="232" spans="2:13" s="136" customFormat="1" ht="12" customHeight="1" x14ac:dyDescent="0.2">
      <c r="B232" s="135"/>
      <c r="C232" s="268" t="s">
        <v>293</v>
      </c>
      <c r="D232" s="231" t="s">
        <v>149</v>
      </c>
      <c r="E232" s="265">
        <v>2</v>
      </c>
      <c r="F232" s="279">
        <v>0</v>
      </c>
      <c r="G232" s="272">
        <f t="shared" si="20"/>
        <v>0</v>
      </c>
      <c r="H232" s="565"/>
      <c r="I232" s="1414"/>
      <c r="J232" s="1410"/>
      <c r="K232" s="1411"/>
      <c r="L232" s="1412"/>
      <c r="M232" s="1413"/>
    </row>
    <row r="233" spans="2:13" s="136" customFormat="1" ht="12.75" customHeight="1" x14ac:dyDescent="0.2">
      <c r="B233" s="135"/>
      <c r="C233" s="268" t="s">
        <v>294</v>
      </c>
      <c r="D233" s="231" t="s">
        <v>149</v>
      </c>
      <c r="E233" s="265">
        <v>1</v>
      </c>
      <c r="F233" s="279">
        <v>0</v>
      </c>
      <c r="G233" s="272">
        <f t="shared" si="20"/>
        <v>0</v>
      </c>
      <c r="H233" s="565"/>
      <c r="I233" s="1414"/>
      <c r="J233" s="1410"/>
      <c r="K233" s="1411"/>
      <c r="L233" s="1412"/>
      <c r="M233" s="1413"/>
    </row>
    <row r="234" spans="2:13" s="136" customFormat="1" ht="12.75" customHeight="1" x14ac:dyDescent="0.2">
      <c r="B234" s="135"/>
      <c r="C234" s="268" t="s">
        <v>278</v>
      </c>
      <c r="D234" s="231" t="s">
        <v>149</v>
      </c>
      <c r="E234" s="265">
        <v>1</v>
      </c>
      <c r="F234" s="279">
        <v>0</v>
      </c>
      <c r="G234" s="272">
        <f t="shared" si="20"/>
        <v>0</v>
      </c>
      <c r="H234" s="565"/>
      <c r="I234" s="1414"/>
      <c r="J234" s="1410"/>
      <c r="K234" s="1411"/>
      <c r="L234" s="1412"/>
      <c r="M234" s="1413"/>
    </row>
    <row r="235" spans="2:13" s="136" customFormat="1" ht="12.75" customHeight="1" x14ac:dyDescent="0.2">
      <c r="B235" s="135"/>
      <c r="C235" s="268" t="s">
        <v>295</v>
      </c>
      <c r="D235" s="231" t="s">
        <v>149</v>
      </c>
      <c r="E235" s="265">
        <v>1</v>
      </c>
      <c r="F235" s="279">
        <v>0</v>
      </c>
      <c r="G235" s="272">
        <f t="shared" si="20"/>
        <v>0</v>
      </c>
      <c r="H235" s="565"/>
      <c r="I235" s="1414"/>
      <c r="J235" s="1410"/>
      <c r="K235" s="1411"/>
      <c r="L235" s="1412"/>
      <c r="M235" s="1413"/>
    </row>
    <row r="236" spans="2:13" s="136" customFormat="1" ht="14.25" customHeight="1" x14ac:dyDescent="0.2">
      <c r="B236" s="135"/>
      <c r="C236" s="268" t="s">
        <v>296</v>
      </c>
      <c r="D236" s="231" t="s">
        <v>149</v>
      </c>
      <c r="E236" s="265">
        <v>1</v>
      </c>
      <c r="F236" s="279">
        <v>0</v>
      </c>
      <c r="G236" s="272">
        <f t="shared" si="20"/>
        <v>0</v>
      </c>
      <c r="H236" s="565"/>
      <c r="I236" s="1414"/>
      <c r="J236" s="1410"/>
      <c r="K236" s="1411"/>
      <c r="L236" s="1412"/>
      <c r="M236" s="1413"/>
    </row>
    <row r="237" spans="2:13" s="136" customFormat="1" ht="14.25" customHeight="1" x14ac:dyDescent="0.2">
      <c r="B237" s="135"/>
      <c r="C237" s="268" t="s">
        <v>297</v>
      </c>
      <c r="D237" s="231" t="s">
        <v>149</v>
      </c>
      <c r="E237" s="265">
        <v>1</v>
      </c>
      <c r="F237" s="279">
        <v>0</v>
      </c>
      <c r="G237" s="272">
        <f t="shared" si="20"/>
        <v>0</v>
      </c>
      <c r="H237" s="565"/>
      <c r="I237" s="1414"/>
      <c r="J237" s="1410"/>
      <c r="K237" s="1411"/>
      <c r="L237" s="1412"/>
      <c r="M237" s="1413"/>
    </row>
    <row r="238" spans="2:13" s="136" customFormat="1" ht="14.25" customHeight="1" x14ac:dyDescent="0.2">
      <c r="B238" s="135"/>
      <c r="C238" s="268" t="s">
        <v>281</v>
      </c>
      <c r="D238" s="231" t="s">
        <v>149</v>
      </c>
      <c r="E238" s="265">
        <v>1</v>
      </c>
      <c r="F238" s="279">
        <v>0</v>
      </c>
      <c r="G238" s="272">
        <f t="shared" si="20"/>
        <v>0</v>
      </c>
      <c r="H238" s="565"/>
      <c r="I238" s="1833"/>
      <c r="J238" s="1410"/>
      <c r="K238" s="1411"/>
      <c r="L238" s="1412"/>
      <c r="M238" s="1413"/>
    </row>
    <row r="239" spans="2:13" s="136" customFormat="1" ht="14.25" customHeight="1" x14ac:dyDescent="0.2">
      <c r="B239" s="135"/>
      <c r="C239" s="268" t="s">
        <v>282</v>
      </c>
      <c r="D239" s="231" t="s">
        <v>149</v>
      </c>
      <c r="E239" s="265">
        <v>1</v>
      </c>
      <c r="F239" s="279">
        <v>0</v>
      </c>
      <c r="G239" s="272">
        <f t="shared" si="20"/>
        <v>0</v>
      </c>
      <c r="H239" s="565"/>
      <c r="I239" s="1414"/>
      <c r="J239" s="1410"/>
      <c r="K239" s="1411"/>
      <c r="L239" s="1412"/>
      <c r="M239" s="1413"/>
    </row>
    <row r="240" spans="2:13" s="136" customFormat="1" ht="12.75" customHeight="1" x14ac:dyDescent="0.2">
      <c r="B240" s="135"/>
      <c r="C240" s="1810" t="s">
        <v>283</v>
      </c>
      <c r="D240" s="231" t="s">
        <v>149</v>
      </c>
      <c r="E240" s="265">
        <v>2</v>
      </c>
      <c r="F240" s="279">
        <v>0</v>
      </c>
      <c r="G240" s="272">
        <f t="shared" si="20"/>
        <v>0</v>
      </c>
      <c r="H240" s="565"/>
      <c r="I240" s="1414"/>
      <c r="J240" s="1410"/>
      <c r="K240" s="1411"/>
      <c r="L240" s="1412"/>
      <c r="M240" s="1413"/>
    </row>
    <row r="241" spans="2:13" s="136" customFormat="1" ht="48" x14ac:dyDescent="0.2">
      <c r="B241" s="135"/>
      <c r="C241" s="1810" t="s">
        <v>284</v>
      </c>
      <c r="D241" s="231" t="s">
        <v>149</v>
      </c>
      <c r="E241" s="265">
        <v>1</v>
      </c>
      <c r="F241" s="279">
        <v>0</v>
      </c>
      <c r="G241" s="272">
        <f t="shared" si="20"/>
        <v>0</v>
      </c>
      <c r="H241" s="565"/>
      <c r="I241" s="1415"/>
      <c r="J241" s="1416"/>
      <c r="K241" s="1417"/>
      <c r="L241" s="1418"/>
      <c r="M241" s="1419"/>
    </row>
    <row r="242" spans="2:13" s="136" customFormat="1" ht="38.25" customHeight="1" x14ac:dyDescent="0.2">
      <c r="B242" s="135"/>
      <c r="C242" s="268" t="s">
        <v>285</v>
      </c>
      <c r="D242" s="231" t="s">
        <v>149</v>
      </c>
      <c r="E242" s="265">
        <v>1</v>
      </c>
      <c r="F242" s="279">
        <v>0</v>
      </c>
      <c r="G242" s="272">
        <f t="shared" si="20"/>
        <v>0</v>
      </c>
      <c r="H242" s="565"/>
      <c r="I242" s="1414"/>
      <c r="J242" s="1410"/>
      <c r="K242" s="1411"/>
      <c r="L242" s="1412"/>
      <c r="M242" s="1413"/>
    </row>
    <row r="243" spans="2:13" s="136" customFormat="1" ht="12.75" customHeight="1" x14ac:dyDescent="0.2">
      <c r="B243" s="135"/>
      <c r="C243" s="267" t="s">
        <v>298</v>
      </c>
      <c r="D243" s="231" t="s">
        <v>149</v>
      </c>
      <c r="E243" s="265">
        <v>2</v>
      </c>
      <c r="F243" s="279">
        <v>0</v>
      </c>
      <c r="G243" s="272">
        <f t="shared" si="20"/>
        <v>0</v>
      </c>
      <c r="H243" s="565"/>
      <c r="I243" s="1414"/>
      <c r="J243" s="1410"/>
      <c r="K243" s="1411"/>
      <c r="L243" s="1412"/>
      <c r="M243" s="1413"/>
    </row>
    <row r="244" spans="2:13" s="136" customFormat="1" ht="12.75" customHeight="1" x14ac:dyDescent="0.2">
      <c r="B244" s="135"/>
      <c r="C244" s="268" t="s">
        <v>193</v>
      </c>
      <c r="D244" s="231" t="s">
        <v>149</v>
      </c>
      <c r="E244" s="265">
        <v>1</v>
      </c>
      <c r="F244" s="279">
        <v>0</v>
      </c>
      <c r="G244" s="272">
        <f t="shared" si="20"/>
        <v>0</v>
      </c>
      <c r="H244" s="565"/>
      <c r="I244" s="1415"/>
      <c r="J244" s="1416"/>
      <c r="K244" s="1417"/>
      <c r="L244" s="1418"/>
      <c r="M244" s="1419"/>
    </row>
    <row r="245" spans="2:13" s="136" customFormat="1" ht="12.75" customHeight="1" x14ac:dyDescent="0.2">
      <c r="B245" s="135"/>
      <c r="C245" s="268" t="s">
        <v>194</v>
      </c>
      <c r="D245" s="231" t="s">
        <v>149</v>
      </c>
      <c r="E245" s="265">
        <v>1</v>
      </c>
      <c r="F245" s="279">
        <v>0</v>
      </c>
      <c r="G245" s="272">
        <f t="shared" si="20"/>
        <v>0</v>
      </c>
      <c r="H245" s="565"/>
      <c r="I245" s="1833"/>
      <c r="J245" s="1410"/>
      <c r="K245" s="1411"/>
      <c r="L245" s="1412"/>
      <c r="M245" s="1413"/>
    </row>
    <row r="246" spans="2:13" s="136" customFormat="1" ht="12.75" customHeight="1" x14ac:dyDescent="0.2">
      <c r="B246" s="135"/>
      <c r="C246" s="267" t="s">
        <v>286</v>
      </c>
      <c r="D246" s="231" t="s">
        <v>149</v>
      </c>
      <c r="E246" s="265">
        <v>1</v>
      </c>
      <c r="F246" s="279">
        <v>0</v>
      </c>
      <c r="G246" s="272">
        <f t="shared" si="20"/>
        <v>0</v>
      </c>
      <c r="H246" s="565"/>
      <c r="I246" s="1833"/>
      <c r="J246" s="1410"/>
      <c r="K246" s="1411"/>
      <c r="L246" s="1412"/>
      <c r="M246" s="1413"/>
    </row>
    <row r="247" spans="2:13" s="136" customFormat="1" ht="12.75" customHeight="1" x14ac:dyDescent="0.2">
      <c r="B247" s="135"/>
      <c r="C247" s="1810" t="s">
        <v>235</v>
      </c>
      <c r="D247" s="231" t="s">
        <v>149</v>
      </c>
      <c r="E247" s="265">
        <v>2</v>
      </c>
      <c r="F247" s="279">
        <v>0</v>
      </c>
      <c r="G247" s="272">
        <f t="shared" si="20"/>
        <v>0</v>
      </c>
      <c r="H247" s="565"/>
      <c r="I247" s="1833"/>
      <c r="J247" s="1410"/>
      <c r="K247" s="1411"/>
      <c r="L247" s="1412"/>
      <c r="M247" s="1413"/>
    </row>
    <row r="248" spans="2:13" s="136" customFormat="1" ht="12.75" customHeight="1" x14ac:dyDescent="0.2">
      <c r="B248" s="135"/>
      <c r="C248" s="1810" t="s">
        <v>236</v>
      </c>
      <c r="D248" s="231" t="s">
        <v>149</v>
      </c>
      <c r="E248" s="265">
        <v>2</v>
      </c>
      <c r="F248" s="279">
        <v>0</v>
      </c>
      <c r="G248" s="272">
        <f t="shared" si="20"/>
        <v>0</v>
      </c>
      <c r="H248" s="565"/>
      <c r="I248" s="1833"/>
      <c r="J248" s="1410"/>
      <c r="K248" s="1411"/>
      <c r="L248" s="1412"/>
      <c r="M248" s="1413"/>
    </row>
    <row r="249" spans="2:13" s="136" customFormat="1" ht="12.75" customHeight="1" x14ac:dyDescent="0.2">
      <c r="B249" s="135"/>
      <c r="C249" s="1810" t="s">
        <v>239</v>
      </c>
      <c r="D249" s="231" t="s">
        <v>149</v>
      </c>
      <c r="E249" s="265">
        <v>4</v>
      </c>
      <c r="F249" s="279">
        <v>0</v>
      </c>
      <c r="G249" s="272">
        <f t="shared" si="20"/>
        <v>0</v>
      </c>
      <c r="H249" s="565"/>
      <c r="I249" s="1834"/>
      <c r="J249" s="1410"/>
      <c r="K249" s="1411"/>
      <c r="L249" s="1412"/>
      <c r="M249" s="1413"/>
    </row>
    <row r="250" spans="2:13" s="136" customFormat="1" ht="12.75" customHeight="1" x14ac:dyDescent="0.3">
      <c r="B250" s="135"/>
      <c r="C250" s="1810" t="s">
        <v>240</v>
      </c>
      <c r="D250" s="231" t="s">
        <v>149</v>
      </c>
      <c r="E250" s="265">
        <v>4</v>
      </c>
      <c r="F250" s="279">
        <v>0</v>
      </c>
      <c r="G250" s="272">
        <f t="shared" si="20"/>
        <v>0</v>
      </c>
      <c r="H250" s="565"/>
      <c r="I250" s="1408"/>
    </row>
    <row r="251" spans="2:13" s="136" customFormat="1" ht="12.75" customHeight="1" x14ac:dyDescent="0.3">
      <c r="B251" s="135"/>
      <c r="C251" s="1810" t="s">
        <v>227</v>
      </c>
      <c r="D251" s="231" t="s">
        <v>149</v>
      </c>
      <c r="E251" s="265">
        <v>2</v>
      </c>
      <c r="F251" s="279">
        <v>0</v>
      </c>
      <c r="G251" s="272">
        <f t="shared" si="20"/>
        <v>0</v>
      </c>
      <c r="H251" s="565"/>
      <c r="I251" s="1408"/>
    </row>
    <row r="252" spans="2:13" s="136" customFormat="1" ht="12.75" customHeight="1" x14ac:dyDescent="0.3">
      <c r="B252" s="135"/>
      <c r="C252" s="1810" t="s">
        <v>197</v>
      </c>
      <c r="D252" s="231" t="s">
        <v>149</v>
      </c>
      <c r="E252" s="265">
        <v>1</v>
      </c>
      <c r="F252" s="279">
        <v>0</v>
      </c>
      <c r="G252" s="272">
        <f t="shared" si="20"/>
        <v>0</v>
      </c>
      <c r="H252" s="565"/>
      <c r="I252" s="1408"/>
    </row>
    <row r="253" spans="2:13" s="136" customFormat="1" ht="12.75" customHeight="1" x14ac:dyDescent="0.3">
      <c r="B253" s="135"/>
      <c r="C253" s="1809" t="s">
        <v>198</v>
      </c>
      <c r="D253" s="231" t="s">
        <v>149</v>
      </c>
      <c r="E253" s="265">
        <v>1</v>
      </c>
      <c r="F253" s="279">
        <v>0</v>
      </c>
      <c r="G253" s="272">
        <f t="shared" si="20"/>
        <v>0</v>
      </c>
      <c r="H253" s="565"/>
      <c r="I253" s="1408"/>
    </row>
    <row r="254" spans="2:13" s="136" customFormat="1" ht="12.75" customHeight="1" x14ac:dyDescent="0.3">
      <c r="B254" s="135"/>
      <c r="C254" s="1809"/>
      <c r="D254" s="231"/>
      <c r="E254" s="265"/>
      <c r="F254" s="279"/>
      <c r="G254" s="272"/>
      <c r="H254" s="565"/>
      <c r="I254" s="1408"/>
    </row>
    <row r="255" spans="2:13" s="136" customFormat="1" x14ac:dyDescent="0.2">
      <c r="B255" s="292" t="s">
        <v>251</v>
      </c>
      <c r="C255" s="280" t="s">
        <v>300</v>
      </c>
      <c r="D255" s="281"/>
      <c r="E255" s="282"/>
      <c r="F255" s="283"/>
      <c r="G255" s="284"/>
      <c r="H255" s="565"/>
    </row>
    <row r="256" spans="2:13" s="136" customFormat="1" ht="60" x14ac:dyDescent="0.2">
      <c r="B256" s="135"/>
      <c r="C256" s="285" t="s">
        <v>301</v>
      </c>
      <c r="D256" s="286" t="s">
        <v>149</v>
      </c>
      <c r="E256" s="287">
        <v>25</v>
      </c>
      <c r="F256" s="288">
        <v>0</v>
      </c>
      <c r="G256" s="289">
        <f t="shared" ref="G256" si="21">E256*F256</f>
        <v>0</v>
      </c>
      <c r="H256" s="565"/>
    </row>
    <row r="257" spans="2:9" s="136" customFormat="1" ht="25.5" customHeight="1" x14ac:dyDescent="0.3">
      <c r="B257" s="293" t="s">
        <v>17</v>
      </c>
      <c r="C257" s="294" t="s">
        <v>302</v>
      </c>
      <c r="D257" s="218"/>
      <c r="E257" s="203"/>
      <c r="F257" s="204"/>
      <c r="G257" s="290">
        <f>SUM(G92:G256)</f>
        <v>0</v>
      </c>
      <c r="H257" s="565"/>
      <c r="I257" s="1408"/>
    </row>
  </sheetData>
  <mergeCells count="6">
    <mergeCell ref="B101:B102"/>
    <mergeCell ref="B42:G42"/>
    <mergeCell ref="B53:B55"/>
    <mergeCell ref="B89:G89"/>
    <mergeCell ref="B90:G90"/>
    <mergeCell ref="B91:G91"/>
  </mergeCells>
  <pageMargins left="0.7" right="0.7" top="0.75" bottom="0.75" header="0.3" footer="0.3"/>
  <pageSetup paperSize="9" scale="85" orientation="portrait" r:id="rId1"/>
  <headerFooter alignWithMargins="0">
    <oddFooter>&amp;C&amp;8&amp;P/&amp;N</oddFooter>
  </headerFooter>
  <rowBreaks count="4" manualBreakCount="4">
    <brk id="19" max="16383" man="1"/>
    <brk id="38" max="16383" man="1"/>
    <brk id="81" max="16383" man="1"/>
    <brk id="121"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23726-D9CE-4A2E-84F7-3E04CFB6202C}">
  <sheetPr>
    <tabColor theme="0" tint="-0.14999847407452621"/>
  </sheetPr>
  <dimension ref="A2:L211"/>
  <sheetViews>
    <sheetView showZeros="0" topLeftCell="A60" zoomScale="110" zoomScaleNormal="110" zoomScaleSheetLayoutView="100" workbookViewId="0">
      <selection activeCell="C68" sqref="C68"/>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2215</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G211</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2228</v>
      </c>
      <c r="F24" s="467">
        <v>0</v>
      </c>
      <c r="G24" s="352">
        <f t="shared" ref="G24" si="0">E24*F24</f>
        <v>0</v>
      </c>
    </row>
    <row r="25" spans="2:8" x14ac:dyDescent="0.2">
      <c r="B25" s="129">
        <v>2</v>
      </c>
      <c r="C25" s="206" t="s">
        <v>96</v>
      </c>
      <c r="D25" s="207" t="s">
        <v>95</v>
      </c>
      <c r="E25" s="353">
        <v>2228</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54" customHeight="1" x14ac:dyDescent="0.2">
      <c r="B31" s="129">
        <v>8</v>
      </c>
      <c r="C31" s="1822" t="s">
        <v>103</v>
      </c>
      <c r="D31" s="210" t="s">
        <v>98</v>
      </c>
      <c r="E31" s="353">
        <v>1</v>
      </c>
      <c r="F31" s="467">
        <v>0</v>
      </c>
      <c r="G31" s="352">
        <f t="shared" si="1"/>
        <v>0</v>
      </c>
    </row>
    <row r="32" spans="2:8" ht="36" x14ac:dyDescent="0.2">
      <c r="B32" s="129">
        <v>9</v>
      </c>
      <c r="C32" s="3165" t="s">
        <v>2590</v>
      </c>
      <c r="D32" s="210" t="s">
        <v>95</v>
      </c>
      <c r="E32" s="353">
        <v>2591</v>
      </c>
      <c r="F32" s="467">
        <v>0</v>
      </c>
      <c r="G32" s="352">
        <f t="shared" si="1"/>
        <v>0</v>
      </c>
      <c r="H32" s="571"/>
    </row>
    <row r="33" spans="2:12" ht="27.75" customHeight="1" x14ac:dyDescent="0.2">
      <c r="B33" s="129">
        <v>10</v>
      </c>
      <c r="C33" s="3165" t="s">
        <v>2591</v>
      </c>
      <c r="D33" s="210" t="s">
        <v>95</v>
      </c>
      <c r="E33" s="353">
        <v>2591</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3</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row>
    <row r="43" spans="2:12" ht="27.75" customHeight="1" x14ac:dyDescent="0.2">
      <c r="B43" s="131">
        <v>1</v>
      </c>
      <c r="C43" s="206" t="s">
        <v>111</v>
      </c>
      <c r="D43" s="207" t="s">
        <v>112</v>
      </c>
      <c r="E43" s="353">
        <f>(2591*1*1.4*0.07)</f>
        <v>253.91800000000001</v>
      </c>
      <c r="F43" s="467">
        <v>0</v>
      </c>
      <c r="G43" s="352">
        <f t="shared" ref="G43:G75" si="2">E43*F43</f>
        <v>0</v>
      </c>
      <c r="I43" s="132"/>
    </row>
    <row r="44" spans="2:12" ht="39" customHeight="1" x14ac:dyDescent="0.2">
      <c r="B44" s="131">
        <v>2</v>
      </c>
      <c r="C44" s="206" t="s">
        <v>113</v>
      </c>
      <c r="D44" s="207" t="s">
        <v>95</v>
      </c>
      <c r="E44" s="353">
        <f>0.6*2591</f>
        <v>1554.6</v>
      </c>
      <c r="F44" s="467">
        <v>0</v>
      </c>
      <c r="G44" s="352">
        <f t="shared" si="2"/>
        <v>0</v>
      </c>
      <c r="I44" s="1364"/>
    </row>
    <row r="45" spans="2:12" ht="36" x14ac:dyDescent="0.2">
      <c r="B45" s="131">
        <v>3</v>
      </c>
      <c r="C45" s="206" t="s">
        <v>114</v>
      </c>
      <c r="D45" s="209" t="s">
        <v>112</v>
      </c>
      <c r="E45" s="353">
        <f>((2591*1*1.4)-E43)*0.1</f>
        <v>337.34819999999996</v>
      </c>
      <c r="F45" s="467">
        <v>0</v>
      </c>
      <c r="G45" s="352">
        <f t="shared" si="2"/>
        <v>0</v>
      </c>
      <c r="I45" s="133"/>
      <c r="K45" s="134"/>
      <c r="L45" s="134"/>
    </row>
    <row r="46" spans="2:12" ht="39.75" customHeight="1" x14ac:dyDescent="0.2">
      <c r="B46" s="131">
        <v>4</v>
      </c>
      <c r="C46" s="206" t="s">
        <v>115</v>
      </c>
      <c r="D46" s="209" t="s">
        <v>112</v>
      </c>
      <c r="E46" s="353">
        <f>((2591*1*1.4)-E43)*0.9</f>
        <v>3036.1337999999996</v>
      </c>
      <c r="F46" s="467">
        <v>0</v>
      </c>
      <c r="G46" s="352">
        <f t="shared" si="2"/>
        <v>0</v>
      </c>
      <c r="I46" s="133"/>
      <c r="J46" s="134"/>
    </row>
    <row r="47" spans="2:12" ht="29.25" customHeight="1" x14ac:dyDescent="0.2">
      <c r="B47" s="131">
        <v>5</v>
      </c>
      <c r="C47" s="311" t="s">
        <v>116</v>
      </c>
      <c r="D47" s="219" t="s">
        <v>117</v>
      </c>
      <c r="E47" s="471">
        <f>2591*1.4</f>
        <v>3627.3999999999996</v>
      </c>
      <c r="F47" s="467">
        <v>0</v>
      </c>
      <c r="G47" s="352">
        <f t="shared" si="2"/>
        <v>0</v>
      </c>
      <c r="I47" s="1364"/>
    </row>
    <row r="48" spans="2:12" ht="29.25" customHeight="1" x14ac:dyDescent="0.2">
      <c r="B48" s="131">
        <v>6</v>
      </c>
      <c r="C48" s="206" t="s">
        <v>118</v>
      </c>
      <c r="D48" s="209" t="s">
        <v>117</v>
      </c>
      <c r="E48" s="353">
        <f>2591*1</f>
        <v>2591</v>
      </c>
      <c r="F48" s="467">
        <v>0</v>
      </c>
      <c r="G48" s="352">
        <f t="shared" si="2"/>
        <v>0</v>
      </c>
      <c r="I48" s="1364"/>
    </row>
    <row r="49" spans="2:12" ht="27" customHeight="1" x14ac:dyDescent="0.2">
      <c r="B49" s="131">
        <v>7</v>
      </c>
      <c r="C49" s="206" t="s">
        <v>304</v>
      </c>
      <c r="D49" s="209" t="s">
        <v>112</v>
      </c>
      <c r="E49" s="353">
        <v>732.3</v>
      </c>
      <c r="F49" s="467">
        <v>0</v>
      </c>
      <c r="G49" s="352">
        <f t="shared" si="2"/>
        <v>0</v>
      </c>
      <c r="I49" s="133"/>
      <c r="J49" s="1365"/>
    </row>
    <row r="50" spans="2:12" ht="24" x14ac:dyDescent="0.2">
      <c r="B50" s="131">
        <v>8</v>
      </c>
      <c r="C50" s="206" t="s">
        <v>119</v>
      </c>
      <c r="D50" s="209" t="s">
        <v>112</v>
      </c>
      <c r="E50" s="353">
        <v>1681.4</v>
      </c>
      <c r="F50" s="467">
        <v>0</v>
      </c>
      <c r="G50" s="352">
        <f t="shared" si="2"/>
        <v>0</v>
      </c>
      <c r="I50" s="134"/>
      <c r="K50" s="1365"/>
    </row>
    <row r="51" spans="2:12" ht="40.5" customHeight="1" x14ac:dyDescent="0.2">
      <c r="B51" s="131">
        <v>9</v>
      </c>
      <c r="C51" s="208" t="s">
        <v>120</v>
      </c>
      <c r="D51" s="209" t="s">
        <v>112</v>
      </c>
      <c r="E51" s="353">
        <v>644.6</v>
      </c>
      <c r="F51" s="467">
        <v>0</v>
      </c>
      <c r="G51" s="352">
        <f t="shared" si="2"/>
        <v>0</v>
      </c>
      <c r="I51" s="1365"/>
      <c r="J51" s="1365"/>
      <c r="K51" s="1365"/>
    </row>
    <row r="52" spans="2:12" s="130" customFormat="1" ht="39" customHeight="1" x14ac:dyDescent="0.2">
      <c r="B52" s="131">
        <v>10</v>
      </c>
      <c r="C52" s="314" t="s">
        <v>121</v>
      </c>
      <c r="D52" s="210" t="s">
        <v>112</v>
      </c>
      <c r="E52" s="353">
        <v>435.5</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row>
    <row r="54" spans="2:12" s="147" customFormat="1" ht="15" customHeight="1" x14ac:dyDescent="0.25">
      <c r="B54" s="3188"/>
      <c r="C54" s="308" t="s">
        <v>124</v>
      </c>
      <c r="D54" s="207" t="s">
        <v>95</v>
      </c>
      <c r="E54" s="353">
        <v>80</v>
      </c>
      <c r="F54" s="467">
        <v>0</v>
      </c>
      <c r="G54" s="352">
        <f t="shared" si="2"/>
        <v>0</v>
      </c>
      <c r="H54" s="572"/>
      <c r="I54" s="490"/>
    </row>
    <row r="55" spans="2:12" s="147" customFormat="1" ht="15" customHeight="1" x14ac:dyDescent="0.25">
      <c r="B55" s="3189"/>
      <c r="C55" s="308" t="s">
        <v>305</v>
      </c>
      <c r="D55" s="207" t="s">
        <v>95</v>
      </c>
      <c r="E55" s="353">
        <v>40</v>
      </c>
      <c r="F55" s="467">
        <v>0</v>
      </c>
      <c r="G55" s="352">
        <f t="shared" si="2"/>
        <v>0</v>
      </c>
      <c r="H55" s="572"/>
    </row>
    <row r="56" spans="2:12" ht="25.5" customHeight="1" x14ac:dyDescent="0.2">
      <c r="B56" s="131">
        <v>12</v>
      </c>
      <c r="C56" s="206" t="s">
        <v>125</v>
      </c>
      <c r="D56" s="209" t="s">
        <v>95</v>
      </c>
      <c r="E56" s="353">
        <v>828.4</v>
      </c>
      <c r="F56" s="467">
        <v>0</v>
      </c>
      <c r="G56" s="352">
        <f t="shared" si="2"/>
        <v>0</v>
      </c>
      <c r="H56" s="571"/>
    </row>
    <row r="57" spans="2:12" ht="16.5" customHeight="1" x14ac:dyDescent="0.2">
      <c r="B57" s="131">
        <v>13</v>
      </c>
      <c r="C57" s="206" t="s">
        <v>126</v>
      </c>
      <c r="D57" s="207" t="s">
        <v>117</v>
      </c>
      <c r="E57" s="353">
        <f>E56*1.2</f>
        <v>994.07999999999993</v>
      </c>
      <c r="F57" s="467">
        <v>0</v>
      </c>
      <c r="G57" s="352">
        <f t="shared" si="2"/>
        <v>0</v>
      </c>
      <c r="H57" s="571"/>
    </row>
    <row r="58" spans="2:12" ht="48" x14ac:dyDescent="0.2">
      <c r="B58" s="131">
        <v>14</v>
      </c>
      <c r="C58" s="206" t="s">
        <v>127</v>
      </c>
      <c r="D58" s="207" t="s">
        <v>117</v>
      </c>
      <c r="E58" s="353">
        <f>E57</f>
        <v>994.07999999999993</v>
      </c>
      <c r="F58" s="467">
        <v>0</v>
      </c>
      <c r="G58" s="352">
        <f t="shared" si="2"/>
        <v>0</v>
      </c>
      <c r="H58" s="571"/>
      <c r="I58" s="1365"/>
    </row>
    <row r="59" spans="2:12" ht="65.25" customHeight="1" x14ac:dyDescent="0.2">
      <c r="B59" s="131">
        <v>15</v>
      </c>
      <c r="C59" s="314" t="s">
        <v>706</v>
      </c>
      <c r="D59" s="209" t="s">
        <v>117</v>
      </c>
      <c r="E59" s="353">
        <v>457.36</v>
      </c>
      <c r="F59" s="467">
        <v>0</v>
      </c>
      <c r="G59" s="352">
        <f t="shared" si="2"/>
        <v>0</v>
      </c>
      <c r="H59" s="571"/>
      <c r="I59" s="1370"/>
      <c r="J59" s="1365"/>
    </row>
    <row r="60" spans="2:12" ht="51.75" customHeight="1" x14ac:dyDescent="0.2">
      <c r="B60" s="312" t="s">
        <v>128</v>
      </c>
      <c r="C60" s="208" t="s">
        <v>129</v>
      </c>
      <c r="D60" s="209" t="s">
        <v>117</v>
      </c>
      <c r="E60" s="353">
        <v>324.22000000000003</v>
      </c>
      <c r="F60" s="467">
        <v>0</v>
      </c>
      <c r="G60" s="352">
        <f t="shared" si="2"/>
        <v>0</v>
      </c>
      <c r="H60" s="571"/>
      <c r="I60" s="1365"/>
    </row>
    <row r="61" spans="2:12" ht="64.5" customHeight="1" x14ac:dyDescent="0.2">
      <c r="B61" s="312" t="s">
        <v>707</v>
      </c>
      <c r="C61" s="208" t="s">
        <v>708</v>
      </c>
      <c r="D61" s="209" t="s">
        <v>117</v>
      </c>
      <c r="E61" s="353">
        <v>324.22000000000003</v>
      </c>
      <c r="F61" s="467">
        <v>0</v>
      </c>
      <c r="G61" s="352">
        <f t="shared" si="2"/>
        <v>0</v>
      </c>
      <c r="H61" s="571"/>
      <c r="I61" s="1365"/>
    </row>
    <row r="62" spans="2:12" ht="76.5" customHeight="1" x14ac:dyDescent="0.2">
      <c r="B62" s="312" t="s">
        <v>710</v>
      </c>
      <c r="C62" s="208" t="s">
        <v>711</v>
      </c>
      <c r="D62" s="209" t="s">
        <v>117</v>
      </c>
      <c r="E62" s="353">
        <v>212.5</v>
      </c>
      <c r="F62" s="467">
        <v>0</v>
      </c>
      <c r="G62" s="352">
        <f>E62*F62</f>
        <v>0</v>
      </c>
      <c r="H62" s="571"/>
      <c r="I62" s="1365">
        <f>E58-E59-E60-E62</f>
        <v>0</v>
      </c>
    </row>
    <row r="63" spans="2:12" ht="38.25" customHeight="1" x14ac:dyDescent="0.2">
      <c r="B63" s="131">
        <v>16</v>
      </c>
      <c r="C63" s="206" t="s">
        <v>132</v>
      </c>
      <c r="D63" s="207" t="s">
        <v>117</v>
      </c>
      <c r="E63" s="353">
        <v>142</v>
      </c>
      <c r="F63" s="467">
        <v>0</v>
      </c>
      <c r="G63" s="352">
        <f t="shared" si="2"/>
        <v>0</v>
      </c>
    </row>
    <row r="64" spans="2:12" ht="14.25" customHeight="1" x14ac:dyDescent="0.2">
      <c r="B64" s="131">
        <v>18</v>
      </c>
      <c r="C64" s="206" t="s">
        <v>134</v>
      </c>
      <c r="D64" s="209" t="s">
        <v>112</v>
      </c>
      <c r="E64" s="353">
        <v>2522.2399999999998</v>
      </c>
      <c r="F64" s="467">
        <v>0</v>
      </c>
      <c r="G64" s="352">
        <f t="shared" si="2"/>
        <v>0</v>
      </c>
      <c r="I64" s="1365"/>
    </row>
    <row r="65" spans="2:9" ht="15.75" customHeight="1" x14ac:dyDescent="0.2">
      <c r="B65" s="131">
        <v>19</v>
      </c>
      <c r="C65" s="206" t="s">
        <v>135</v>
      </c>
      <c r="D65" s="209" t="s">
        <v>112</v>
      </c>
      <c r="E65" s="353">
        <f>E64</f>
        <v>2522.2399999999998</v>
      </c>
      <c r="F65" s="467">
        <v>0</v>
      </c>
      <c r="G65" s="352">
        <f t="shared" si="2"/>
        <v>0</v>
      </c>
    </row>
    <row r="66" spans="2:9" ht="27.75" customHeight="1" x14ac:dyDescent="0.2">
      <c r="B66" s="131">
        <v>20</v>
      </c>
      <c r="C66" s="206" t="s">
        <v>136</v>
      </c>
      <c r="D66" s="209" t="s">
        <v>117</v>
      </c>
      <c r="E66" s="353">
        <v>953.52</v>
      </c>
      <c r="F66" s="467">
        <v>0</v>
      </c>
      <c r="G66" s="352">
        <f t="shared" si="2"/>
        <v>0</v>
      </c>
    </row>
    <row r="67" spans="2:9" ht="30" customHeight="1" x14ac:dyDescent="0.2">
      <c r="B67" s="131">
        <v>21</v>
      </c>
      <c r="C67" s="206" t="s">
        <v>138</v>
      </c>
      <c r="D67" s="207" t="s">
        <v>117</v>
      </c>
      <c r="E67" s="353">
        <v>655</v>
      </c>
      <c r="F67" s="467">
        <v>0</v>
      </c>
      <c r="G67" s="352">
        <f t="shared" si="2"/>
        <v>0</v>
      </c>
    </row>
    <row r="68" spans="2:9" s="130" customFormat="1" ht="51.75" customHeight="1" x14ac:dyDescent="0.2">
      <c r="B68" s="2721">
        <v>22</v>
      </c>
      <c r="C68" s="408" t="s">
        <v>139</v>
      </c>
      <c r="D68" s="221"/>
      <c r="E68" s="353"/>
      <c r="F68" s="467"/>
      <c r="G68" s="352"/>
      <c r="H68" s="565"/>
    </row>
    <row r="69" spans="2:9" s="130" customFormat="1" x14ac:dyDescent="0.2">
      <c r="B69" s="2722"/>
      <c r="C69" s="291" t="s">
        <v>713</v>
      </c>
      <c r="D69" s="221" t="s">
        <v>95</v>
      </c>
      <c r="E69" s="353">
        <v>6</v>
      </c>
      <c r="F69" s="467">
        <v>0</v>
      </c>
      <c r="G69" s="352">
        <f t="shared" si="2"/>
        <v>0</v>
      </c>
      <c r="H69" s="565"/>
    </row>
    <row r="70" spans="2:9" ht="39.75" customHeight="1" x14ac:dyDescent="0.2">
      <c r="B70" s="2721">
        <v>23</v>
      </c>
      <c r="C70" s="409" t="s">
        <v>309</v>
      </c>
      <c r="D70" s="207"/>
      <c r="E70" s="353"/>
      <c r="F70" s="467"/>
      <c r="G70" s="352"/>
    </row>
    <row r="71" spans="2:9" s="130" customFormat="1" x14ac:dyDescent="0.2">
      <c r="B71" s="2722"/>
      <c r="C71" s="291" t="s">
        <v>715</v>
      </c>
      <c r="D71" s="221" t="s">
        <v>95</v>
      </c>
      <c r="E71" s="353">
        <v>18</v>
      </c>
      <c r="F71" s="467">
        <v>0</v>
      </c>
      <c r="G71" s="352">
        <f t="shared" ref="G71:G72" si="3">E71*F71</f>
        <v>0</v>
      </c>
      <c r="H71" s="565"/>
    </row>
    <row r="72" spans="2:9" s="130" customFormat="1" x14ac:dyDescent="0.2">
      <c r="B72" s="2722"/>
      <c r="C72" s="291" t="s">
        <v>716</v>
      </c>
      <c r="D72" s="221" t="s">
        <v>95</v>
      </c>
      <c r="E72" s="353">
        <v>11</v>
      </c>
      <c r="F72" s="467">
        <v>0</v>
      </c>
      <c r="G72" s="352">
        <f t="shared" si="3"/>
        <v>0</v>
      </c>
      <c r="H72" s="565"/>
    </row>
    <row r="73" spans="2:9" ht="39.75" customHeight="1" x14ac:dyDescent="0.2">
      <c r="B73" s="131">
        <v>24</v>
      </c>
      <c r="C73" s="409" t="s">
        <v>142</v>
      </c>
      <c r="D73" s="207" t="s">
        <v>117</v>
      </c>
      <c r="E73" s="353">
        <v>35</v>
      </c>
      <c r="F73" s="467">
        <v>0</v>
      </c>
      <c r="G73" s="352">
        <f t="shared" si="2"/>
        <v>0</v>
      </c>
      <c r="I73" s="1372"/>
    </row>
    <row r="74" spans="2:9" ht="25.5" customHeight="1" x14ac:dyDescent="0.2">
      <c r="B74" s="131">
        <v>25</v>
      </c>
      <c r="C74" s="409" t="s">
        <v>143</v>
      </c>
      <c r="D74" s="207" t="s">
        <v>95</v>
      </c>
      <c r="E74" s="353">
        <v>62</v>
      </c>
      <c r="F74" s="467">
        <v>0</v>
      </c>
      <c r="G74" s="352">
        <f t="shared" si="2"/>
        <v>0</v>
      </c>
      <c r="H74" s="571"/>
    </row>
    <row r="75" spans="2:9" ht="25.5" customHeight="1" x14ac:dyDescent="0.2">
      <c r="B75" s="312" t="s">
        <v>717</v>
      </c>
      <c r="C75" s="409" t="s">
        <v>718</v>
      </c>
      <c r="D75" s="207" t="s">
        <v>95</v>
      </c>
      <c r="E75" s="353">
        <v>24</v>
      </c>
      <c r="F75" s="467">
        <v>0</v>
      </c>
      <c r="G75" s="352">
        <f t="shared" si="2"/>
        <v>0</v>
      </c>
      <c r="H75" s="571"/>
    </row>
    <row r="76" spans="2:9" ht="29.25" customHeight="1" x14ac:dyDescent="0.2">
      <c r="B76" s="411">
        <v>30</v>
      </c>
      <c r="C76" s="410" t="s">
        <v>151</v>
      </c>
      <c r="D76" s="222" t="s">
        <v>112</v>
      </c>
      <c r="E76" s="472">
        <v>7.5</v>
      </c>
      <c r="F76" s="467">
        <v>0</v>
      </c>
      <c r="G76" s="352">
        <f>E76*F76</f>
        <v>0</v>
      </c>
    </row>
    <row r="77" spans="2:9" ht="36.75" customHeight="1" x14ac:dyDescent="0.2">
      <c r="B77" s="131">
        <v>31</v>
      </c>
      <c r="C77" s="1366" t="s">
        <v>152</v>
      </c>
      <c r="D77" s="1367" t="s">
        <v>149</v>
      </c>
      <c r="E77" s="1359">
        <v>21</v>
      </c>
      <c r="F77" s="467">
        <v>0</v>
      </c>
      <c r="G77" s="1361">
        <f>E77*F77</f>
        <v>0</v>
      </c>
    </row>
    <row r="78" spans="2:9" ht="30" customHeight="1" x14ac:dyDescent="0.2">
      <c r="B78" s="411">
        <v>32</v>
      </c>
      <c r="C78" s="223" t="s">
        <v>153</v>
      </c>
      <c r="D78" s="222" t="s">
        <v>112</v>
      </c>
      <c r="E78" s="472">
        <v>10.199999999999999</v>
      </c>
      <c r="F78" s="467">
        <v>0</v>
      </c>
      <c r="G78" s="352">
        <f>E78*F78</f>
        <v>0</v>
      </c>
    </row>
    <row r="79" spans="2:9" ht="28.5" customHeight="1" x14ac:dyDescent="0.2">
      <c r="B79" s="131">
        <v>33</v>
      </c>
      <c r="C79" s="223" t="s">
        <v>155</v>
      </c>
      <c r="D79" s="222" t="s">
        <v>156</v>
      </c>
      <c r="E79" s="472">
        <v>15</v>
      </c>
      <c r="F79" s="467">
        <v>0</v>
      </c>
      <c r="G79" s="352">
        <f>E79*F79</f>
        <v>0</v>
      </c>
    </row>
    <row r="80" spans="2:9" s="147" customFormat="1" ht="21.75" customHeight="1" x14ac:dyDescent="0.25">
      <c r="B80" s="327" t="s">
        <v>12</v>
      </c>
      <c r="C80" s="214" t="s">
        <v>157</v>
      </c>
      <c r="D80" s="224"/>
      <c r="E80" s="215"/>
      <c r="F80" s="216"/>
      <c r="G80" s="290">
        <f>SUM(G43:G79)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30" customHeight="1" x14ac:dyDescent="0.2">
      <c r="B92" s="153">
        <v>1</v>
      </c>
      <c r="C92" s="1806" t="s">
        <v>162</v>
      </c>
      <c r="D92" s="226"/>
      <c r="E92" s="353"/>
      <c r="F92" s="358"/>
      <c r="G92" s="350"/>
    </row>
    <row r="93" spans="1:9" s="147" customFormat="1" ht="18.75" customHeight="1" x14ac:dyDescent="0.25">
      <c r="B93" s="148"/>
      <c r="C93" s="1823" t="s">
        <v>1720</v>
      </c>
      <c r="D93" s="1367" t="s">
        <v>95</v>
      </c>
      <c r="E93" s="1359">
        <v>302</v>
      </c>
      <c r="F93" s="1360">
        <v>0</v>
      </c>
      <c r="G93" s="1361">
        <f t="shared" ref="G93:G104" si="4">E93*F93</f>
        <v>0</v>
      </c>
      <c r="H93" s="150"/>
      <c r="I93" s="490"/>
    </row>
    <row r="94" spans="1:9" ht="27" customHeight="1" x14ac:dyDescent="0.2">
      <c r="B94" s="148"/>
      <c r="C94" s="1823" t="s">
        <v>1721</v>
      </c>
      <c r="D94" s="1367" t="s">
        <v>95</v>
      </c>
      <c r="E94" s="1359">
        <v>34</v>
      </c>
      <c r="F94" s="1360">
        <v>0</v>
      </c>
      <c r="G94" s="1361">
        <f t="shared" si="4"/>
        <v>0</v>
      </c>
    </row>
    <row r="95" spans="1:9" s="147" customFormat="1" ht="18.75" customHeight="1" x14ac:dyDescent="0.25">
      <c r="B95" s="148"/>
      <c r="C95" s="1807" t="s">
        <v>821</v>
      </c>
      <c r="D95" s="226" t="s">
        <v>95</v>
      </c>
      <c r="E95" s="353">
        <v>1413</v>
      </c>
      <c r="F95" s="1360">
        <v>0</v>
      </c>
      <c r="G95" s="352">
        <f t="shared" si="4"/>
        <v>0</v>
      </c>
      <c r="H95" s="150"/>
      <c r="I95" s="490"/>
    </row>
    <row r="96" spans="1:9" ht="27" customHeight="1" x14ac:dyDescent="0.2">
      <c r="B96" s="148"/>
      <c r="C96" s="1807" t="s">
        <v>822</v>
      </c>
      <c r="D96" s="226" t="s">
        <v>95</v>
      </c>
      <c r="E96" s="353">
        <v>157</v>
      </c>
      <c r="F96" s="1360">
        <v>0</v>
      </c>
      <c r="G96" s="352">
        <f t="shared" si="4"/>
        <v>0</v>
      </c>
    </row>
    <row r="97" spans="2:9" s="147" customFormat="1" ht="18.75" customHeight="1" x14ac:dyDescent="0.25">
      <c r="B97" s="148"/>
      <c r="C97" s="1807" t="s">
        <v>1733</v>
      </c>
      <c r="D97" s="226" t="s">
        <v>95</v>
      </c>
      <c r="E97" s="353">
        <v>290</v>
      </c>
      <c r="F97" s="1360">
        <v>0</v>
      </c>
      <c r="G97" s="352">
        <f t="shared" si="4"/>
        <v>0</v>
      </c>
      <c r="H97" s="150"/>
      <c r="I97" s="490"/>
    </row>
    <row r="98" spans="2:9" ht="27" customHeight="1" x14ac:dyDescent="0.2">
      <c r="B98" s="148"/>
      <c r="C98" s="1807" t="s">
        <v>1734</v>
      </c>
      <c r="D98" s="226" t="s">
        <v>95</v>
      </c>
      <c r="E98" s="353">
        <v>32</v>
      </c>
      <c r="F98" s="1360">
        <v>0</v>
      </c>
      <c r="G98" s="352">
        <f t="shared" si="4"/>
        <v>0</v>
      </c>
    </row>
    <row r="99" spans="2:9" s="147" customFormat="1" ht="18.75" customHeight="1" x14ac:dyDescent="0.25">
      <c r="B99" s="148"/>
      <c r="C99" s="1807" t="s">
        <v>165</v>
      </c>
      <c r="D99" s="226" t="s">
        <v>95</v>
      </c>
      <c r="E99" s="353">
        <v>326</v>
      </c>
      <c r="F99" s="1360">
        <v>0</v>
      </c>
      <c r="G99" s="352">
        <f t="shared" si="4"/>
        <v>0</v>
      </c>
      <c r="H99" s="150"/>
      <c r="I99" s="490"/>
    </row>
    <row r="100" spans="2:9" ht="27" customHeight="1" x14ac:dyDescent="0.2">
      <c r="B100" s="148"/>
      <c r="C100" s="1807" t="s">
        <v>166</v>
      </c>
      <c r="D100" s="226" t="s">
        <v>95</v>
      </c>
      <c r="E100" s="353">
        <v>37</v>
      </c>
      <c r="F100" s="1360">
        <v>0</v>
      </c>
      <c r="G100" s="352">
        <f t="shared" si="4"/>
        <v>0</v>
      </c>
      <c r="I100" s="1365"/>
    </row>
    <row r="101" spans="2:9" ht="41.25" customHeight="1" x14ac:dyDescent="0.2">
      <c r="B101" s="3181" t="s">
        <v>167</v>
      </c>
      <c r="C101" s="310" t="s">
        <v>168</v>
      </c>
      <c r="D101" s="221"/>
      <c r="E101" s="353"/>
      <c r="F101" s="467"/>
      <c r="G101" s="352"/>
    </row>
    <row r="102" spans="2:9" ht="12.75" customHeight="1" x14ac:dyDescent="0.2">
      <c r="B102" s="3182"/>
      <c r="C102" s="291" t="s">
        <v>169</v>
      </c>
      <c r="D102" s="221" t="s">
        <v>95</v>
      </c>
      <c r="E102" s="353">
        <v>25</v>
      </c>
      <c r="F102" s="467">
        <v>0</v>
      </c>
      <c r="G102" s="352">
        <f t="shared" ref="G102:G103" si="5">E102*F102</f>
        <v>0</v>
      </c>
    </row>
    <row r="103" spans="2:9" ht="12.75" customHeight="1" x14ac:dyDescent="0.2">
      <c r="B103" s="3182"/>
      <c r="C103" s="291" t="s">
        <v>170</v>
      </c>
      <c r="D103" s="221" t="s">
        <v>95</v>
      </c>
      <c r="E103" s="353">
        <v>25</v>
      </c>
      <c r="F103" s="467">
        <v>0</v>
      </c>
      <c r="G103" s="352">
        <f t="shared" si="5"/>
        <v>0</v>
      </c>
    </row>
    <row r="104" spans="2:9" ht="36" x14ac:dyDescent="0.2">
      <c r="B104" s="154">
        <v>2</v>
      </c>
      <c r="C104" s="227" t="s">
        <v>172</v>
      </c>
      <c r="D104" s="209" t="s">
        <v>95</v>
      </c>
      <c r="E104" s="348">
        <f>SUM(E93:E100)</f>
        <v>2591</v>
      </c>
      <c r="F104" s="467">
        <v>0</v>
      </c>
      <c r="G104" s="352">
        <f t="shared" si="4"/>
        <v>0</v>
      </c>
    </row>
    <row r="105" spans="2:9" ht="36" x14ac:dyDescent="0.2">
      <c r="B105" s="309" t="s">
        <v>173</v>
      </c>
      <c r="C105" s="227" t="s">
        <v>174</v>
      </c>
      <c r="D105" s="209" t="s">
        <v>95</v>
      </c>
      <c r="E105" s="348">
        <f>SUM(E93:E100)</f>
        <v>2591</v>
      </c>
      <c r="F105" s="467">
        <v>0</v>
      </c>
      <c r="G105" s="352">
        <f>E105*F105</f>
        <v>0</v>
      </c>
    </row>
    <row r="106" spans="2:9" ht="24" x14ac:dyDescent="0.2">
      <c r="B106" s="309" t="s">
        <v>175</v>
      </c>
      <c r="C106" s="227" t="s">
        <v>176</v>
      </c>
      <c r="D106" s="209" t="s">
        <v>95</v>
      </c>
      <c r="E106" s="348">
        <f>SUM(E93:E100)</f>
        <v>2591</v>
      </c>
      <c r="F106" s="467">
        <v>0</v>
      </c>
      <c r="G106" s="352">
        <f>E106*F106</f>
        <v>0</v>
      </c>
    </row>
    <row r="107" spans="2:9" s="147" customFormat="1" ht="36" x14ac:dyDescent="0.25">
      <c r="B107" s="309" t="s">
        <v>177</v>
      </c>
      <c r="C107" s="227" t="s">
        <v>178</v>
      </c>
      <c r="D107" s="209" t="s">
        <v>95</v>
      </c>
      <c r="E107" s="348">
        <f>SUM(E93:E100)</f>
        <v>2591</v>
      </c>
      <c r="F107" s="467">
        <v>0</v>
      </c>
      <c r="G107" s="352">
        <f>E107*F107</f>
        <v>0</v>
      </c>
      <c r="H107" s="150"/>
    </row>
    <row r="108" spans="2:9" s="147" customFormat="1" ht="24" x14ac:dyDescent="0.25">
      <c r="B108" s="153">
        <v>3</v>
      </c>
      <c r="C108" s="264" t="s">
        <v>179</v>
      </c>
      <c r="D108" s="231"/>
      <c r="E108" s="232"/>
      <c r="F108" s="233">
        <v>0</v>
      </c>
      <c r="G108" s="234"/>
      <c r="H108" s="150"/>
    </row>
    <row r="109" spans="2:9" x14ac:dyDescent="0.2">
      <c r="B109" s="292" t="s">
        <v>180</v>
      </c>
      <c r="C109" s="1808" t="s">
        <v>181</v>
      </c>
      <c r="D109" s="231"/>
      <c r="E109" s="232"/>
      <c r="F109" s="233"/>
      <c r="G109" s="234"/>
    </row>
    <row r="110" spans="2:9" s="147" customFormat="1" x14ac:dyDescent="0.25">
      <c r="B110" s="129"/>
      <c r="C110" s="1808" t="s">
        <v>182</v>
      </c>
      <c r="D110" s="231"/>
      <c r="E110" s="232"/>
      <c r="F110" s="233"/>
      <c r="G110" s="234"/>
      <c r="H110" s="150"/>
    </row>
    <row r="111" spans="2:9" s="147" customFormat="1" x14ac:dyDescent="0.25">
      <c r="B111" s="152"/>
      <c r="C111" s="1835" t="s">
        <v>183</v>
      </c>
      <c r="D111" s="1420" t="s">
        <v>149</v>
      </c>
      <c r="E111" s="232">
        <v>4</v>
      </c>
      <c r="F111" s="1421">
        <v>0</v>
      </c>
      <c r="G111" s="1388">
        <f t="shared" ref="G111" si="6">E111*F111</f>
        <v>0</v>
      </c>
      <c r="H111" s="150"/>
    </row>
    <row r="112" spans="2:9" s="136" customFormat="1" x14ac:dyDescent="0.2">
      <c r="B112" s="129"/>
      <c r="C112" s="1808" t="s">
        <v>185</v>
      </c>
      <c r="D112" s="231"/>
      <c r="E112" s="232"/>
      <c r="F112" s="233"/>
      <c r="G112" s="234"/>
      <c r="H112" s="565"/>
    </row>
    <row r="113" spans="2:8" s="136" customFormat="1" x14ac:dyDescent="0.2">
      <c r="B113" s="152"/>
      <c r="C113" s="1810" t="s">
        <v>186</v>
      </c>
      <c r="D113" s="236" t="s">
        <v>149</v>
      </c>
      <c r="E113" s="232">
        <v>37</v>
      </c>
      <c r="F113" s="271">
        <v>0</v>
      </c>
      <c r="G113" s="272">
        <f t="shared" ref="G113:G114" si="7">E113*F113</f>
        <v>0</v>
      </c>
      <c r="H113" s="565"/>
    </row>
    <row r="114" spans="2:8" s="136" customFormat="1" x14ac:dyDescent="0.2">
      <c r="B114" s="152"/>
      <c r="C114" s="1810" t="s">
        <v>187</v>
      </c>
      <c r="D114" s="236" t="s">
        <v>149</v>
      </c>
      <c r="E114" s="232">
        <v>5</v>
      </c>
      <c r="F114" s="271">
        <v>0</v>
      </c>
      <c r="G114" s="272">
        <f t="shared" si="7"/>
        <v>0</v>
      </c>
      <c r="H114" s="565"/>
    </row>
    <row r="115" spans="2:8" s="136" customFormat="1" x14ac:dyDescent="0.2">
      <c r="B115" s="292" t="s">
        <v>188</v>
      </c>
      <c r="C115" s="238" t="s">
        <v>189</v>
      </c>
      <c r="D115" s="239"/>
      <c r="E115" s="240"/>
      <c r="F115" s="241">
        <v>0</v>
      </c>
      <c r="G115" s="242"/>
      <c r="H115" s="565"/>
    </row>
    <row r="116" spans="2:8" s="136" customFormat="1" x14ac:dyDescent="0.2">
      <c r="B116" s="135"/>
      <c r="C116" s="238" t="s">
        <v>190</v>
      </c>
      <c r="D116" s="239"/>
      <c r="E116" s="240"/>
      <c r="F116" s="241">
        <v>0</v>
      </c>
      <c r="G116" s="242"/>
      <c r="H116" s="565"/>
    </row>
    <row r="117" spans="2:8" s="136" customFormat="1" x14ac:dyDescent="0.2">
      <c r="B117" s="135"/>
      <c r="C117" s="243" t="s">
        <v>191</v>
      </c>
      <c r="D117" s="239" t="s">
        <v>149</v>
      </c>
      <c r="E117" s="240">
        <v>1</v>
      </c>
      <c r="F117" s="273">
        <v>0</v>
      </c>
      <c r="G117" s="274">
        <f t="shared" ref="G117:G125" si="8">E117*F117</f>
        <v>0</v>
      </c>
      <c r="H117" s="565"/>
    </row>
    <row r="118" spans="2:8" s="136" customFormat="1" ht="36" x14ac:dyDescent="0.2">
      <c r="B118" s="135"/>
      <c r="C118" s="244" t="s">
        <v>192</v>
      </c>
      <c r="D118" s="239" t="s">
        <v>149</v>
      </c>
      <c r="E118" s="240">
        <v>1</v>
      </c>
      <c r="F118" s="273">
        <v>0</v>
      </c>
      <c r="G118" s="274">
        <f t="shared" si="8"/>
        <v>0</v>
      </c>
      <c r="H118" s="565"/>
    </row>
    <row r="119" spans="2:8" s="136" customFormat="1" x14ac:dyDescent="0.2">
      <c r="B119" s="135"/>
      <c r="C119" s="244" t="s">
        <v>193</v>
      </c>
      <c r="D119" s="239" t="s">
        <v>149</v>
      </c>
      <c r="E119" s="240">
        <v>1</v>
      </c>
      <c r="F119" s="273">
        <v>0</v>
      </c>
      <c r="G119" s="274">
        <f t="shared" si="8"/>
        <v>0</v>
      </c>
      <c r="H119" s="565"/>
    </row>
    <row r="120" spans="2:8" s="136" customFormat="1" x14ac:dyDescent="0.2">
      <c r="B120" s="135"/>
      <c r="C120" s="244" t="s">
        <v>194</v>
      </c>
      <c r="D120" s="239" t="s">
        <v>149</v>
      </c>
      <c r="E120" s="240">
        <v>1</v>
      </c>
      <c r="F120" s="273">
        <v>0</v>
      </c>
      <c r="G120" s="274">
        <f t="shared" si="8"/>
        <v>0</v>
      </c>
      <c r="H120" s="565"/>
    </row>
    <row r="121" spans="2:8" s="136" customFormat="1" x14ac:dyDescent="0.2">
      <c r="B121" s="135"/>
      <c r="C121" s="244" t="s">
        <v>195</v>
      </c>
      <c r="D121" s="239" t="s">
        <v>149</v>
      </c>
      <c r="E121" s="240">
        <v>2</v>
      </c>
      <c r="F121" s="273">
        <v>0</v>
      </c>
      <c r="G121" s="274">
        <f t="shared" si="8"/>
        <v>0</v>
      </c>
      <c r="H121" s="565"/>
    </row>
    <row r="122" spans="2:8" s="136" customFormat="1" x14ac:dyDescent="0.2">
      <c r="B122" s="135"/>
      <c r="C122" s="244" t="s">
        <v>1722</v>
      </c>
      <c r="D122" s="239" t="s">
        <v>149</v>
      </c>
      <c r="E122" s="240">
        <v>2</v>
      </c>
      <c r="F122" s="273">
        <v>0</v>
      </c>
      <c r="G122" s="274">
        <f t="shared" si="8"/>
        <v>0</v>
      </c>
      <c r="H122" s="565"/>
    </row>
    <row r="123" spans="2:8" s="136" customFormat="1" x14ac:dyDescent="0.2">
      <c r="B123" s="135"/>
      <c r="C123" s="244" t="s">
        <v>197</v>
      </c>
      <c r="D123" s="239" t="s">
        <v>149</v>
      </c>
      <c r="E123" s="240">
        <v>1</v>
      </c>
      <c r="F123" s="273">
        <v>0</v>
      </c>
      <c r="G123" s="274">
        <f t="shared" si="8"/>
        <v>0</v>
      </c>
      <c r="H123" s="565"/>
    </row>
    <row r="124" spans="2:8" s="136" customFormat="1" x14ac:dyDescent="0.2">
      <c r="B124" s="135"/>
      <c r="C124" s="244" t="s">
        <v>1725</v>
      </c>
      <c r="D124" s="239" t="s">
        <v>149</v>
      </c>
      <c r="E124" s="240">
        <v>1</v>
      </c>
      <c r="F124" s="273">
        <v>0</v>
      </c>
      <c r="G124" s="274">
        <f t="shared" si="8"/>
        <v>0</v>
      </c>
      <c r="H124" s="565"/>
    </row>
    <row r="125" spans="2:8" s="136" customFormat="1" x14ac:dyDescent="0.2">
      <c r="B125" s="135"/>
      <c r="C125" s="238" t="s">
        <v>840</v>
      </c>
      <c r="D125" s="239"/>
      <c r="E125" s="240">
        <v>0</v>
      </c>
      <c r="F125" s="241">
        <v>0</v>
      </c>
      <c r="G125" s="242">
        <f t="shared" si="8"/>
        <v>0</v>
      </c>
      <c r="H125" s="565"/>
    </row>
    <row r="126" spans="2:8" s="136" customFormat="1" x14ac:dyDescent="0.2">
      <c r="B126" s="135"/>
      <c r="C126" s="243" t="s">
        <v>841</v>
      </c>
      <c r="D126" s="239" t="s">
        <v>149</v>
      </c>
      <c r="E126" s="240">
        <v>2</v>
      </c>
      <c r="F126" s="273">
        <v>0</v>
      </c>
      <c r="G126" s="274">
        <f t="shared" ref="G126:G135" si="9">E126*F126</f>
        <v>0</v>
      </c>
      <c r="H126" s="565"/>
    </row>
    <row r="127" spans="2:8" s="136" customFormat="1" ht="36" x14ac:dyDescent="0.2">
      <c r="B127" s="135"/>
      <c r="C127" s="244" t="s">
        <v>285</v>
      </c>
      <c r="D127" s="239" t="s">
        <v>149</v>
      </c>
      <c r="E127" s="240">
        <v>2</v>
      </c>
      <c r="F127" s="273">
        <v>0</v>
      </c>
      <c r="G127" s="274">
        <f t="shared" si="9"/>
        <v>0</v>
      </c>
      <c r="H127" s="565"/>
    </row>
    <row r="128" spans="2:8" s="136" customFormat="1" x14ac:dyDescent="0.2">
      <c r="B128" s="135"/>
      <c r="C128" s="244" t="s">
        <v>193</v>
      </c>
      <c r="D128" s="239" t="s">
        <v>149</v>
      </c>
      <c r="E128" s="240">
        <v>2</v>
      </c>
      <c r="F128" s="273">
        <v>0</v>
      </c>
      <c r="G128" s="274">
        <f t="shared" si="9"/>
        <v>0</v>
      </c>
      <c r="H128" s="565"/>
    </row>
    <row r="129" spans="2:8" s="136" customFormat="1" x14ac:dyDescent="0.2">
      <c r="B129" s="135"/>
      <c r="C129" s="244" t="s">
        <v>194</v>
      </c>
      <c r="D129" s="239" t="s">
        <v>149</v>
      </c>
      <c r="E129" s="240">
        <v>2</v>
      </c>
      <c r="F129" s="273">
        <v>0</v>
      </c>
      <c r="G129" s="274">
        <f t="shared" si="9"/>
        <v>0</v>
      </c>
      <c r="H129" s="565"/>
    </row>
    <row r="130" spans="2:8" s="136" customFormat="1" x14ac:dyDescent="0.2">
      <c r="B130" s="135"/>
      <c r="C130" s="1811" t="s">
        <v>239</v>
      </c>
      <c r="D130" s="239" t="s">
        <v>149</v>
      </c>
      <c r="E130" s="240">
        <v>4</v>
      </c>
      <c r="F130" s="273">
        <v>0</v>
      </c>
      <c r="G130" s="274">
        <f t="shared" si="9"/>
        <v>0</v>
      </c>
      <c r="H130" s="565"/>
    </row>
    <row r="131" spans="2:8" s="136" customFormat="1" x14ac:dyDescent="0.2">
      <c r="B131" s="135"/>
      <c r="C131" s="1811" t="s">
        <v>240</v>
      </c>
      <c r="D131" s="239" t="s">
        <v>149</v>
      </c>
      <c r="E131" s="240">
        <v>4</v>
      </c>
      <c r="F131" s="273">
        <v>0</v>
      </c>
      <c r="G131" s="274">
        <f t="shared" si="9"/>
        <v>0</v>
      </c>
      <c r="H131" s="565"/>
    </row>
    <row r="132" spans="2:8" s="136" customFormat="1" x14ac:dyDescent="0.2">
      <c r="B132" s="135"/>
      <c r="C132" s="1811" t="s">
        <v>241</v>
      </c>
      <c r="D132" s="239" t="s">
        <v>149</v>
      </c>
      <c r="E132" s="240">
        <v>4</v>
      </c>
      <c r="F132" s="273">
        <v>0</v>
      </c>
      <c r="G132" s="274">
        <f t="shared" si="9"/>
        <v>0</v>
      </c>
      <c r="H132" s="565"/>
    </row>
    <row r="133" spans="2:8" s="136" customFormat="1" x14ac:dyDescent="0.2">
      <c r="B133" s="135"/>
      <c r="C133" s="1811" t="s">
        <v>242</v>
      </c>
      <c r="D133" s="239" t="s">
        <v>149</v>
      </c>
      <c r="E133" s="240">
        <v>4</v>
      </c>
      <c r="F133" s="273">
        <v>0</v>
      </c>
      <c r="G133" s="274">
        <f t="shared" si="9"/>
        <v>0</v>
      </c>
      <c r="H133" s="565"/>
    </row>
    <row r="134" spans="2:8" s="136" customFormat="1" x14ac:dyDescent="0.2">
      <c r="B134" s="135"/>
      <c r="C134" s="1811" t="s">
        <v>197</v>
      </c>
      <c r="D134" s="239" t="s">
        <v>149</v>
      </c>
      <c r="E134" s="240">
        <v>2</v>
      </c>
      <c r="F134" s="273">
        <v>0</v>
      </c>
      <c r="G134" s="274">
        <f t="shared" si="9"/>
        <v>0</v>
      </c>
      <c r="H134" s="565"/>
    </row>
    <row r="135" spans="2:8" s="136" customFormat="1" x14ac:dyDescent="0.2">
      <c r="B135" s="135"/>
      <c r="C135" s="1812" t="s">
        <v>198</v>
      </c>
      <c r="D135" s="239" t="s">
        <v>149</v>
      </c>
      <c r="E135" s="240">
        <v>2</v>
      </c>
      <c r="F135" s="273">
        <v>0</v>
      </c>
      <c r="G135" s="274">
        <f t="shared" si="9"/>
        <v>0</v>
      </c>
      <c r="H135" s="565"/>
    </row>
    <row r="136" spans="2:8" s="136" customFormat="1" x14ac:dyDescent="0.2">
      <c r="B136" s="292" t="s">
        <v>199</v>
      </c>
      <c r="C136" s="247" t="s">
        <v>200</v>
      </c>
      <c r="D136" s="202"/>
      <c r="E136" s="248"/>
      <c r="F136" s="249"/>
      <c r="G136" s="205"/>
      <c r="H136" s="565"/>
    </row>
    <row r="137" spans="2:8" s="136" customFormat="1" x14ac:dyDescent="0.2">
      <c r="B137" s="292"/>
      <c r="C137" s="247" t="s">
        <v>1769</v>
      </c>
      <c r="D137" s="202"/>
      <c r="E137" s="248"/>
      <c r="F137" s="249">
        <v>0</v>
      </c>
      <c r="G137" s="205"/>
      <c r="H137" s="565"/>
    </row>
    <row r="138" spans="2:8" s="136" customFormat="1" ht="26.25" customHeight="1" x14ac:dyDescent="0.2">
      <c r="B138" s="135"/>
      <c r="C138" s="250" t="s">
        <v>202</v>
      </c>
      <c r="D138" s="202" t="s">
        <v>149</v>
      </c>
      <c r="E138" s="248">
        <v>1</v>
      </c>
      <c r="F138" s="275">
        <v>0</v>
      </c>
      <c r="G138" s="276">
        <f t="shared" ref="G138:G142" si="10">E138*F138</f>
        <v>0</v>
      </c>
      <c r="H138" s="565"/>
    </row>
    <row r="139" spans="2:8" s="136" customFormat="1" x14ac:dyDescent="0.2">
      <c r="B139" s="135"/>
      <c r="C139" s="1813" t="s">
        <v>1723</v>
      </c>
      <c r="D139" s="202" t="s">
        <v>149</v>
      </c>
      <c r="E139" s="248">
        <v>2</v>
      </c>
      <c r="F139" s="275">
        <v>0</v>
      </c>
      <c r="G139" s="276">
        <f t="shared" si="10"/>
        <v>0</v>
      </c>
      <c r="H139" s="565"/>
    </row>
    <row r="140" spans="2:8" s="136" customFormat="1" x14ac:dyDescent="0.2">
      <c r="B140" s="135"/>
      <c r="C140" s="1813" t="s">
        <v>1770</v>
      </c>
      <c r="D140" s="202" t="s">
        <v>149</v>
      </c>
      <c r="E140" s="248">
        <v>2</v>
      </c>
      <c r="F140" s="275">
        <v>0</v>
      </c>
      <c r="G140" s="276">
        <f t="shared" si="10"/>
        <v>0</v>
      </c>
      <c r="H140" s="565"/>
    </row>
    <row r="141" spans="2:8" s="136" customFormat="1" x14ac:dyDescent="0.2">
      <c r="B141" s="135"/>
      <c r="C141" s="1813" t="s">
        <v>203</v>
      </c>
      <c r="D141" s="202" t="s">
        <v>149</v>
      </c>
      <c r="E141" s="248">
        <v>1</v>
      </c>
      <c r="F141" s="275">
        <v>0</v>
      </c>
      <c r="G141" s="276">
        <f t="shared" si="10"/>
        <v>0</v>
      </c>
      <c r="H141" s="565"/>
    </row>
    <row r="142" spans="2:8" s="136" customFormat="1" x14ac:dyDescent="0.2">
      <c r="B142" s="135"/>
      <c r="C142" s="1818" t="s">
        <v>1725</v>
      </c>
      <c r="D142" s="202" t="s">
        <v>149</v>
      </c>
      <c r="E142" s="248">
        <v>1</v>
      </c>
      <c r="F142" s="275">
        <v>0</v>
      </c>
      <c r="G142" s="276">
        <f t="shared" si="10"/>
        <v>0</v>
      </c>
      <c r="H142" s="565"/>
    </row>
    <row r="143" spans="2:8" s="136" customFormat="1" x14ac:dyDescent="0.2">
      <c r="B143" s="135"/>
      <c r="C143" s="247" t="s">
        <v>201</v>
      </c>
      <c r="D143" s="202"/>
      <c r="E143" s="248"/>
      <c r="F143" s="249">
        <v>0</v>
      </c>
      <c r="G143" s="205"/>
      <c r="H143" s="565"/>
    </row>
    <row r="144" spans="2:8" s="136" customFormat="1" ht="24.75" customHeight="1" x14ac:dyDescent="0.2">
      <c r="B144" s="135"/>
      <c r="C144" s="250" t="s">
        <v>202</v>
      </c>
      <c r="D144" s="202" t="s">
        <v>149</v>
      </c>
      <c r="E144" s="248">
        <v>2</v>
      </c>
      <c r="F144" s="275">
        <v>0</v>
      </c>
      <c r="G144" s="276">
        <f t="shared" ref="G144:G146" si="11">E144*F144</f>
        <v>0</v>
      </c>
      <c r="H144" s="565"/>
    </row>
    <row r="145" spans="2:8" s="136" customFormat="1" x14ac:dyDescent="0.2">
      <c r="B145" s="135"/>
      <c r="C145" s="1813" t="s">
        <v>203</v>
      </c>
      <c r="D145" s="202" t="s">
        <v>149</v>
      </c>
      <c r="E145" s="248">
        <v>2</v>
      </c>
      <c r="F145" s="275">
        <v>0</v>
      </c>
      <c r="G145" s="276">
        <f t="shared" si="11"/>
        <v>0</v>
      </c>
      <c r="H145" s="565"/>
    </row>
    <row r="146" spans="2:8" s="136" customFormat="1" x14ac:dyDescent="0.2">
      <c r="B146" s="135"/>
      <c r="C146" s="1818" t="s">
        <v>1725</v>
      </c>
      <c r="D146" s="202" t="s">
        <v>149</v>
      </c>
      <c r="E146" s="248">
        <v>2</v>
      </c>
      <c r="F146" s="275">
        <v>0</v>
      </c>
      <c r="G146" s="276">
        <f t="shared" si="11"/>
        <v>0</v>
      </c>
      <c r="H146" s="565"/>
    </row>
    <row r="147" spans="2:8" s="136" customFormat="1" x14ac:dyDescent="0.2">
      <c r="B147" s="292" t="s">
        <v>204</v>
      </c>
      <c r="C147" s="238" t="s">
        <v>221</v>
      </c>
      <c r="D147" s="239"/>
      <c r="E147" s="240"/>
      <c r="F147" s="241"/>
      <c r="G147" s="242"/>
      <c r="H147" s="565"/>
    </row>
    <row r="148" spans="2:8" s="136" customFormat="1" x14ac:dyDescent="0.2">
      <c r="B148" s="135"/>
      <c r="C148" s="238" t="s">
        <v>222</v>
      </c>
      <c r="D148" s="239"/>
      <c r="E148" s="240"/>
      <c r="F148" s="241">
        <v>0</v>
      </c>
      <c r="G148" s="242"/>
      <c r="H148" s="565"/>
    </row>
    <row r="149" spans="2:8" s="136" customFormat="1" x14ac:dyDescent="0.2">
      <c r="B149" s="135"/>
      <c r="C149" s="243" t="s">
        <v>207</v>
      </c>
      <c r="D149" s="239" t="s">
        <v>149</v>
      </c>
      <c r="E149" s="240">
        <v>1</v>
      </c>
      <c r="F149" s="273">
        <v>0</v>
      </c>
      <c r="G149" s="274">
        <f t="shared" ref="G149:G160" si="12">E149*F149</f>
        <v>0</v>
      </c>
      <c r="H149" s="565"/>
    </row>
    <row r="150" spans="2:8" s="136" customFormat="1" ht="24" x14ac:dyDescent="0.2">
      <c r="B150" s="135"/>
      <c r="C150" s="244" t="s">
        <v>223</v>
      </c>
      <c r="D150" s="239" t="s">
        <v>149</v>
      </c>
      <c r="E150" s="240">
        <v>1</v>
      </c>
      <c r="F150" s="273">
        <v>0</v>
      </c>
      <c r="G150" s="274">
        <f t="shared" si="12"/>
        <v>0</v>
      </c>
      <c r="H150" s="565"/>
    </row>
    <row r="151" spans="2:8" s="136" customFormat="1" x14ac:dyDescent="0.2">
      <c r="B151" s="135"/>
      <c r="C151" s="244" t="s">
        <v>213</v>
      </c>
      <c r="D151" s="239" t="s">
        <v>149</v>
      </c>
      <c r="E151" s="240">
        <v>1</v>
      </c>
      <c r="F151" s="273">
        <v>0</v>
      </c>
      <c r="G151" s="274">
        <f t="shared" si="12"/>
        <v>0</v>
      </c>
      <c r="H151" s="565"/>
    </row>
    <row r="152" spans="2:8" s="136" customFormat="1" x14ac:dyDescent="0.2">
      <c r="B152" s="135"/>
      <c r="C152" s="244" t="s">
        <v>224</v>
      </c>
      <c r="D152" s="239" t="s">
        <v>149</v>
      </c>
      <c r="E152" s="240">
        <v>1</v>
      </c>
      <c r="F152" s="273">
        <v>0</v>
      </c>
      <c r="G152" s="274">
        <f t="shared" si="12"/>
        <v>0</v>
      </c>
      <c r="H152" s="565"/>
    </row>
    <row r="153" spans="2:8" s="136" customFormat="1" x14ac:dyDescent="0.2">
      <c r="B153" s="135"/>
      <c r="C153" s="244" t="s">
        <v>225</v>
      </c>
      <c r="D153" s="239" t="s">
        <v>149</v>
      </c>
      <c r="E153" s="240">
        <v>1</v>
      </c>
      <c r="F153" s="273">
        <v>0</v>
      </c>
      <c r="G153" s="274">
        <f t="shared" si="12"/>
        <v>0</v>
      </c>
      <c r="H153" s="565"/>
    </row>
    <row r="154" spans="2:8" s="136" customFormat="1" x14ac:dyDescent="0.2">
      <c r="B154" s="135"/>
      <c r="C154" s="1811" t="s">
        <v>226</v>
      </c>
      <c r="D154" s="239" t="s">
        <v>149</v>
      </c>
      <c r="E154" s="240">
        <v>1</v>
      </c>
      <c r="F154" s="273">
        <v>0</v>
      </c>
      <c r="G154" s="274">
        <f t="shared" si="12"/>
        <v>0</v>
      </c>
      <c r="H154" s="565"/>
    </row>
    <row r="155" spans="2:8" s="136" customFormat="1" x14ac:dyDescent="0.2">
      <c r="B155" s="135"/>
      <c r="C155" s="1811" t="s">
        <v>217</v>
      </c>
      <c r="D155" s="239" t="s">
        <v>149</v>
      </c>
      <c r="E155" s="240">
        <v>1</v>
      </c>
      <c r="F155" s="273">
        <v>0</v>
      </c>
      <c r="G155" s="274">
        <f t="shared" si="12"/>
        <v>0</v>
      </c>
      <c r="H155" s="565"/>
    </row>
    <row r="156" spans="2:8" s="136" customFormat="1" x14ac:dyDescent="0.2">
      <c r="B156" s="135"/>
      <c r="C156" s="1811" t="s">
        <v>195</v>
      </c>
      <c r="D156" s="239" t="s">
        <v>149</v>
      </c>
      <c r="E156" s="240">
        <v>2</v>
      </c>
      <c r="F156" s="273">
        <v>0</v>
      </c>
      <c r="G156" s="274">
        <f t="shared" si="12"/>
        <v>0</v>
      </c>
      <c r="H156" s="565"/>
    </row>
    <row r="157" spans="2:8" s="136" customFormat="1" x14ac:dyDescent="0.2">
      <c r="B157" s="135"/>
      <c r="C157" s="1811" t="s">
        <v>218</v>
      </c>
      <c r="D157" s="239" t="s">
        <v>149</v>
      </c>
      <c r="E157" s="240">
        <v>2</v>
      </c>
      <c r="F157" s="273">
        <v>0</v>
      </c>
      <c r="G157" s="274">
        <f t="shared" si="12"/>
        <v>0</v>
      </c>
      <c r="H157" s="565"/>
    </row>
    <row r="158" spans="2:8" s="136" customFormat="1" x14ac:dyDescent="0.2">
      <c r="B158" s="135"/>
      <c r="C158" s="1811" t="s">
        <v>227</v>
      </c>
      <c r="D158" s="239" t="s">
        <v>149</v>
      </c>
      <c r="E158" s="240">
        <v>1</v>
      </c>
      <c r="F158" s="273">
        <v>0</v>
      </c>
      <c r="G158" s="274">
        <f t="shared" si="12"/>
        <v>0</v>
      </c>
      <c r="H158" s="565"/>
    </row>
    <row r="159" spans="2:8" s="136" customFormat="1" x14ac:dyDescent="0.2">
      <c r="B159" s="135"/>
      <c r="C159" s="1812" t="s">
        <v>198</v>
      </c>
      <c r="D159" s="239" t="s">
        <v>149</v>
      </c>
      <c r="E159" s="240">
        <v>1</v>
      </c>
      <c r="F159" s="273">
        <v>0</v>
      </c>
      <c r="G159" s="274">
        <f t="shared" si="12"/>
        <v>0</v>
      </c>
      <c r="H159" s="565"/>
    </row>
    <row r="160" spans="2:8" s="136" customFormat="1" ht="24" x14ac:dyDescent="0.2">
      <c r="B160" s="309" t="s">
        <v>1786</v>
      </c>
      <c r="C160" s="238" t="s">
        <v>229</v>
      </c>
      <c r="D160" s="239" t="s">
        <v>149</v>
      </c>
      <c r="E160" s="240">
        <v>1</v>
      </c>
      <c r="F160" s="273">
        <v>0</v>
      </c>
      <c r="G160" s="274">
        <f t="shared" si="12"/>
        <v>0</v>
      </c>
      <c r="H160" s="565"/>
    </row>
    <row r="161" spans="2:8" s="136" customFormat="1" x14ac:dyDescent="0.2">
      <c r="B161" s="292" t="s">
        <v>220</v>
      </c>
      <c r="C161" s="247" t="s">
        <v>331</v>
      </c>
      <c r="D161" s="247"/>
      <c r="E161" s="247"/>
      <c r="F161" s="247"/>
      <c r="G161" s="247"/>
      <c r="H161" s="565"/>
    </row>
    <row r="162" spans="2:8" s="136" customFormat="1" x14ac:dyDescent="0.2">
      <c r="B162" s="135"/>
      <c r="C162" s="247" t="s">
        <v>1772</v>
      </c>
      <c r="D162" s="202"/>
      <c r="E162" s="248"/>
      <c r="F162" s="249">
        <v>0</v>
      </c>
      <c r="G162" s="205"/>
      <c r="H162" s="565"/>
    </row>
    <row r="163" spans="2:8" s="136" customFormat="1" ht="24" x14ac:dyDescent="0.2">
      <c r="B163" s="135"/>
      <c r="C163" s="262" t="s">
        <v>1760</v>
      </c>
      <c r="D163" s="202" t="s">
        <v>149</v>
      </c>
      <c r="E163" s="248">
        <v>1</v>
      </c>
      <c r="F163" s="275">
        <v>0</v>
      </c>
      <c r="G163" s="276">
        <f t="shared" ref="G163:G167" si="13">E163*F163</f>
        <v>0</v>
      </c>
      <c r="H163" s="565"/>
    </row>
    <row r="164" spans="2:8" s="136" customFormat="1" x14ac:dyDescent="0.2">
      <c r="B164" s="135"/>
      <c r="C164" s="1814" t="s">
        <v>195</v>
      </c>
      <c r="D164" s="202" t="s">
        <v>149</v>
      </c>
      <c r="E164" s="248">
        <v>2</v>
      </c>
      <c r="F164" s="275">
        <v>0</v>
      </c>
      <c r="G164" s="276">
        <f t="shared" si="13"/>
        <v>0</v>
      </c>
      <c r="H164" s="565"/>
    </row>
    <row r="165" spans="2:8" s="136" customFormat="1" x14ac:dyDescent="0.2">
      <c r="B165" s="135"/>
      <c r="C165" s="1814" t="s">
        <v>218</v>
      </c>
      <c r="D165" s="202" t="s">
        <v>149</v>
      </c>
      <c r="E165" s="248">
        <v>2</v>
      </c>
      <c r="F165" s="275">
        <v>0</v>
      </c>
      <c r="G165" s="276">
        <f t="shared" si="13"/>
        <v>0</v>
      </c>
      <c r="H165" s="565"/>
    </row>
    <row r="166" spans="2:8" s="136" customFormat="1" x14ac:dyDescent="0.2">
      <c r="B166" s="135"/>
      <c r="C166" s="1814" t="s">
        <v>227</v>
      </c>
      <c r="D166" s="202" t="s">
        <v>149</v>
      </c>
      <c r="E166" s="248">
        <v>1</v>
      </c>
      <c r="F166" s="275">
        <v>0</v>
      </c>
      <c r="G166" s="276">
        <f t="shared" si="13"/>
        <v>0</v>
      </c>
      <c r="H166" s="565"/>
    </row>
    <row r="167" spans="2:8" s="136" customFormat="1" x14ac:dyDescent="0.2">
      <c r="B167" s="135"/>
      <c r="C167" s="1815" t="s">
        <v>198</v>
      </c>
      <c r="D167" s="202" t="s">
        <v>149</v>
      </c>
      <c r="E167" s="248">
        <v>1</v>
      </c>
      <c r="F167" s="275">
        <v>0</v>
      </c>
      <c r="G167" s="276">
        <f t="shared" si="13"/>
        <v>0</v>
      </c>
      <c r="H167" s="565"/>
    </row>
    <row r="168" spans="2:8" s="136" customFormat="1" x14ac:dyDescent="0.2">
      <c r="B168" s="292" t="s">
        <v>330</v>
      </c>
      <c r="C168" s="253" t="s">
        <v>231</v>
      </c>
      <c r="D168" s="254"/>
      <c r="E168" s="255"/>
      <c r="F168" s="256"/>
      <c r="G168" s="257"/>
      <c r="H168" s="565"/>
    </row>
    <row r="169" spans="2:8" s="136" customFormat="1" x14ac:dyDescent="0.2">
      <c r="B169" s="135"/>
      <c r="C169" s="253" t="s">
        <v>1724</v>
      </c>
      <c r="D169" s="254"/>
      <c r="E169" s="255"/>
      <c r="F169" s="256">
        <v>0</v>
      </c>
      <c r="G169" s="257"/>
      <c r="H169" s="565"/>
    </row>
    <row r="170" spans="2:8" s="136" customFormat="1" ht="24" x14ac:dyDescent="0.2">
      <c r="B170" s="135"/>
      <c r="C170" s="258" t="s">
        <v>1097</v>
      </c>
      <c r="D170" s="254" t="s">
        <v>149</v>
      </c>
      <c r="E170" s="255">
        <v>1</v>
      </c>
      <c r="F170" s="277">
        <v>0</v>
      </c>
      <c r="G170" s="278">
        <f t="shared" ref="G170:G175" si="14">E170*F170</f>
        <v>0</v>
      </c>
      <c r="H170" s="565"/>
    </row>
    <row r="171" spans="2:8" s="136" customFormat="1" x14ac:dyDescent="0.2">
      <c r="B171" s="135"/>
      <c r="C171" s="1819" t="s">
        <v>354</v>
      </c>
      <c r="D171" s="254" t="s">
        <v>149</v>
      </c>
      <c r="E171" s="255">
        <v>2</v>
      </c>
      <c r="F171" s="277">
        <v>0</v>
      </c>
      <c r="G171" s="278">
        <f t="shared" si="14"/>
        <v>0</v>
      </c>
      <c r="H171" s="565"/>
    </row>
    <row r="172" spans="2:8" s="136" customFormat="1" x14ac:dyDescent="0.2">
      <c r="B172" s="135"/>
      <c r="C172" s="1819" t="s">
        <v>195</v>
      </c>
      <c r="D172" s="254" t="s">
        <v>149</v>
      </c>
      <c r="E172" s="255">
        <v>1</v>
      </c>
      <c r="F172" s="277">
        <v>0</v>
      </c>
      <c r="G172" s="278">
        <f t="shared" si="14"/>
        <v>0</v>
      </c>
      <c r="H172" s="565"/>
    </row>
    <row r="173" spans="2:8" s="136" customFormat="1" x14ac:dyDescent="0.2">
      <c r="B173" s="135"/>
      <c r="C173" s="1819" t="s">
        <v>1723</v>
      </c>
      <c r="D173" s="254" t="s">
        <v>149</v>
      </c>
      <c r="E173" s="255">
        <v>1</v>
      </c>
      <c r="F173" s="277">
        <v>0</v>
      </c>
      <c r="G173" s="278">
        <f t="shared" si="14"/>
        <v>0</v>
      </c>
      <c r="H173" s="565"/>
    </row>
    <row r="174" spans="2:8" s="136" customFormat="1" x14ac:dyDescent="0.2">
      <c r="B174" s="135"/>
      <c r="C174" s="1819" t="s">
        <v>227</v>
      </c>
      <c r="D174" s="254" t="s">
        <v>149</v>
      </c>
      <c r="E174" s="255">
        <v>1</v>
      </c>
      <c r="F174" s="277">
        <v>0</v>
      </c>
      <c r="G174" s="278">
        <f t="shared" si="14"/>
        <v>0</v>
      </c>
      <c r="H174" s="565"/>
    </row>
    <row r="175" spans="2:8" s="136" customFormat="1" x14ac:dyDescent="0.2">
      <c r="B175" s="135"/>
      <c r="C175" s="1820" t="s">
        <v>1725</v>
      </c>
      <c r="D175" s="254" t="s">
        <v>149</v>
      </c>
      <c r="E175" s="255">
        <v>1</v>
      </c>
      <c r="F175" s="277">
        <v>0</v>
      </c>
      <c r="G175" s="278">
        <f t="shared" si="14"/>
        <v>0</v>
      </c>
      <c r="H175" s="565"/>
    </row>
    <row r="176" spans="2:8" s="136" customFormat="1" x14ac:dyDescent="0.2">
      <c r="B176" s="135"/>
      <c r="C176" s="253" t="s">
        <v>237</v>
      </c>
      <c r="D176" s="254"/>
      <c r="E176" s="255"/>
      <c r="F176" s="256">
        <v>0</v>
      </c>
      <c r="G176" s="257"/>
      <c r="H176" s="565"/>
    </row>
    <row r="177" spans="2:8" s="136" customFormat="1" ht="24" x14ac:dyDescent="0.2">
      <c r="B177" s="135"/>
      <c r="C177" s="258" t="s">
        <v>238</v>
      </c>
      <c r="D177" s="254" t="s">
        <v>149</v>
      </c>
      <c r="E177" s="255">
        <v>1</v>
      </c>
      <c r="F177" s="277">
        <v>0</v>
      </c>
      <c r="G177" s="278">
        <f t="shared" ref="G177:G185" si="15">E177*F177</f>
        <v>0</v>
      </c>
      <c r="H177" s="565"/>
    </row>
    <row r="178" spans="2:8" s="136" customFormat="1" x14ac:dyDescent="0.2">
      <c r="B178" s="135"/>
      <c r="C178" s="1819" t="s">
        <v>195</v>
      </c>
      <c r="D178" s="254" t="s">
        <v>149</v>
      </c>
      <c r="E178" s="255">
        <v>2</v>
      </c>
      <c r="F178" s="277">
        <v>0</v>
      </c>
      <c r="G178" s="278">
        <f t="shared" si="15"/>
        <v>0</v>
      </c>
      <c r="H178" s="565"/>
    </row>
    <row r="179" spans="2:8" s="136" customFormat="1" x14ac:dyDescent="0.2">
      <c r="B179" s="135"/>
      <c r="C179" s="1819" t="s">
        <v>239</v>
      </c>
      <c r="D179" s="254" t="s">
        <v>149</v>
      </c>
      <c r="E179" s="255">
        <v>1</v>
      </c>
      <c r="F179" s="277">
        <v>0</v>
      </c>
      <c r="G179" s="278">
        <f t="shared" si="15"/>
        <v>0</v>
      </c>
      <c r="H179" s="565"/>
    </row>
    <row r="180" spans="2:8" x14ac:dyDescent="0.2">
      <c r="B180" s="135"/>
      <c r="C180" s="1819" t="s">
        <v>1723</v>
      </c>
      <c r="D180" s="254" t="s">
        <v>149</v>
      </c>
      <c r="E180" s="255">
        <v>2</v>
      </c>
      <c r="F180" s="277">
        <v>0</v>
      </c>
      <c r="G180" s="278">
        <f t="shared" si="15"/>
        <v>0</v>
      </c>
    </row>
    <row r="181" spans="2:8" s="136" customFormat="1" x14ac:dyDescent="0.2">
      <c r="B181" s="135"/>
      <c r="C181" s="1819" t="s">
        <v>1761</v>
      </c>
      <c r="D181" s="254" t="s">
        <v>149</v>
      </c>
      <c r="E181" s="255">
        <v>1</v>
      </c>
      <c r="F181" s="277">
        <v>0</v>
      </c>
      <c r="G181" s="278">
        <f t="shared" si="15"/>
        <v>0</v>
      </c>
      <c r="H181" s="565"/>
    </row>
    <row r="182" spans="2:8" s="136" customFormat="1" x14ac:dyDescent="0.2">
      <c r="B182" s="135"/>
      <c r="C182" s="1819" t="s">
        <v>1774</v>
      </c>
      <c r="D182" s="254" t="s">
        <v>149</v>
      </c>
      <c r="E182" s="255">
        <v>1</v>
      </c>
      <c r="F182" s="277">
        <v>0</v>
      </c>
      <c r="G182" s="278">
        <f t="shared" si="15"/>
        <v>0</v>
      </c>
      <c r="H182" s="565"/>
    </row>
    <row r="183" spans="2:8" s="136" customFormat="1" x14ac:dyDescent="0.2">
      <c r="B183" s="135"/>
      <c r="C183" s="1819" t="s">
        <v>1775</v>
      </c>
      <c r="D183" s="254" t="s">
        <v>149</v>
      </c>
      <c r="E183" s="255">
        <v>1</v>
      </c>
      <c r="F183" s="277">
        <v>0</v>
      </c>
      <c r="G183" s="278">
        <f t="shared" si="15"/>
        <v>0</v>
      </c>
      <c r="H183" s="565"/>
    </row>
    <row r="184" spans="2:8" s="136" customFormat="1" x14ac:dyDescent="0.2">
      <c r="B184" s="135"/>
      <c r="C184" s="1819" t="s">
        <v>227</v>
      </c>
      <c r="D184" s="254" t="s">
        <v>149</v>
      </c>
      <c r="E184" s="255">
        <v>1</v>
      </c>
      <c r="F184" s="277">
        <v>0</v>
      </c>
      <c r="G184" s="278">
        <f t="shared" si="15"/>
        <v>0</v>
      </c>
      <c r="H184" s="565"/>
    </row>
    <row r="185" spans="2:8" s="136" customFormat="1" x14ac:dyDescent="0.2">
      <c r="B185" s="135"/>
      <c r="C185" s="1820" t="s">
        <v>1725</v>
      </c>
      <c r="D185" s="254" t="s">
        <v>149</v>
      </c>
      <c r="E185" s="255">
        <v>1</v>
      </c>
      <c r="F185" s="277">
        <v>0</v>
      </c>
      <c r="G185" s="278">
        <f t="shared" si="15"/>
        <v>0</v>
      </c>
      <c r="H185" s="565"/>
    </row>
    <row r="186" spans="2:8" s="136" customFormat="1" x14ac:dyDescent="0.2">
      <c r="B186" s="135"/>
      <c r="C186" s="253" t="s">
        <v>845</v>
      </c>
      <c r="D186" s="254"/>
      <c r="E186" s="255"/>
      <c r="F186" s="256">
        <v>0</v>
      </c>
      <c r="G186" s="257"/>
      <c r="H186" s="565"/>
    </row>
    <row r="187" spans="2:8" s="136" customFormat="1" ht="24" x14ac:dyDescent="0.2">
      <c r="B187" s="135"/>
      <c r="C187" s="258" t="s">
        <v>1679</v>
      </c>
      <c r="D187" s="254" t="s">
        <v>149</v>
      </c>
      <c r="E187" s="255">
        <v>2</v>
      </c>
      <c r="F187" s="277">
        <v>0</v>
      </c>
      <c r="G187" s="278">
        <f t="shared" ref="G187:G193" si="16">E187*F187</f>
        <v>0</v>
      </c>
      <c r="H187" s="565"/>
    </row>
    <row r="188" spans="2:8" s="136" customFormat="1" x14ac:dyDescent="0.2">
      <c r="B188" s="135"/>
      <c r="C188" s="1816" t="s">
        <v>239</v>
      </c>
      <c r="D188" s="254" t="s">
        <v>149</v>
      </c>
      <c r="E188" s="255">
        <v>6</v>
      </c>
      <c r="F188" s="277">
        <v>0</v>
      </c>
      <c r="G188" s="278">
        <f t="shared" si="16"/>
        <v>0</v>
      </c>
      <c r="H188" s="565"/>
    </row>
    <row r="189" spans="2:8" s="136" customFormat="1" x14ac:dyDescent="0.2">
      <c r="B189" s="135"/>
      <c r="C189" s="1816" t="s">
        <v>240</v>
      </c>
      <c r="D189" s="254" t="s">
        <v>149</v>
      </c>
      <c r="E189" s="255">
        <v>6</v>
      </c>
      <c r="F189" s="277">
        <v>0</v>
      </c>
      <c r="G189" s="278">
        <f t="shared" si="16"/>
        <v>0</v>
      </c>
      <c r="H189" s="565"/>
    </row>
    <row r="190" spans="2:8" s="136" customFormat="1" x14ac:dyDescent="0.2">
      <c r="B190" s="135"/>
      <c r="C190" s="1816" t="s">
        <v>241</v>
      </c>
      <c r="D190" s="254" t="s">
        <v>149</v>
      </c>
      <c r="E190" s="255">
        <v>6</v>
      </c>
      <c r="F190" s="277">
        <v>0</v>
      </c>
      <c r="G190" s="278">
        <f t="shared" si="16"/>
        <v>0</v>
      </c>
      <c r="H190" s="565"/>
    </row>
    <row r="191" spans="2:8" s="136" customFormat="1" x14ac:dyDescent="0.2">
      <c r="B191" s="135"/>
      <c r="C191" s="1816" t="s">
        <v>242</v>
      </c>
      <c r="D191" s="254" t="s">
        <v>149</v>
      </c>
      <c r="E191" s="255">
        <v>6</v>
      </c>
      <c r="F191" s="277">
        <v>0</v>
      </c>
      <c r="G191" s="278">
        <f t="shared" si="16"/>
        <v>0</v>
      </c>
      <c r="H191" s="565"/>
    </row>
    <row r="192" spans="2:8" s="136" customFormat="1" x14ac:dyDescent="0.2">
      <c r="B192" s="135"/>
      <c r="C192" s="1816" t="s">
        <v>227</v>
      </c>
      <c r="D192" s="254" t="s">
        <v>149</v>
      </c>
      <c r="E192" s="255">
        <v>2</v>
      </c>
      <c r="F192" s="277">
        <v>0</v>
      </c>
      <c r="G192" s="278">
        <f t="shared" si="16"/>
        <v>0</v>
      </c>
      <c r="H192" s="565"/>
    </row>
    <row r="193" spans="2:8" s="136" customFormat="1" x14ac:dyDescent="0.2">
      <c r="B193" s="135"/>
      <c r="C193" s="1817" t="s">
        <v>198</v>
      </c>
      <c r="D193" s="254" t="s">
        <v>149</v>
      </c>
      <c r="E193" s="255">
        <v>2</v>
      </c>
      <c r="F193" s="277">
        <v>0</v>
      </c>
      <c r="G193" s="278">
        <f t="shared" si="16"/>
        <v>0</v>
      </c>
      <c r="H193" s="565"/>
    </row>
    <row r="194" spans="2:8" s="136" customFormat="1" x14ac:dyDescent="0.2">
      <c r="B194" s="292" t="s">
        <v>230</v>
      </c>
      <c r="C194" s="247" t="s">
        <v>244</v>
      </c>
      <c r="D194" s="202"/>
      <c r="E194" s="248"/>
      <c r="F194" s="249"/>
      <c r="G194" s="205"/>
      <c r="H194" s="565"/>
    </row>
    <row r="195" spans="2:8" s="136" customFormat="1" x14ac:dyDescent="0.2">
      <c r="B195" s="135"/>
      <c r="C195" s="247" t="s">
        <v>249</v>
      </c>
      <c r="D195" s="202"/>
      <c r="E195" s="248"/>
      <c r="F195" s="249">
        <v>0</v>
      </c>
      <c r="G195" s="205"/>
      <c r="H195" s="565"/>
    </row>
    <row r="196" spans="2:8" s="136" customFormat="1" ht="36" x14ac:dyDescent="0.2">
      <c r="B196" s="135"/>
      <c r="C196" s="262" t="s">
        <v>250</v>
      </c>
      <c r="D196" s="202" t="s">
        <v>149</v>
      </c>
      <c r="E196" s="248">
        <v>1</v>
      </c>
      <c r="F196" s="275">
        <v>0</v>
      </c>
      <c r="G196" s="276">
        <f t="shared" ref="G196:G198" si="17">E196*F196</f>
        <v>0</v>
      </c>
      <c r="H196" s="565"/>
    </row>
    <row r="197" spans="2:8" s="136" customFormat="1" x14ac:dyDescent="0.2">
      <c r="B197" s="135"/>
      <c r="C197" s="1814" t="s">
        <v>247</v>
      </c>
      <c r="D197" s="202" t="s">
        <v>149</v>
      </c>
      <c r="E197" s="248">
        <v>1</v>
      </c>
      <c r="F197" s="275">
        <v>0</v>
      </c>
      <c r="G197" s="276">
        <f t="shared" si="17"/>
        <v>0</v>
      </c>
      <c r="H197" s="565"/>
    </row>
    <row r="198" spans="2:8" s="136" customFormat="1" x14ac:dyDescent="0.2">
      <c r="B198" s="135"/>
      <c r="C198" s="1815" t="s">
        <v>198</v>
      </c>
      <c r="D198" s="202" t="s">
        <v>149</v>
      </c>
      <c r="E198" s="248">
        <v>1</v>
      </c>
      <c r="F198" s="275">
        <v>0</v>
      </c>
      <c r="G198" s="276">
        <f t="shared" si="17"/>
        <v>0</v>
      </c>
      <c r="H198" s="565"/>
    </row>
    <row r="199" spans="2:8" s="136" customFormat="1" x14ac:dyDescent="0.2">
      <c r="B199" s="135"/>
      <c r="C199" s="247" t="s">
        <v>826</v>
      </c>
      <c r="D199" s="202"/>
      <c r="E199" s="248"/>
      <c r="F199" s="249">
        <v>0</v>
      </c>
      <c r="G199" s="205"/>
      <c r="H199" s="565"/>
    </row>
    <row r="200" spans="2:8" s="136" customFormat="1" ht="36" x14ac:dyDescent="0.2">
      <c r="B200" s="135"/>
      <c r="C200" s="262" t="s">
        <v>827</v>
      </c>
      <c r="D200" s="202" t="s">
        <v>149</v>
      </c>
      <c r="E200" s="248">
        <v>4</v>
      </c>
      <c r="F200" s="275">
        <v>0</v>
      </c>
      <c r="G200" s="276">
        <f t="shared" ref="G200:G202" si="18">E200*F200</f>
        <v>0</v>
      </c>
      <c r="H200" s="565"/>
    </row>
    <row r="201" spans="2:8" s="136" customFormat="1" x14ac:dyDescent="0.2">
      <c r="B201" s="135"/>
      <c r="C201" s="1814" t="s">
        <v>247</v>
      </c>
      <c r="D201" s="202" t="s">
        <v>149</v>
      </c>
      <c r="E201" s="248">
        <v>4</v>
      </c>
      <c r="F201" s="275">
        <v>0</v>
      </c>
      <c r="G201" s="276">
        <f t="shared" si="18"/>
        <v>0</v>
      </c>
      <c r="H201" s="565"/>
    </row>
    <row r="202" spans="2:8" s="136" customFormat="1" x14ac:dyDescent="0.2">
      <c r="B202" s="135"/>
      <c r="C202" s="1821" t="s">
        <v>248</v>
      </c>
      <c r="D202" s="202" t="s">
        <v>149</v>
      </c>
      <c r="E202" s="248">
        <v>4</v>
      </c>
      <c r="F202" s="275">
        <v>0</v>
      </c>
      <c r="G202" s="276">
        <f t="shared" si="18"/>
        <v>0</v>
      </c>
      <c r="H202" s="565"/>
    </row>
    <row r="203" spans="2:8" s="136" customFormat="1" x14ac:dyDescent="0.2">
      <c r="B203" s="135"/>
      <c r="C203" s="247" t="s">
        <v>828</v>
      </c>
      <c r="D203" s="202"/>
      <c r="E203" s="248"/>
      <c r="F203" s="249">
        <v>0</v>
      </c>
      <c r="G203" s="205"/>
      <c r="H203" s="565"/>
    </row>
    <row r="204" spans="2:8" s="136" customFormat="1" ht="36" x14ac:dyDescent="0.2">
      <c r="B204" s="135"/>
      <c r="C204" s="262" t="s">
        <v>829</v>
      </c>
      <c r="D204" s="202" t="s">
        <v>149</v>
      </c>
      <c r="E204" s="248">
        <v>16</v>
      </c>
      <c r="F204" s="275">
        <v>0</v>
      </c>
      <c r="G204" s="276">
        <f t="shared" ref="G204:G208" si="19">E204*F204</f>
        <v>0</v>
      </c>
      <c r="H204" s="565"/>
    </row>
    <row r="205" spans="2:8" s="136" customFormat="1" x14ac:dyDescent="0.2">
      <c r="B205" s="135"/>
      <c r="C205" s="1814" t="s">
        <v>247</v>
      </c>
      <c r="D205" s="202" t="s">
        <v>149</v>
      </c>
      <c r="E205" s="248">
        <v>16</v>
      </c>
      <c r="F205" s="275">
        <v>0</v>
      </c>
      <c r="G205" s="276">
        <f t="shared" si="19"/>
        <v>0</v>
      </c>
      <c r="H205" s="565"/>
    </row>
    <row r="206" spans="2:8" s="136" customFormat="1" x14ac:dyDescent="0.2">
      <c r="B206" s="135"/>
      <c r="C206" s="1815" t="s">
        <v>198</v>
      </c>
      <c r="D206" s="202" t="s">
        <v>149</v>
      </c>
      <c r="E206" s="248">
        <v>16</v>
      </c>
      <c r="F206" s="275">
        <v>0</v>
      </c>
      <c r="G206" s="276">
        <f t="shared" si="19"/>
        <v>0</v>
      </c>
      <c r="H206" s="565"/>
    </row>
    <row r="207" spans="2:8" s="136" customFormat="1" x14ac:dyDescent="0.2">
      <c r="B207" s="135"/>
      <c r="C207" s="1818" t="s">
        <v>1726</v>
      </c>
      <c r="D207" s="202" t="s">
        <v>149</v>
      </c>
      <c r="E207" s="248">
        <v>2</v>
      </c>
      <c r="F207" s="275">
        <v>0</v>
      </c>
      <c r="G207" s="276">
        <f t="shared" si="19"/>
        <v>0</v>
      </c>
      <c r="H207" s="565"/>
    </row>
    <row r="208" spans="2:8" x14ac:dyDescent="0.2">
      <c r="B208" s="135"/>
      <c r="C208" s="1818" t="s">
        <v>1727</v>
      </c>
      <c r="D208" s="202" t="s">
        <v>149</v>
      </c>
      <c r="E208" s="248">
        <v>2</v>
      </c>
      <c r="F208" s="275">
        <v>0</v>
      </c>
      <c r="G208" s="276">
        <f t="shared" si="19"/>
        <v>0</v>
      </c>
    </row>
    <row r="209" spans="2:8" x14ac:dyDescent="0.2">
      <c r="B209" s="292" t="s">
        <v>243</v>
      </c>
      <c r="C209" s="280" t="s">
        <v>300</v>
      </c>
      <c r="D209" s="281"/>
      <c r="E209" s="282"/>
      <c r="F209" s="283"/>
      <c r="G209" s="284"/>
    </row>
    <row r="210" spans="2:8" ht="60" x14ac:dyDescent="0.2">
      <c r="B210" s="135"/>
      <c r="C210" s="285" t="s">
        <v>301</v>
      </c>
      <c r="D210" s="286" t="s">
        <v>149</v>
      </c>
      <c r="E210" s="287">
        <v>21</v>
      </c>
      <c r="F210" s="288">
        <v>0</v>
      </c>
      <c r="G210" s="289">
        <f t="shared" ref="G210" si="20">E210*F210</f>
        <v>0</v>
      </c>
    </row>
    <row r="211" spans="2:8" s="136" customFormat="1" ht="25.5" customHeight="1" x14ac:dyDescent="0.2">
      <c r="B211" s="293" t="s">
        <v>17</v>
      </c>
      <c r="C211" s="294" t="s">
        <v>302</v>
      </c>
      <c r="D211" s="218"/>
      <c r="E211" s="203"/>
      <c r="F211" s="204"/>
      <c r="G211" s="290">
        <f>SUM(G92:G210)</f>
        <v>0</v>
      </c>
      <c r="H211" s="565"/>
    </row>
  </sheetData>
  <mergeCells count="7">
    <mergeCell ref="B101:B103"/>
    <mergeCell ref="C6:G6"/>
    <mergeCell ref="B42:G42"/>
    <mergeCell ref="B53:B55"/>
    <mergeCell ref="B89:G89"/>
    <mergeCell ref="B90:G90"/>
    <mergeCell ref="B91:G91"/>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81"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50811-0920-4517-AA96-57A990D091B8}">
  <sheetPr>
    <tabColor theme="0" tint="-0.14999847407452621"/>
  </sheetPr>
  <dimension ref="A2:L207"/>
  <sheetViews>
    <sheetView showZeros="0" topLeftCell="A53" zoomScale="110" zoomScaleNormal="110" zoomScaleSheetLayoutView="100" workbookViewId="0">
      <selection activeCell="C65" sqref="C6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1697</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2216</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G77</f>
        <v>0</v>
      </c>
      <c r="H16" s="569"/>
    </row>
    <row r="17" spans="2:8" s="1792" customFormat="1" ht="18.75" customHeight="1" x14ac:dyDescent="0.25">
      <c r="B17" s="1793" t="s">
        <v>17</v>
      </c>
      <c r="C17" s="1794" t="s">
        <v>87</v>
      </c>
      <c r="D17" s="1795"/>
      <c r="E17" s="1796"/>
      <c r="F17" s="1797"/>
      <c r="G17" s="474">
        <f>G207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1313</v>
      </c>
      <c r="F24" s="467">
        <v>0</v>
      </c>
      <c r="G24" s="352">
        <f t="shared" ref="G24" si="0">E24*F24</f>
        <v>0</v>
      </c>
    </row>
    <row r="25" spans="2:8" x14ac:dyDescent="0.2">
      <c r="B25" s="129">
        <v>2</v>
      </c>
      <c r="C25" s="206" t="s">
        <v>96</v>
      </c>
      <c r="D25" s="207" t="s">
        <v>95</v>
      </c>
      <c r="E25" s="353">
        <f>E24</f>
        <v>1313</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3</v>
      </c>
      <c r="F30" s="467">
        <v>0</v>
      </c>
      <c r="G30" s="352">
        <f t="shared" si="1"/>
        <v>0</v>
      </c>
    </row>
    <row r="31" spans="2:8" ht="36" x14ac:dyDescent="0.2">
      <c r="B31" s="129">
        <v>8</v>
      </c>
      <c r="C31" s="3165" t="s">
        <v>2590</v>
      </c>
      <c r="D31" s="210" t="s">
        <v>95</v>
      </c>
      <c r="E31" s="353">
        <v>2092</v>
      </c>
      <c r="F31" s="467">
        <v>0</v>
      </c>
      <c r="G31" s="352">
        <f t="shared" si="1"/>
        <v>0</v>
      </c>
      <c r="H31" s="571"/>
    </row>
    <row r="32" spans="2:8" ht="27.75" customHeight="1" x14ac:dyDescent="0.2">
      <c r="B32" s="129">
        <v>9</v>
      </c>
      <c r="C32" s="3165" t="s">
        <v>2591</v>
      </c>
      <c r="D32" s="210" t="s">
        <v>95</v>
      </c>
      <c r="E32" s="353">
        <v>2092</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f>(2092*1*1.4*0.07)</f>
        <v>205.01599999999999</v>
      </c>
      <c r="F42" s="467">
        <v>0</v>
      </c>
      <c r="G42" s="352">
        <f t="shared" ref="G42:G72" si="2">E42*F42</f>
        <v>0</v>
      </c>
      <c r="I42" s="132"/>
    </row>
    <row r="43" spans="2:12" ht="39" customHeight="1" x14ac:dyDescent="0.2">
      <c r="B43" s="131">
        <v>2</v>
      </c>
      <c r="C43" s="206" t="s">
        <v>113</v>
      </c>
      <c r="D43" s="207" t="s">
        <v>95</v>
      </c>
      <c r="E43" s="353">
        <f>0.6*2092</f>
        <v>1255.2</v>
      </c>
      <c r="F43" s="467">
        <v>0</v>
      </c>
      <c r="G43" s="352">
        <f t="shared" si="2"/>
        <v>0</v>
      </c>
      <c r="I43" s="132"/>
    </row>
    <row r="44" spans="2:12" ht="36" x14ac:dyDescent="0.2">
      <c r="B44" s="131">
        <v>3</v>
      </c>
      <c r="C44" s="206" t="s">
        <v>114</v>
      </c>
      <c r="D44" s="209" t="s">
        <v>112</v>
      </c>
      <c r="E44" s="353">
        <f>((2092*1*1.4)-E42)*0.1</f>
        <v>272.3784</v>
      </c>
      <c r="F44" s="467">
        <v>0</v>
      </c>
      <c r="G44" s="352">
        <f t="shared" si="2"/>
        <v>0</v>
      </c>
      <c r="I44" s="133"/>
      <c r="K44" s="134"/>
      <c r="L44" s="134"/>
    </row>
    <row r="45" spans="2:12" ht="39.75" customHeight="1" x14ac:dyDescent="0.2">
      <c r="B45" s="131">
        <v>4</v>
      </c>
      <c r="C45" s="206" t="s">
        <v>115</v>
      </c>
      <c r="D45" s="209" t="s">
        <v>112</v>
      </c>
      <c r="E45" s="353">
        <f>((2092*1*1.4)-E42)*0.9</f>
        <v>2451.4055999999996</v>
      </c>
      <c r="F45" s="467">
        <v>0</v>
      </c>
      <c r="G45" s="352">
        <f t="shared" si="2"/>
        <v>0</v>
      </c>
      <c r="I45" s="133"/>
      <c r="J45" s="134"/>
    </row>
    <row r="46" spans="2:12" ht="29.25" customHeight="1" x14ac:dyDescent="0.2">
      <c r="B46" s="131">
        <v>5</v>
      </c>
      <c r="C46" s="311" t="s">
        <v>116</v>
      </c>
      <c r="D46" s="219" t="s">
        <v>117</v>
      </c>
      <c r="E46" s="471">
        <f>2092*1.4</f>
        <v>2928.7999999999997</v>
      </c>
      <c r="F46" s="467">
        <v>0</v>
      </c>
      <c r="G46" s="352">
        <f t="shared" si="2"/>
        <v>0</v>
      </c>
      <c r="I46" s="1364"/>
    </row>
    <row r="47" spans="2:12" ht="29.25" customHeight="1" x14ac:dyDescent="0.2">
      <c r="B47" s="131">
        <v>6</v>
      </c>
      <c r="C47" s="206" t="s">
        <v>118</v>
      </c>
      <c r="D47" s="209" t="s">
        <v>117</v>
      </c>
      <c r="E47" s="353">
        <f>2092*1</f>
        <v>2092</v>
      </c>
      <c r="F47" s="467">
        <v>0</v>
      </c>
      <c r="G47" s="352">
        <f t="shared" si="2"/>
        <v>0</v>
      </c>
      <c r="I47" s="1364"/>
    </row>
    <row r="48" spans="2:12" ht="27" customHeight="1" x14ac:dyDescent="0.2">
      <c r="B48" s="131">
        <v>7</v>
      </c>
      <c r="C48" s="206" t="s">
        <v>304</v>
      </c>
      <c r="D48" s="209" t="s">
        <v>112</v>
      </c>
      <c r="E48" s="353">
        <v>594.6</v>
      </c>
      <c r="F48" s="467">
        <v>0</v>
      </c>
      <c r="G48" s="352">
        <f t="shared" si="2"/>
        <v>0</v>
      </c>
      <c r="I48" s="133"/>
      <c r="J48" s="1365"/>
    </row>
    <row r="49" spans="1:12" ht="24" x14ac:dyDescent="0.2">
      <c r="B49" s="131">
        <v>8</v>
      </c>
      <c r="C49" s="206" t="s">
        <v>119</v>
      </c>
      <c r="D49" s="209" t="s">
        <v>112</v>
      </c>
      <c r="E49" s="353">
        <f>(2092*1*1.4)*0.157</f>
        <v>459.82159999999993</v>
      </c>
      <c r="F49" s="467">
        <v>0</v>
      </c>
      <c r="G49" s="352">
        <f t="shared" si="2"/>
        <v>0</v>
      </c>
      <c r="I49" s="134"/>
    </row>
    <row r="50" spans="1:12" ht="40.5" customHeight="1" x14ac:dyDescent="0.2">
      <c r="B50" s="131">
        <v>9</v>
      </c>
      <c r="C50" s="208" t="s">
        <v>120</v>
      </c>
      <c r="D50" s="209" t="s">
        <v>112</v>
      </c>
      <c r="E50" s="353">
        <v>515.29999999999995</v>
      </c>
      <c r="F50" s="467">
        <v>0</v>
      </c>
      <c r="G50" s="352">
        <f t="shared" si="2"/>
        <v>0</v>
      </c>
      <c r="I50" s="1365"/>
      <c r="J50" s="1365"/>
      <c r="K50" s="1365"/>
    </row>
    <row r="51" spans="1:12" s="130" customFormat="1" ht="39" customHeight="1" x14ac:dyDescent="0.2">
      <c r="B51" s="131">
        <v>10</v>
      </c>
      <c r="C51" s="314" t="s">
        <v>121</v>
      </c>
      <c r="D51" s="210" t="s">
        <v>112</v>
      </c>
      <c r="E51" s="353">
        <v>350.84</v>
      </c>
      <c r="F51" s="467">
        <v>0</v>
      </c>
      <c r="G51" s="352">
        <f t="shared" si="2"/>
        <v>0</v>
      </c>
      <c r="H51" s="565"/>
      <c r="I51" s="1263"/>
      <c r="J51" s="1263"/>
      <c r="K51" s="1263"/>
      <c r="L51" s="1263"/>
    </row>
    <row r="52" spans="1:12" s="147" customFormat="1" ht="54" customHeight="1" x14ac:dyDescent="0.25">
      <c r="B52" s="3187">
        <v>11</v>
      </c>
      <c r="C52" s="308" t="s">
        <v>122</v>
      </c>
      <c r="D52" s="210"/>
      <c r="E52" s="353"/>
      <c r="F52" s="467"/>
      <c r="G52" s="352"/>
      <c r="H52" s="572"/>
      <c r="I52" s="490"/>
      <c r="J52" s="490"/>
    </row>
    <row r="53" spans="1:12" s="147" customFormat="1" ht="15" customHeight="1" x14ac:dyDescent="0.25">
      <c r="B53" s="3188"/>
      <c r="C53" s="308" t="s">
        <v>124</v>
      </c>
      <c r="D53" s="207" t="s">
        <v>95</v>
      </c>
      <c r="E53" s="353">
        <v>80</v>
      </c>
      <c r="F53" s="467">
        <v>0</v>
      </c>
      <c r="G53" s="352">
        <f t="shared" si="2"/>
        <v>0</v>
      </c>
      <c r="H53" s="572"/>
      <c r="I53" s="490"/>
    </row>
    <row r="54" spans="1:12" s="147" customFormat="1" ht="15" customHeight="1" x14ac:dyDescent="0.25">
      <c r="B54" s="3189"/>
      <c r="C54" s="308" t="s">
        <v>305</v>
      </c>
      <c r="D54" s="207" t="s">
        <v>95</v>
      </c>
      <c r="E54" s="353">
        <v>25</v>
      </c>
      <c r="F54" s="467">
        <v>0</v>
      </c>
      <c r="G54" s="352">
        <f t="shared" si="2"/>
        <v>0</v>
      </c>
      <c r="H54" s="572"/>
    </row>
    <row r="55" spans="1:12" ht="25.5" customHeight="1" x14ac:dyDescent="0.2">
      <c r="B55" s="131">
        <v>12</v>
      </c>
      <c r="C55" s="206" t="s">
        <v>125</v>
      </c>
      <c r="D55" s="209" t="s">
        <v>95</v>
      </c>
      <c r="E55" s="353">
        <v>647.6</v>
      </c>
      <c r="F55" s="467">
        <v>0</v>
      </c>
      <c r="G55" s="352">
        <f t="shared" si="2"/>
        <v>0</v>
      </c>
      <c r="H55" s="571"/>
    </row>
    <row r="56" spans="1:12" ht="16.5" customHeight="1" x14ac:dyDescent="0.2">
      <c r="B56" s="131">
        <v>13</v>
      </c>
      <c r="C56" s="206" t="s">
        <v>126</v>
      </c>
      <c r="D56" s="207" t="s">
        <v>117</v>
      </c>
      <c r="E56" s="353">
        <f>E55*1.2</f>
        <v>777.12</v>
      </c>
      <c r="F56" s="467">
        <v>0</v>
      </c>
      <c r="G56" s="352">
        <f t="shared" si="2"/>
        <v>0</v>
      </c>
      <c r="H56" s="571"/>
    </row>
    <row r="57" spans="1:12" ht="41.25" customHeight="1" x14ac:dyDescent="0.2">
      <c r="B57" s="131">
        <v>14</v>
      </c>
      <c r="C57" s="206" t="s">
        <v>127</v>
      </c>
      <c r="D57" s="207" t="s">
        <v>117</v>
      </c>
      <c r="E57" s="353">
        <f>E56</f>
        <v>777.12</v>
      </c>
      <c r="F57" s="467">
        <v>0</v>
      </c>
      <c r="G57" s="352">
        <f t="shared" si="2"/>
        <v>0</v>
      </c>
      <c r="H57" s="571"/>
      <c r="I57" s="1365"/>
    </row>
    <row r="58" spans="1:12" ht="65.25" customHeight="1" x14ac:dyDescent="0.2">
      <c r="B58" s="131">
        <v>15</v>
      </c>
      <c r="C58" s="314" t="s">
        <v>706</v>
      </c>
      <c r="D58" s="209" t="s">
        <v>117</v>
      </c>
      <c r="E58" s="353">
        <v>669.22</v>
      </c>
      <c r="F58" s="467">
        <v>0</v>
      </c>
      <c r="G58" s="352">
        <f t="shared" si="2"/>
        <v>0</v>
      </c>
      <c r="H58" s="571"/>
      <c r="I58" s="1370"/>
    </row>
    <row r="59" spans="1:12" ht="76.5" customHeight="1" x14ac:dyDescent="0.2">
      <c r="B59" s="312" t="s">
        <v>576</v>
      </c>
      <c r="C59" s="208" t="s">
        <v>711</v>
      </c>
      <c r="D59" s="209" t="s">
        <v>117</v>
      </c>
      <c r="E59" s="353">
        <v>180.3</v>
      </c>
      <c r="F59" s="467">
        <v>0</v>
      </c>
      <c r="G59" s="352">
        <f>E59*F59</f>
        <v>0</v>
      </c>
      <c r="H59" s="571"/>
      <c r="I59" s="1365"/>
    </row>
    <row r="60" spans="1:12" ht="38.25" customHeight="1" x14ac:dyDescent="0.2">
      <c r="B60" s="131">
        <v>17</v>
      </c>
      <c r="C60" s="206" t="s">
        <v>132</v>
      </c>
      <c r="D60" s="207" t="s">
        <v>117</v>
      </c>
      <c r="E60" s="353">
        <v>107.9</v>
      </c>
      <c r="F60" s="467">
        <v>0</v>
      </c>
      <c r="G60" s="352">
        <f t="shared" si="2"/>
        <v>0</v>
      </c>
    </row>
    <row r="61" spans="1:12" ht="14.25" customHeight="1" x14ac:dyDescent="0.2">
      <c r="A61" s="121">
        <v>4</v>
      </c>
      <c r="B61" s="131">
        <v>18</v>
      </c>
      <c r="C61" s="206" t="s">
        <v>134</v>
      </c>
      <c r="D61" s="209" t="s">
        <v>112</v>
      </c>
      <c r="E61" s="353">
        <v>1468.6</v>
      </c>
      <c r="F61" s="467">
        <v>0</v>
      </c>
      <c r="G61" s="352">
        <f t="shared" si="2"/>
        <v>0</v>
      </c>
      <c r="I61" s="1365"/>
    </row>
    <row r="62" spans="1:12" ht="15.75" customHeight="1" x14ac:dyDescent="0.2">
      <c r="B62" s="131">
        <v>19</v>
      </c>
      <c r="C62" s="206" t="s">
        <v>135</v>
      </c>
      <c r="D62" s="209" t="s">
        <v>112</v>
      </c>
      <c r="E62" s="353">
        <f>E61</f>
        <v>1468.6</v>
      </c>
      <c r="F62" s="467">
        <v>0</v>
      </c>
      <c r="G62" s="352">
        <f t="shared" si="2"/>
        <v>0</v>
      </c>
    </row>
    <row r="63" spans="1:12" ht="27.75" customHeight="1" x14ac:dyDescent="0.2">
      <c r="B63" s="131">
        <v>20</v>
      </c>
      <c r="C63" s="206" t="s">
        <v>136</v>
      </c>
      <c r="D63" s="209" t="s">
        <v>117</v>
      </c>
      <c r="E63" s="353">
        <v>777.12</v>
      </c>
      <c r="F63" s="467">
        <v>0</v>
      </c>
      <c r="G63" s="352">
        <f t="shared" si="2"/>
        <v>0</v>
      </c>
    </row>
    <row r="64" spans="1:12" ht="30" customHeight="1" x14ac:dyDescent="0.2">
      <c r="B64" s="131">
        <v>21</v>
      </c>
      <c r="C64" s="206" t="s">
        <v>138</v>
      </c>
      <c r="D64" s="207" t="s">
        <v>117</v>
      </c>
      <c r="E64" s="353">
        <v>496</v>
      </c>
      <c r="F64" s="467">
        <v>0</v>
      </c>
      <c r="G64" s="352">
        <f t="shared" si="2"/>
        <v>0</v>
      </c>
    </row>
    <row r="65" spans="2:9" s="130" customFormat="1" ht="51.75" customHeight="1" x14ac:dyDescent="0.2">
      <c r="B65" s="2721">
        <v>22</v>
      </c>
      <c r="C65" s="408" t="s">
        <v>139</v>
      </c>
      <c r="D65" s="221"/>
      <c r="E65" s="353"/>
      <c r="F65" s="467"/>
      <c r="G65" s="352"/>
      <c r="H65" s="565"/>
    </row>
    <row r="66" spans="2:9" s="130" customFormat="1" x14ac:dyDescent="0.2">
      <c r="B66" s="2722"/>
      <c r="C66" s="291" t="s">
        <v>713</v>
      </c>
      <c r="D66" s="221" t="s">
        <v>95</v>
      </c>
      <c r="E66" s="353">
        <v>8</v>
      </c>
      <c r="F66" s="467">
        <v>0</v>
      </c>
      <c r="G66" s="352">
        <f t="shared" si="2"/>
        <v>0</v>
      </c>
      <c r="H66" s="565"/>
    </row>
    <row r="67" spans="2:9" ht="39.75" customHeight="1" x14ac:dyDescent="0.2">
      <c r="B67" s="2721">
        <v>23</v>
      </c>
      <c r="C67" s="409" t="s">
        <v>309</v>
      </c>
      <c r="D67" s="207"/>
      <c r="E67" s="353"/>
      <c r="F67" s="467"/>
      <c r="G67" s="352"/>
    </row>
    <row r="68" spans="2:9" s="130" customFormat="1" x14ac:dyDescent="0.2">
      <c r="B68" s="2722"/>
      <c r="C68" s="291" t="s">
        <v>715</v>
      </c>
      <c r="D68" s="221" t="s">
        <v>95</v>
      </c>
      <c r="E68" s="353">
        <v>14</v>
      </c>
      <c r="F68" s="467">
        <v>0</v>
      </c>
      <c r="G68" s="352">
        <f t="shared" ref="G68:G69" si="3">E68*F68</f>
        <v>0</v>
      </c>
      <c r="H68" s="565"/>
    </row>
    <row r="69" spans="2:9" s="130" customFormat="1" x14ac:dyDescent="0.2">
      <c r="B69" s="2722"/>
      <c r="C69" s="291" t="s">
        <v>716</v>
      </c>
      <c r="D69" s="221" t="s">
        <v>95</v>
      </c>
      <c r="E69" s="353">
        <v>28</v>
      </c>
      <c r="F69" s="467">
        <v>0</v>
      </c>
      <c r="G69" s="352">
        <f t="shared" si="3"/>
        <v>0</v>
      </c>
      <c r="H69" s="565"/>
    </row>
    <row r="70" spans="2:9" ht="39.75" customHeight="1" x14ac:dyDescent="0.2">
      <c r="B70" s="131">
        <v>24</v>
      </c>
      <c r="C70" s="409" t="s">
        <v>142</v>
      </c>
      <c r="D70" s="207" t="s">
        <v>117</v>
      </c>
      <c r="E70" s="353">
        <v>19</v>
      </c>
      <c r="F70" s="467">
        <v>0</v>
      </c>
      <c r="G70" s="352">
        <f t="shared" si="2"/>
        <v>0</v>
      </c>
      <c r="I70" s="1372"/>
    </row>
    <row r="71" spans="2:9" ht="25.5" customHeight="1" x14ac:dyDescent="0.2">
      <c r="B71" s="131">
        <v>25</v>
      </c>
      <c r="C71" s="409" t="s">
        <v>143</v>
      </c>
      <c r="D71" s="207" t="s">
        <v>95</v>
      </c>
      <c r="E71" s="353">
        <v>59</v>
      </c>
      <c r="F71" s="467">
        <v>0</v>
      </c>
      <c r="G71" s="352">
        <f t="shared" si="2"/>
        <v>0</v>
      </c>
      <c r="H71" s="571"/>
    </row>
    <row r="72" spans="2:9" ht="25.5" customHeight="1" x14ac:dyDescent="0.2">
      <c r="B72" s="312" t="s">
        <v>596</v>
      </c>
      <c r="C72" s="409" t="s">
        <v>718</v>
      </c>
      <c r="D72" s="207" t="s">
        <v>95</v>
      </c>
      <c r="E72" s="353">
        <v>33</v>
      </c>
      <c r="F72" s="467">
        <v>0</v>
      </c>
      <c r="G72" s="352">
        <f t="shared" si="2"/>
        <v>0</v>
      </c>
      <c r="H72" s="571"/>
    </row>
    <row r="73" spans="2:9" ht="29.25" customHeight="1" x14ac:dyDescent="0.2">
      <c r="B73" s="411">
        <v>27</v>
      </c>
      <c r="C73" s="410" t="s">
        <v>151</v>
      </c>
      <c r="D73" s="222" t="s">
        <v>112</v>
      </c>
      <c r="E73" s="472">
        <v>5</v>
      </c>
      <c r="F73" s="467">
        <v>0</v>
      </c>
      <c r="G73" s="352">
        <f>E73*F73</f>
        <v>0</v>
      </c>
    </row>
    <row r="74" spans="2:9" ht="36.75" customHeight="1" x14ac:dyDescent="0.2">
      <c r="B74" s="131">
        <v>28</v>
      </c>
      <c r="C74" s="1366" t="s">
        <v>152</v>
      </c>
      <c r="D74" s="1367" t="s">
        <v>149</v>
      </c>
      <c r="E74" s="1359">
        <v>66</v>
      </c>
      <c r="F74" s="467">
        <v>0</v>
      </c>
      <c r="G74" s="1361">
        <f>E74*F74</f>
        <v>0</v>
      </c>
    </row>
    <row r="75" spans="2:9" ht="30" customHeight="1" x14ac:dyDescent="0.2">
      <c r="B75" s="411">
        <v>29</v>
      </c>
      <c r="C75" s="223" t="s">
        <v>153</v>
      </c>
      <c r="D75" s="222" t="s">
        <v>112</v>
      </c>
      <c r="E75" s="472">
        <v>9</v>
      </c>
      <c r="F75" s="467">
        <v>0</v>
      </c>
      <c r="G75" s="352">
        <f>E75*F75</f>
        <v>0</v>
      </c>
    </row>
    <row r="76" spans="2:9" ht="28.5" customHeight="1" x14ac:dyDescent="0.2">
      <c r="B76" s="131">
        <v>30</v>
      </c>
      <c r="C76" s="223" t="s">
        <v>155</v>
      </c>
      <c r="D76" s="222" t="s">
        <v>156</v>
      </c>
      <c r="E76" s="472">
        <v>15</v>
      </c>
      <c r="F76" s="467">
        <v>0</v>
      </c>
      <c r="G76" s="352">
        <f>E76*F76</f>
        <v>0</v>
      </c>
    </row>
    <row r="77" spans="2:9" s="147" customFormat="1" ht="21.75" customHeight="1" x14ac:dyDescent="0.25">
      <c r="B77" s="327" t="s">
        <v>12</v>
      </c>
      <c r="C77" s="214" t="s">
        <v>157</v>
      </c>
      <c r="D77" s="224"/>
      <c r="E77" s="215"/>
      <c r="F77" s="216"/>
      <c r="G77" s="290">
        <f>SUM(G42:G76)</f>
        <v>0</v>
      </c>
      <c r="H77" s="150"/>
    </row>
    <row r="78" spans="2:9" x14ac:dyDescent="0.2">
      <c r="B78" s="129"/>
      <c r="C78" s="197"/>
      <c r="D78" s="198"/>
      <c r="E78" s="353"/>
      <c r="F78" s="358"/>
      <c r="G78" s="350"/>
    </row>
    <row r="79" spans="2:9" ht="24" x14ac:dyDescent="0.2">
      <c r="B79" s="128" t="s">
        <v>83</v>
      </c>
      <c r="C79" s="192" t="s">
        <v>89</v>
      </c>
      <c r="D79" s="192" t="s">
        <v>90</v>
      </c>
      <c r="E79" s="194" t="s">
        <v>91</v>
      </c>
      <c r="F79" s="195" t="s">
        <v>92</v>
      </c>
      <c r="G79" s="196" t="s">
        <v>93</v>
      </c>
    </row>
    <row r="80" spans="2:9" x14ac:dyDescent="0.2">
      <c r="B80" s="129"/>
      <c r="C80" s="197"/>
      <c r="D80" s="207"/>
      <c r="E80" s="353"/>
      <c r="F80" s="358"/>
      <c r="G80" s="350"/>
    </row>
    <row r="81" spans="1:9" s="295" customFormat="1" ht="20.25" x14ac:dyDescent="0.3">
      <c r="B81" s="296" t="s">
        <v>17</v>
      </c>
      <c r="C81" s="297" t="s">
        <v>158</v>
      </c>
      <c r="D81" s="298"/>
      <c r="E81" s="299"/>
      <c r="F81" s="300"/>
      <c r="G81" s="301"/>
      <c r="H81" s="570"/>
    </row>
    <row r="82" spans="1:9" s="139" customFormat="1" ht="18" customHeight="1" x14ac:dyDescent="0.2">
      <c r="A82" s="140"/>
      <c r="B82" s="143" t="s">
        <v>1</v>
      </c>
      <c r="C82" s="168"/>
      <c r="D82" s="170"/>
      <c r="E82" s="170"/>
      <c r="F82" s="170"/>
      <c r="G82" s="169"/>
    </row>
    <row r="83" spans="1:9" s="139" customFormat="1" ht="18" customHeight="1" x14ac:dyDescent="0.25">
      <c r="A83" s="141"/>
      <c r="B83" s="144" t="s">
        <v>2</v>
      </c>
      <c r="C83" s="171"/>
      <c r="D83" s="172"/>
      <c r="E83" s="173"/>
      <c r="F83" s="173"/>
      <c r="G83" s="172"/>
    </row>
    <row r="84" spans="1:9" s="139" customFormat="1" ht="18" customHeight="1" x14ac:dyDescent="0.2">
      <c r="A84" s="140"/>
      <c r="B84" s="143" t="s">
        <v>3</v>
      </c>
      <c r="C84" s="168"/>
      <c r="D84" s="170"/>
      <c r="E84" s="170"/>
      <c r="F84" s="170"/>
      <c r="G84" s="169"/>
    </row>
    <row r="85" spans="1:9" s="139" customFormat="1" ht="18" customHeight="1" x14ac:dyDescent="0.25">
      <c r="A85" s="141"/>
      <c r="B85" s="144" t="s">
        <v>4</v>
      </c>
      <c r="C85" s="171"/>
      <c r="D85" s="173"/>
      <c r="E85" s="173"/>
      <c r="F85" s="173"/>
      <c r="G85" s="172"/>
    </row>
    <row r="86" spans="1:9" s="130" customFormat="1" ht="18.75" customHeight="1" x14ac:dyDescent="0.2">
      <c r="B86" s="3184" t="s">
        <v>159</v>
      </c>
      <c r="C86" s="3185"/>
      <c r="D86" s="3185"/>
      <c r="E86" s="3185"/>
      <c r="F86" s="3185"/>
      <c r="G86" s="3186"/>
      <c r="H86" s="565"/>
    </row>
    <row r="87" spans="1:9" s="130" customFormat="1" ht="18.75" customHeight="1" x14ac:dyDescent="0.2">
      <c r="B87" s="3184" t="s">
        <v>160</v>
      </c>
      <c r="C87" s="3185"/>
      <c r="D87" s="3185"/>
      <c r="E87" s="3185"/>
      <c r="F87" s="3185"/>
      <c r="G87" s="3186"/>
      <c r="H87" s="565"/>
    </row>
    <row r="88" spans="1:9" s="130" customFormat="1" ht="18.75" customHeight="1" x14ac:dyDescent="0.2">
      <c r="B88" s="3184" t="s">
        <v>161</v>
      </c>
      <c r="C88" s="3185"/>
      <c r="D88" s="3185"/>
      <c r="E88" s="3185"/>
      <c r="F88" s="3185"/>
      <c r="G88" s="3186"/>
      <c r="H88" s="565"/>
    </row>
    <row r="89" spans="1:9" ht="30" customHeight="1" x14ac:dyDescent="0.2">
      <c r="B89" s="153">
        <v>1</v>
      </c>
      <c r="C89" s="1806" t="s">
        <v>162</v>
      </c>
      <c r="D89" s="226"/>
      <c r="E89" s="353"/>
      <c r="F89" s="358"/>
      <c r="G89" s="350"/>
    </row>
    <row r="90" spans="1:9" s="147" customFormat="1" ht="18.75" customHeight="1" x14ac:dyDescent="0.25">
      <c r="B90" s="148"/>
      <c r="C90" s="1807" t="s">
        <v>723</v>
      </c>
      <c r="D90" s="226" t="s">
        <v>95</v>
      </c>
      <c r="E90" s="353">
        <v>453</v>
      </c>
      <c r="F90" s="467">
        <v>0</v>
      </c>
      <c r="G90" s="352">
        <f t="shared" ref="G90:G98" si="4">E90*F90</f>
        <v>0</v>
      </c>
      <c r="H90" s="150"/>
      <c r="I90" s="490"/>
    </row>
    <row r="91" spans="1:9" ht="27" customHeight="1" x14ac:dyDescent="0.2">
      <c r="B91" s="148"/>
      <c r="C91" s="1807" t="s">
        <v>835</v>
      </c>
      <c r="D91" s="226" t="s">
        <v>95</v>
      </c>
      <c r="E91" s="353">
        <v>50</v>
      </c>
      <c r="F91" s="467">
        <v>0</v>
      </c>
      <c r="G91" s="352">
        <f t="shared" si="4"/>
        <v>0</v>
      </c>
    </row>
    <row r="92" spans="1:9" s="147" customFormat="1" ht="18.75" customHeight="1" x14ac:dyDescent="0.25">
      <c r="B92" s="148"/>
      <c r="C92" s="1807" t="s">
        <v>821</v>
      </c>
      <c r="D92" s="226" t="s">
        <v>95</v>
      </c>
      <c r="E92" s="353">
        <v>729</v>
      </c>
      <c r="F92" s="467">
        <v>0</v>
      </c>
      <c r="G92" s="352">
        <f t="shared" si="4"/>
        <v>0</v>
      </c>
      <c r="H92" s="150"/>
      <c r="I92" s="490"/>
    </row>
    <row r="93" spans="1:9" ht="27" customHeight="1" x14ac:dyDescent="0.2">
      <c r="B93" s="148"/>
      <c r="C93" s="1807" t="s">
        <v>822</v>
      </c>
      <c r="D93" s="226" t="s">
        <v>95</v>
      </c>
      <c r="E93" s="353">
        <v>81</v>
      </c>
      <c r="F93" s="467">
        <v>0</v>
      </c>
      <c r="G93" s="352">
        <f t="shared" si="4"/>
        <v>0</v>
      </c>
    </row>
    <row r="94" spans="1:9" s="147" customFormat="1" ht="18.75" customHeight="1" x14ac:dyDescent="0.25">
      <c r="B94" s="148"/>
      <c r="C94" s="1807" t="s">
        <v>165</v>
      </c>
      <c r="D94" s="226" t="s">
        <v>95</v>
      </c>
      <c r="E94" s="353">
        <v>701</v>
      </c>
      <c r="F94" s="467">
        <v>0</v>
      </c>
      <c r="G94" s="352">
        <f t="shared" si="4"/>
        <v>0</v>
      </c>
      <c r="H94" s="150"/>
      <c r="I94" s="490"/>
    </row>
    <row r="95" spans="1:9" ht="27" customHeight="1" x14ac:dyDescent="0.2">
      <c r="B95" s="148"/>
      <c r="C95" s="1807" t="s">
        <v>166</v>
      </c>
      <c r="D95" s="226" t="s">
        <v>95</v>
      </c>
      <c r="E95" s="353">
        <v>78</v>
      </c>
      <c r="F95" s="467">
        <v>0</v>
      </c>
      <c r="G95" s="352">
        <f t="shared" si="4"/>
        <v>0</v>
      </c>
    </row>
    <row r="96" spans="1:9" s="130" customFormat="1" ht="36" x14ac:dyDescent="0.2">
      <c r="B96" s="3181" t="s">
        <v>167</v>
      </c>
      <c r="C96" s="310" t="s">
        <v>168</v>
      </c>
      <c r="D96" s="221"/>
      <c r="E96" s="353"/>
      <c r="F96" s="467"/>
      <c r="G96" s="352"/>
      <c r="H96" s="565"/>
    </row>
    <row r="97" spans="2:8" ht="12.75" customHeight="1" x14ac:dyDescent="0.2">
      <c r="B97" s="3182"/>
      <c r="C97" s="291" t="s">
        <v>170</v>
      </c>
      <c r="D97" s="221" t="s">
        <v>95</v>
      </c>
      <c r="E97" s="353">
        <v>100</v>
      </c>
      <c r="F97" s="467">
        <v>0</v>
      </c>
      <c r="G97" s="352">
        <f t="shared" ref="G97" si="5">E97*F97</f>
        <v>0</v>
      </c>
    </row>
    <row r="98" spans="2:8" ht="36" x14ac:dyDescent="0.2">
      <c r="B98" s="154">
        <v>2</v>
      </c>
      <c r="C98" s="227" t="s">
        <v>172</v>
      </c>
      <c r="D98" s="209" t="s">
        <v>95</v>
      </c>
      <c r="E98" s="348">
        <f>SUM(E90:E95)</f>
        <v>2092</v>
      </c>
      <c r="F98" s="467">
        <v>0</v>
      </c>
      <c r="G98" s="352">
        <f t="shared" si="4"/>
        <v>0</v>
      </c>
    </row>
    <row r="99" spans="2:8" ht="36" x14ac:dyDescent="0.2">
      <c r="B99" s="309" t="s">
        <v>173</v>
      </c>
      <c r="C99" s="227" t="s">
        <v>174</v>
      </c>
      <c r="D99" s="209" t="s">
        <v>95</v>
      </c>
      <c r="E99" s="348">
        <f>SUM(E90:E95)</f>
        <v>2092</v>
      </c>
      <c r="F99" s="467">
        <v>0</v>
      </c>
      <c r="G99" s="352">
        <f>E99*F99</f>
        <v>0</v>
      </c>
    </row>
    <row r="100" spans="2:8" ht="24" x14ac:dyDescent="0.2">
      <c r="B100" s="309" t="s">
        <v>175</v>
      </c>
      <c r="C100" s="227" t="s">
        <v>176</v>
      </c>
      <c r="D100" s="209" t="s">
        <v>95</v>
      </c>
      <c r="E100" s="348">
        <f>SUM(E90:E95)</f>
        <v>2092</v>
      </c>
      <c r="F100" s="467">
        <v>0</v>
      </c>
      <c r="G100" s="352">
        <f>E100*F100</f>
        <v>0</v>
      </c>
    </row>
    <row r="101" spans="2:8" ht="27.75" customHeight="1" x14ac:dyDescent="0.2">
      <c r="B101" s="309" t="s">
        <v>177</v>
      </c>
      <c r="C101" s="227" t="s">
        <v>178</v>
      </c>
      <c r="D101" s="209" t="s">
        <v>95</v>
      </c>
      <c r="E101" s="348">
        <f>SUM(E90:E95)</f>
        <v>2092</v>
      </c>
      <c r="F101" s="467">
        <v>0</v>
      </c>
      <c r="G101" s="352">
        <f>E101*F101</f>
        <v>0</v>
      </c>
    </row>
    <row r="102" spans="2:8" ht="24" x14ac:dyDescent="0.2">
      <c r="B102" s="153">
        <v>3</v>
      </c>
      <c r="C102" s="264" t="s">
        <v>179</v>
      </c>
      <c r="D102" s="231"/>
      <c r="E102" s="232"/>
      <c r="F102" s="233">
        <v>0</v>
      </c>
      <c r="G102" s="234"/>
    </row>
    <row r="103" spans="2:8" x14ac:dyDescent="0.2">
      <c r="B103" s="292" t="s">
        <v>180</v>
      </c>
      <c r="C103" s="1808" t="s">
        <v>181</v>
      </c>
      <c r="D103" s="231"/>
      <c r="E103" s="232"/>
      <c r="F103" s="233"/>
      <c r="G103" s="234"/>
    </row>
    <row r="104" spans="2:8" s="147" customFormat="1" x14ac:dyDescent="0.25">
      <c r="B104" s="129"/>
      <c r="C104" s="1808" t="s">
        <v>836</v>
      </c>
      <c r="D104" s="231"/>
      <c r="E104" s="232"/>
      <c r="F104" s="233"/>
      <c r="G104" s="234"/>
      <c r="H104" s="150"/>
    </row>
    <row r="105" spans="2:8" s="147" customFormat="1" x14ac:dyDescent="0.25">
      <c r="B105" s="152"/>
      <c r="C105" s="1810" t="s">
        <v>837</v>
      </c>
      <c r="D105" s="236" t="s">
        <v>149</v>
      </c>
      <c r="E105" s="232">
        <v>13</v>
      </c>
      <c r="F105" s="271">
        <v>0</v>
      </c>
      <c r="G105" s="272">
        <f t="shared" ref="G105:G106" si="6">E105*F105</f>
        <v>0</v>
      </c>
      <c r="H105" s="150"/>
    </row>
    <row r="106" spans="2:8" x14ac:dyDescent="0.2">
      <c r="B106" s="152"/>
      <c r="C106" s="1810" t="s">
        <v>900</v>
      </c>
      <c r="D106" s="236" t="s">
        <v>149</v>
      </c>
      <c r="E106" s="232">
        <v>8</v>
      </c>
      <c r="F106" s="271">
        <v>0</v>
      </c>
      <c r="G106" s="272">
        <f t="shared" si="6"/>
        <v>0</v>
      </c>
    </row>
    <row r="107" spans="2:8" s="147" customFormat="1" x14ac:dyDescent="0.25">
      <c r="B107" s="129"/>
      <c r="C107" s="1808" t="s">
        <v>185</v>
      </c>
      <c r="D107" s="231"/>
      <c r="E107" s="232"/>
      <c r="F107" s="233"/>
      <c r="G107" s="234"/>
      <c r="H107" s="150"/>
    </row>
    <row r="108" spans="2:8" s="147" customFormat="1" x14ac:dyDescent="0.25">
      <c r="B108" s="152"/>
      <c r="C108" s="1810" t="s">
        <v>186</v>
      </c>
      <c r="D108" s="236" t="s">
        <v>149</v>
      </c>
      <c r="E108" s="232">
        <v>24</v>
      </c>
      <c r="F108" s="271">
        <v>0</v>
      </c>
      <c r="G108" s="272">
        <f t="shared" ref="G108:G109" si="7">E108*F108</f>
        <v>0</v>
      </c>
      <c r="H108" s="150"/>
    </row>
    <row r="109" spans="2:8" s="136" customFormat="1" x14ac:dyDescent="0.2">
      <c r="B109" s="152"/>
      <c r="C109" s="1810" t="s">
        <v>187</v>
      </c>
      <c r="D109" s="236" t="s">
        <v>149</v>
      </c>
      <c r="E109" s="232">
        <v>8</v>
      </c>
      <c r="F109" s="271">
        <v>0</v>
      </c>
      <c r="G109" s="272">
        <f t="shared" si="7"/>
        <v>0</v>
      </c>
      <c r="H109" s="565"/>
    </row>
    <row r="110" spans="2:8" s="136" customFormat="1" x14ac:dyDescent="0.2">
      <c r="B110" s="292" t="s">
        <v>188</v>
      </c>
      <c r="C110" s="238" t="s">
        <v>189</v>
      </c>
      <c r="D110" s="239"/>
      <c r="E110" s="240"/>
      <c r="F110" s="241">
        <v>0</v>
      </c>
      <c r="G110" s="242"/>
      <c r="H110" s="565"/>
    </row>
    <row r="111" spans="2:8" s="136" customFormat="1" x14ac:dyDescent="0.2">
      <c r="B111" s="135"/>
      <c r="C111" s="238" t="s">
        <v>838</v>
      </c>
      <c r="D111" s="239"/>
      <c r="E111" s="240"/>
      <c r="F111" s="241">
        <v>0</v>
      </c>
      <c r="G111" s="242"/>
      <c r="H111" s="565"/>
    </row>
    <row r="112" spans="2:8" s="136" customFormat="1" x14ac:dyDescent="0.2">
      <c r="B112" s="135"/>
      <c r="C112" s="243" t="s">
        <v>207</v>
      </c>
      <c r="D112" s="239" t="s">
        <v>149</v>
      </c>
      <c r="E112" s="240">
        <v>2</v>
      </c>
      <c r="F112" s="273">
        <v>0</v>
      </c>
      <c r="G112" s="274">
        <f t="shared" ref="G112:G119" si="8">E112*F112</f>
        <v>0</v>
      </c>
      <c r="H112" s="565"/>
    </row>
    <row r="113" spans="2:8" s="136" customFormat="1" ht="36" x14ac:dyDescent="0.2">
      <c r="B113" s="135"/>
      <c r="C113" s="244" t="s">
        <v>192</v>
      </c>
      <c r="D113" s="239" t="s">
        <v>149</v>
      </c>
      <c r="E113" s="240">
        <v>2</v>
      </c>
      <c r="F113" s="273">
        <v>0</v>
      </c>
      <c r="G113" s="274">
        <f t="shared" si="8"/>
        <v>0</v>
      </c>
      <c r="H113" s="565"/>
    </row>
    <row r="114" spans="2:8" s="136" customFormat="1" x14ac:dyDescent="0.2">
      <c r="B114" s="135"/>
      <c r="C114" s="244" t="s">
        <v>193</v>
      </c>
      <c r="D114" s="239" t="s">
        <v>149</v>
      </c>
      <c r="E114" s="240">
        <v>2</v>
      </c>
      <c r="F114" s="273">
        <v>0</v>
      </c>
      <c r="G114" s="274">
        <f t="shared" si="8"/>
        <v>0</v>
      </c>
      <c r="H114" s="565"/>
    </row>
    <row r="115" spans="2:8" s="136" customFormat="1" x14ac:dyDescent="0.2">
      <c r="B115" s="135"/>
      <c r="C115" s="244" t="s">
        <v>194</v>
      </c>
      <c r="D115" s="239" t="s">
        <v>149</v>
      </c>
      <c r="E115" s="240">
        <v>2</v>
      </c>
      <c r="F115" s="273">
        <v>0</v>
      </c>
      <c r="G115" s="274">
        <f t="shared" si="8"/>
        <v>0</v>
      </c>
      <c r="H115" s="565"/>
    </row>
    <row r="116" spans="2:8" s="136" customFormat="1" x14ac:dyDescent="0.2">
      <c r="B116" s="135"/>
      <c r="C116" s="244" t="s">
        <v>235</v>
      </c>
      <c r="D116" s="239" t="s">
        <v>149</v>
      </c>
      <c r="E116" s="240">
        <v>4</v>
      </c>
      <c r="F116" s="273">
        <v>0</v>
      </c>
      <c r="G116" s="274">
        <f t="shared" si="8"/>
        <v>0</v>
      </c>
      <c r="H116" s="565"/>
    </row>
    <row r="117" spans="2:8" s="136" customFormat="1" x14ac:dyDescent="0.2">
      <c r="B117" s="135"/>
      <c r="C117" s="244" t="s">
        <v>839</v>
      </c>
      <c r="D117" s="239" t="s">
        <v>149</v>
      </c>
      <c r="E117" s="240">
        <v>4</v>
      </c>
      <c r="F117" s="273">
        <v>0</v>
      </c>
      <c r="G117" s="274">
        <f t="shared" si="8"/>
        <v>0</v>
      </c>
      <c r="H117" s="565"/>
    </row>
    <row r="118" spans="2:8" s="136" customFormat="1" x14ac:dyDescent="0.2">
      <c r="B118" s="135"/>
      <c r="C118" s="244" t="s">
        <v>197</v>
      </c>
      <c r="D118" s="239" t="s">
        <v>149</v>
      </c>
      <c r="E118" s="240">
        <v>2</v>
      </c>
      <c r="F118" s="273">
        <v>0</v>
      </c>
      <c r="G118" s="274">
        <f t="shared" si="8"/>
        <v>0</v>
      </c>
      <c r="H118" s="565"/>
    </row>
    <row r="119" spans="2:8" s="136" customFormat="1" x14ac:dyDescent="0.2">
      <c r="B119" s="135"/>
      <c r="C119" s="244" t="s">
        <v>198</v>
      </c>
      <c r="D119" s="239" t="s">
        <v>149</v>
      </c>
      <c r="E119" s="240">
        <v>2</v>
      </c>
      <c r="F119" s="273">
        <v>0</v>
      </c>
      <c r="G119" s="274">
        <f t="shared" si="8"/>
        <v>0</v>
      </c>
      <c r="H119" s="565"/>
    </row>
    <row r="120" spans="2:8" s="136" customFormat="1" x14ac:dyDescent="0.2">
      <c r="B120" s="135"/>
      <c r="C120" s="238" t="s">
        <v>840</v>
      </c>
      <c r="D120" s="239"/>
      <c r="E120" s="240"/>
      <c r="F120" s="241">
        <v>0</v>
      </c>
      <c r="G120" s="242"/>
      <c r="H120" s="565"/>
    </row>
    <row r="121" spans="2:8" s="136" customFormat="1" x14ac:dyDescent="0.2">
      <c r="B121" s="135"/>
      <c r="C121" s="243" t="s">
        <v>841</v>
      </c>
      <c r="D121" s="239" t="s">
        <v>149</v>
      </c>
      <c r="E121" s="240">
        <v>3</v>
      </c>
      <c r="F121" s="273">
        <v>0</v>
      </c>
      <c r="G121" s="274">
        <f t="shared" ref="G121:G130" si="9">E121*F121</f>
        <v>0</v>
      </c>
      <c r="H121" s="565"/>
    </row>
    <row r="122" spans="2:8" s="136" customFormat="1" ht="36" x14ac:dyDescent="0.2">
      <c r="B122" s="135"/>
      <c r="C122" s="244" t="s">
        <v>285</v>
      </c>
      <c r="D122" s="239" t="s">
        <v>149</v>
      </c>
      <c r="E122" s="240">
        <v>3</v>
      </c>
      <c r="F122" s="273">
        <v>0</v>
      </c>
      <c r="G122" s="274">
        <f t="shared" si="9"/>
        <v>0</v>
      </c>
      <c r="H122" s="565"/>
    </row>
    <row r="123" spans="2:8" s="136" customFormat="1" x14ac:dyDescent="0.2">
      <c r="B123" s="135"/>
      <c r="C123" s="244" t="s">
        <v>193</v>
      </c>
      <c r="D123" s="239" t="s">
        <v>149</v>
      </c>
      <c r="E123" s="240">
        <v>3</v>
      </c>
      <c r="F123" s="273">
        <v>0</v>
      </c>
      <c r="G123" s="274">
        <f t="shared" si="9"/>
        <v>0</v>
      </c>
      <c r="H123" s="565"/>
    </row>
    <row r="124" spans="2:8" s="136" customFormat="1" x14ac:dyDescent="0.2">
      <c r="B124" s="135"/>
      <c r="C124" s="244" t="s">
        <v>194</v>
      </c>
      <c r="D124" s="239" t="s">
        <v>149</v>
      </c>
      <c r="E124" s="240">
        <v>3</v>
      </c>
      <c r="F124" s="273">
        <v>0</v>
      </c>
      <c r="G124" s="274">
        <f t="shared" si="9"/>
        <v>0</v>
      </c>
      <c r="H124" s="565"/>
    </row>
    <row r="125" spans="2:8" s="136" customFormat="1" x14ac:dyDescent="0.2">
      <c r="B125" s="135"/>
      <c r="C125" s="1811" t="s">
        <v>239</v>
      </c>
      <c r="D125" s="239" t="s">
        <v>149</v>
      </c>
      <c r="E125" s="240">
        <v>6</v>
      </c>
      <c r="F125" s="273">
        <v>0</v>
      </c>
      <c r="G125" s="274">
        <f t="shared" si="9"/>
        <v>0</v>
      </c>
      <c r="H125" s="565"/>
    </row>
    <row r="126" spans="2:8" s="136" customFormat="1" x14ac:dyDescent="0.2">
      <c r="B126" s="135"/>
      <c r="C126" s="1811" t="s">
        <v>240</v>
      </c>
      <c r="D126" s="239" t="s">
        <v>149</v>
      </c>
      <c r="E126" s="240">
        <v>6</v>
      </c>
      <c r="F126" s="273">
        <v>0</v>
      </c>
      <c r="G126" s="274">
        <f t="shared" si="9"/>
        <v>0</v>
      </c>
      <c r="H126" s="565"/>
    </row>
    <row r="127" spans="2:8" s="136" customFormat="1" x14ac:dyDescent="0.2">
      <c r="B127" s="135"/>
      <c r="C127" s="1811" t="s">
        <v>241</v>
      </c>
      <c r="D127" s="239" t="s">
        <v>149</v>
      </c>
      <c r="E127" s="240">
        <v>6</v>
      </c>
      <c r="F127" s="273">
        <v>0</v>
      </c>
      <c r="G127" s="274">
        <f t="shared" si="9"/>
        <v>0</v>
      </c>
      <c r="H127" s="565"/>
    </row>
    <row r="128" spans="2:8" s="136" customFormat="1" x14ac:dyDescent="0.2">
      <c r="B128" s="135"/>
      <c r="C128" s="1811" t="s">
        <v>242</v>
      </c>
      <c r="D128" s="239" t="s">
        <v>149</v>
      </c>
      <c r="E128" s="240">
        <v>6</v>
      </c>
      <c r="F128" s="273">
        <v>0</v>
      </c>
      <c r="G128" s="274">
        <f t="shared" si="9"/>
        <v>0</v>
      </c>
      <c r="H128" s="565"/>
    </row>
    <row r="129" spans="2:8" s="136" customFormat="1" x14ac:dyDescent="0.2">
      <c r="B129" s="135"/>
      <c r="C129" s="1811" t="s">
        <v>197</v>
      </c>
      <c r="D129" s="239" t="s">
        <v>149</v>
      </c>
      <c r="E129" s="240">
        <v>3</v>
      </c>
      <c r="F129" s="273">
        <v>0</v>
      </c>
      <c r="G129" s="274">
        <f t="shared" si="9"/>
        <v>0</v>
      </c>
      <c r="H129" s="565"/>
    </row>
    <row r="130" spans="2:8" s="136" customFormat="1" x14ac:dyDescent="0.2">
      <c r="B130" s="135"/>
      <c r="C130" s="1812" t="s">
        <v>198</v>
      </c>
      <c r="D130" s="239" t="s">
        <v>149</v>
      </c>
      <c r="E130" s="240">
        <v>3</v>
      </c>
      <c r="F130" s="273">
        <v>0</v>
      </c>
      <c r="G130" s="274">
        <f t="shared" si="9"/>
        <v>0</v>
      </c>
      <c r="H130" s="565"/>
    </row>
    <row r="131" spans="2:8" s="136" customFormat="1" x14ac:dyDescent="0.2">
      <c r="B131" s="292" t="s">
        <v>199</v>
      </c>
      <c r="C131" s="253" t="s">
        <v>205</v>
      </c>
      <c r="D131" s="254"/>
      <c r="E131" s="255"/>
      <c r="F131" s="256"/>
      <c r="G131" s="257"/>
      <c r="H131" s="565"/>
    </row>
    <row r="132" spans="2:8" s="136" customFormat="1" x14ac:dyDescent="0.2">
      <c r="B132" s="135"/>
      <c r="C132" s="253" t="s">
        <v>842</v>
      </c>
      <c r="D132" s="254"/>
      <c r="E132" s="255"/>
      <c r="F132" s="256">
        <v>0</v>
      </c>
      <c r="G132" s="257"/>
      <c r="H132" s="565"/>
    </row>
    <row r="133" spans="2:8" s="136" customFormat="1" x14ac:dyDescent="0.2">
      <c r="B133" s="135"/>
      <c r="C133" s="258" t="s">
        <v>207</v>
      </c>
      <c r="D133" s="254" t="s">
        <v>149</v>
      </c>
      <c r="E133" s="255">
        <v>3</v>
      </c>
      <c r="F133" s="277">
        <v>0</v>
      </c>
      <c r="G133" s="278">
        <f t="shared" ref="G133:G148" si="10">E133*F133</f>
        <v>0</v>
      </c>
      <c r="H133" s="565"/>
    </row>
    <row r="134" spans="2:8" s="136" customFormat="1" x14ac:dyDescent="0.2">
      <c r="B134" s="135"/>
      <c r="C134" s="258" t="s">
        <v>208</v>
      </c>
      <c r="D134" s="254" t="s">
        <v>149</v>
      </c>
      <c r="E134" s="255">
        <v>6</v>
      </c>
      <c r="F134" s="277">
        <v>0</v>
      </c>
      <c r="G134" s="278">
        <f t="shared" si="10"/>
        <v>0</v>
      </c>
      <c r="H134" s="565"/>
    </row>
    <row r="135" spans="2:8" s="136" customFormat="1" x14ac:dyDescent="0.2">
      <c r="B135" s="135"/>
      <c r="C135" s="259" t="s">
        <v>843</v>
      </c>
      <c r="D135" s="254" t="s">
        <v>149</v>
      </c>
      <c r="E135" s="255">
        <v>3</v>
      </c>
      <c r="F135" s="277">
        <v>0</v>
      </c>
      <c r="G135" s="278">
        <f t="shared" si="10"/>
        <v>0</v>
      </c>
      <c r="H135" s="565"/>
    </row>
    <row r="136" spans="2:8" s="136" customFormat="1" x14ac:dyDescent="0.2">
      <c r="B136" s="135"/>
      <c r="C136" s="259" t="s">
        <v>210</v>
      </c>
      <c r="D136" s="254" t="s">
        <v>149</v>
      </c>
      <c r="E136" s="255">
        <v>3</v>
      </c>
      <c r="F136" s="277">
        <v>0</v>
      </c>
      <c r="G136" s="278">
        <f t="shared" si="10"/>
        <v>0</v>
      </c>
      <c r="H136" s="565"/>
    </row>
    <row r="137" spans="2:8" s="136" customFormat="1" x14ac:dyDescent="0.2">
      <c r="B137" s="135"/>
      <c r="C137" s="259" t="s">
        <v>211</v>
      </c>
      <c r="D137" s="254" t="s">
        <v>149</v>
      </c>
      <c r="E137" s="255">
        <v>3</v>
      </c>
      <c r="F137" s="277">
        <v>0</v>
      </c>
      <c r="G137" s="278">
        <f t="shared" si="10"/>
        <v>0</v>
      </c>
      <c r="H137" s="565"/>
    </row>
    <row r="138" spans="2:8" s="136" customFormat="1" ht="12.75" customHeight="1" x14ac:dyDescent="0.2">
      <c r="B138" s="135"/>
      <c r="C138" s="259" t="s">
        <v>212</v>
      </c>
      <c r="D138" s="254" t="s">
        <v>149</v>
      </c>
      <c r="E138" s="255">
        <v>3</v>
      </c>
      <c r="F138" s="277">
        <v>0</v>
      </c>
      <c r="G138" s="278">
        <f t="shared" si="10"/>
        <v>0</v>
      </c>
      <c r="H138" s="565"/>
    </row>
    <row r="139" spans="2:8" s="136" customFormat="1" x14ac:dyDescent="0.2">
      <c r="B139" s="135"/>
      <c r="C139" s="259" t="s">
        <v>213</v>
      </c>
      <c r="D139" s="254" t="s">
        <v>149</v>
      </c>
      <c r="E139" s="255">
        <v>3</v>
      </c>
      <c r="F139" s="277">
        <v>0</v>
      </c>
      <c r="G139" s="278">
        <f t="shared" si="10"/>
        <v>0</v>
      </c>
      <c r="H139" s="565"/>
    </row>
    <row r="140" spans="2:8" s="136" customFormat="1" x14ac:dyDescent="0.2">
      <c r="B140" s="135"/>
      <c r="C140" s="259" t="s">
        <v>214</v>
      </c>
      <c r="D140" s="254" t="s">
        <v>149</v>
      </c>
      <c r="E140" s="255">
        <v>3</v>
      </c>
      <c r="F140" s="277">
        <v>0</v>
      </c>
      <c r="G140" s="278">
        <f t="shared" si="10"/>
        <v>0</v>
      </c>
      <c r="H140" s="565"/>
    </row>
    <row r="141" spans="2:8" s="136" customFormat="1" x14ac:dyDescent="0.2">
      <c r="B141" s="135"/>
      <c r="C141" s="259" t="s">
        <v>215</v>
      </c>
      <c r="D141" s="254" t="s">
        <v>149</v>
      </c>
      <c r="E141" s="255">
        <v>3</v>
      </c>
      <c r="F141" s="277">
        <v>0</v>
      </c>
      <c r="G141" s="278">
        <f t="shared" si="10"/>
        <v>0</v>
      </c>
      <c r="H141" s="565"/>
    </row>
    <row r="142" spans="2:8" s="136" customFormat="1" x14ac:dyDescent="0.2">
      <c r="B142" s="135"/>
      <c r="C142" s="1816" t="s">
        <v>216</v>
      </c>
      <c r="D142" s="254" t="s">
        <v>149</v>
      </c>
      <c r="E142" s="255">
        <v>3</v>
      </c>
      <c r="F142" s="277">
        <v>0</v>
      </c>
      <c r="G142" s="278">
        <f t="shared" si="10"/>
        <v>0</v>
      </c>
      <c r="H142" s="565"/>
    </row>
    <row r="143" spans="2:8" s="136" customFormat="1" x14ac:dyDescent="0.2">
      <c r="B143" s="135"/>
      <c r="C143" s="1816" t="s">
        <v>329</v>
      </c>
      <c r="D143" s="254" t="s">
        <v>149</v>
      </c>
      <c r="E143" s="255">
        <v>3</v>
      </c>
      <c r="F143" s="277">
        <v>0</v>
      </c>
      <c r="G143" s="278">
        <f t="shared" si="10"/>
        <v>0</v>
      </c>
      <c r="H143" s="565"/>
    </row>
    <row r="144" spans="2:8" s="136" customFormat="1" x14ac:dyDescent="0.2">
      <c r="B144" s="135"/>
      <c r="C144" s="1816" t="s">
        <v>235</v>
      </c>
      <c r="D144" s="254" t="s">
        <v>149</v>
      </c>
      <c r="E144" s="255">
        <v>6</v>
      </c>
      <c r="F144" s="277">
        <v>0</v>
      </c>
      <c r="G144" s="278">
        <f t="shared" si="10"/>
        <v>0</v>
      </c>
      <c r="H144" s="565"/>
    </row>
    <row r="145" spans="2:8" s="136" customFormat="1" x14ac:dyDescent="0.2">
      <c r="B145" s="135"/>
      <c r="C145" s="1816" t="s">
        <v>236</v>
      </c>
      <c r="D145" s="254" t="s">
        <v>149</v>
      </c>
      <c r="E145" s="255">
        <v>6</v>
      </c>
      <c r="F145" s="277">
        <v>0</v>
      </c>
      <c r="G145" s="278">
        <f t="shared" si="10"/>
        <v>0</v>
      </c>
      <c r="H145" s="565"/>
    </row>
    <row r="146" spans="2:8" s="136" customFormat="1" x14ac:dyDescent="0.2">
      <c r="B146" s="135"/>
      <c r="C146" s="1816" t="s">
        <v>219</v>
      </c>
      <c r="D146" s="254" t="s">
        <v>149</v>
      </c>
      <c r="E146" s="255">
        <v>3</v>
      </c>
      <c r="F146" s="277">
        <v>0</v>
      </c>
      <c r="G146" s="278">
        <f t="shared" si="10"/>
        <v>0</v>
      </c>
      <c r="H146" s="565"/>
    </row>
    <row r="147" spans="2:8" s="136" customFormat="1" x14ac:dyDescent="0.2">
      <c r="B147" s="135"/>
      <c r="C147" s="1816" t="s">
        <v>227</v>
      </c>
      <c r="D147" s="254" t="s">
        <v>149</v>
      </c>
      <c r="E147" s="255">
        <v>9</v>
      </c>
      <c r="F147" s="277">
        <v>0</v>
      </c>
      <c r="G147" s="278">
        <f t="shared" si="10"/>
        <v>0</v>
      </c>
      <c r="H147" s="565"/>
    </row>
    <row r="148" spans="2:8" s="136" customFormat="1" x14ac:dyDescent="0.2">
      <c r="B148" s="135"/>
      <c r="C148" s="1817" t="s">
        <v>198</v>
      </c>
      <c r="D148" s="254" t="s">
        <v>149</v>
      </c>
      <c r="E148" s="255">
        <v>3</v>
      </c>
      <c r="F148" s="277">
        <v>0</v>
      </c>
      <c r="G148" s="278">
        <f t="shared" si="10"/>
        <v>0</v>
      </c>
      <c r="H148" s="565"/>
    </row>
    <row r="149" spans="2:8" s="136" customFormat="1" x14ac:dyDescent="0.2">
      <c r="B149" s="135"/>
      <c r="C149" s="253" t="s">
        <v>1794</v>
      </c>
      <c r="D149" s="254"/>
      <c r="E149" s="255"/>
      <c r="F149" s="256">
        <v>0</v>
      </c>
      <c r="G149" s="257"/>
      <c r="H149" s="565"/>
    </row>
    <row r="150" spans="2:8" s="136" customFormat="1" x14ac:dyDescent="0.2">
      <c r="B150" s="135"/>
      <c r="C150" s="258" t="s">
        <v>841</v>
      </c>
      <c r="D150" s="254" t="s">
        <v>149</v>
      </c>
      <c r="E150" s="255">
        <v>4</v>
      </c>
      <c r="F150" s="277">
        <v>0</v>
      </c>
      <c r="G150" s="278">
        <f t="shared" ref="G150:G166" si="11">E150*F150</f>
        <v>0</v>
      </c>
      <c r="H150" s="565"/>
    </row>
    <row r="151" spans="2:8" s="136" customFormat="1" x14ac:dyDescent="0.2">
      <c r="B151" s="135"/>
      <c r="C151" s="258" t="s">
        <v>213</v>
      </c>
      <c r="D151" s="254" t="s">
        <v>149</v>
      </c>
      <c r="E151" s="255">
        <v>8</v>
      </c>
      <c r="F151" s="277">
        <v>0</v>
      </c>
      <c r="G151" s="278">
        <f t="shared" si="11"/>
        <v>0</v>
      </c>
      <c r="H151" s="565"/>
    </row>
    <row r="152" spans="2:8" s="136" customFormat="1" x14ac:dyDescent="0.2">
      <c r="B152" s="135"/>
      <c r="C152" s="259" t="s">
        <v>843</v>
      </c>
      <c r="D152" s="254" t="s">
        <v>149</v>
      </c>
      <c r="E152" s="255">
        <v>4</v>
      </c>
      <c r="F152" s="277">
        <v>0</v>
      </c>
      <c r="G152" s="278">
        <f t="shared" si="11"/>
        <v>0</v>
      </c>
      <c r="H152" s="565"/>
    </row>
    <row r="153" spans="2:8" s="136" customFormat="1" x14ac:dyDescent="0.2">
      <c r="B153" s="135"/>
      <c r="C153" s="259" t="s">
        <v>210</v>
      </c>
      <c r="D153" s="254" t="s">
        <v>149</v>
      </c>
      <c r="E153" s="255">
        <v>4</v>
      </c>
      <c r="F153" s="277">
        <v>0</v>
      </c>
      <c r="G153" s="278">
        <f t="shared" si="11"/>
        <v>0</v>
      </c>
      <c r="H153" s="565"/>
    </row>
    <row r="154" spans="2:8" s="136" customFormat="1" x14ac:dyDescent="0.2">
      <c r="B154" s="135"/>
      <c r="C154" s="259" t="s">
        <v>211</v>
      </c>
      <c r="D154" s="254" t="s">
        <v>149</v>
      </c>
      <c r="E154" s="255">
        <v>4</v>
      </c>
      <c r="F154" s="277">
        <v>0</v>
      </c>
      <c r="G154" s="278">
        <f t="shared" si="11"/>
        <v>0</v>
      </c>
      <c r="H154" s="565"/>
    </row>
    <row r="155" spans="2:8" s="136" customFormat="1" x14ac:dyDescent="0.2">
      <c r="B155" s="135"/>
      <c r="C155" s="259" t="s">
        <v>212</v>
      </c>
      <c r="D155" s="254" t="s">
        <v>149</v>
      </c>
      <c r="E155" s="255">
        <v>4</v>
      </c>
      <c r="F155" s="277">
        <v>0</v>
      </c>
      <c r="G155" s="278">
        <f t="shared" si="11"/>
        <v>0</v>
      </c>
      <c r="H155" s="565"/>
    </row>
    <row r="156" spans="2:8" s="136" customFormat="1" x14ac:dyDescent="0.2">
      <c r="B156" s="135"/>
      <c r="C156" s="259" t="s">
        <v>213</v>
      </c>
      <c r="D156" s="254" t="s">
        <v>149</v>
      </c>
      <c r="E156" s="255">
        <v>4</v>
      </c>
      <c r="F156" s="277">
        <v>0</v>
      </c>
      <c r="G156" s="278">
        <f t="shared" si="11"/>
        <v>0</v>
      </c>
      <c r="H156" s="565"/>
    </row>
    <row r="157" spans="2:8" s="136" customFormat="1" x14ac:dyDescent="0.2">
      <c r="B157" s="135"/>
      <c r="C157" s="259" t="s">
        <v>214</v>
      </c>
      <c r="D157" s="254" t="s">
        <v>149</v>
      </c>
      <c r="E157" s="255">
        <v>4</v>
      </c>
      <c r="F157" s="277">
        <v>0</v>
      </c>
      <c r="G157" s="278">
        <f t="shared" si="11"/>
        <v>0</v>
      </c>
      <c r="H157" s="565"/>
    </row>
    <row r="158" spans="2:8" s="136" customFormat="1" x14ac:dyDescent="0.2">
      <c r="B158" s="135"/>
      <c r="C158" s="259" t="s">
        <v>215</v>
      </c>
      <c r="D158" s="254" t="s">
        <v>149</v>
      </c>
      <c r="E158" s="255">
        <v>4</v>
      </c>
      <c r="F158" s="277">
        <v>0</v>
      </c>
      <c r="G158" s="278">
        <f t="shared" si="11"/>
        <v>0</v>
      </c>
      <c r="H158" s="565"/>
    </row>
    <row r="159" spans="2:8" s="136" customFormat="1" x14ac:dyDescent="0.2">
      <c r="B159" s="135"/>
      <c r="C159" s="1816" t="s">
        <v>216</v>
      </c>
      <c r="D159" s="254" t="s">
        <v>149</v>
      </c>
      <c r="E159" s="255">
        <v>4</v>
      </c>
      <c r="F159" s="277">
        <v>0</v>
      </c>
      <c r="G159" s="278">
        <f t="shared" si="11"/>
        <v>0</v>
      </c>
      <c r="H159" s="565"/>
    </row>
    <row r="160" spans="2:8" s="136" customFormat="1" x14ac:dyDescent="0.2">
      <c r="B160" s="135"/>
      <c r="C160" s="1816" t="s">
        <v>329</v>
      </c>
      <c r="D160" s="254" t="s">
        <v>149</v>
      </c>
      <c r="E160" s="255">
        <v>4</v>
      </c>
      <c r="F160" s="277">
        <v>0</v>
      </c>
      <c r="G160" s="278">
        <f t="shared" si="11"/>
        <v>0</v>
      </c>
      <c r="H160" s="565"/>
    </row>
    <row r="161" spans="2:8" s="136" customFormat="1" x14ac:dyDescent="0.2">
      <c r="B161" s="135"/>
      <c r="C161" s="1816" t="s">
        <v>239</v>
      </c>
      <c r="D161" s="254" t="s">
        <v>149</v>
      </c>
      <c r="E161" s="255">
        <v>8</v>
      </c>
      <c r="F161" s="277">
        <v>0</v>
      </c>
      <c r="G161" s="278">
        <f t="shared" si="11"/>
        <v>0</v>
      </c>
      <c r="H161" s="565"/>
    </row>
    <row r="162" spans="2:8" s="136" customFormat="1" x14ac:dyDescent="0.2">
      <c r="B162" s="135"/>
      <c r="C162" s="1816" t="s">
        <v>241</v>
      </c>
      <c r="D162" s="254" t="s">
        <v>149</v>
      </c>
      <c r="E162" s="255">
        <v>8</v>
      </c>
      <c r="F162" s="277">
        <v>0</v>
      </c>
      <c r="G162" s="278">
        <f t="shared" si="11"/>
        <v>0</v>
      </c>
      <c r="H162" s="565"/>
    </row>
    <row r="163" spans="2:8" s="136" customFormat="1" x14ac:dyDescent="0.2">
      <c r="B163" s="135"/>
      <c r="C163" s="1816" t="s">
        <v>242</v>
      </c>
      <c r="D163" s="254" t="s">
        <v>149</v>
      </c>
      <c r="E163" s="255">
        <v>8</v>
      </c>
      <c r="F163" s="277">
        <v>0</v>
      </c>
      <c r="G163" s="278">
        <f t="shared" si="11"/>
        <v>0</v>
      </c>
      <c r="H163" s="565"/>
    </row>
    <row r="164" spans="2:8" s="136" customFormat="1" x14ac:dyDescent="0.2">
      <c r="B164" s="135"/>
      <c r="C164" s="1816" t="s">
        <v>219</v>
      </c>
      <c r="D164" s="254" t="s">
        <v>149</v>
      </c>
      <c r="E164" s="255">
        <v>4</v>
      </c>
      <c r="F164" s="277">
        <v>0</v>
      </c>
      <c r="G164" s="278">
        <f t="shared" si="11"/>
        <v>0</v>
      </c>
      <c r="H164" s="565"/>
    </row>
    <row r="165" spans="2:8" s="136" customFormat="1" x14ac:dyDescent="0.2">
      <c r="B165" s="135"/>
      <c r="C165" s="1816" t="s">
        <v>227</v>
      </c>
      <c r="D165" s="254" t="s">
        <v>149</v>
      </c>
      <c r="E165" s="255">
        <v>12</v>
      </c>
      <c r="F165" s="277">
        <v>0</v>
      </c>
      <c r="G165" s="278">
        <f t="shared" si="11"/>
        <v>0</v>
      </c>
      <c r="H165" s="565"/>
    </row>
    <row r="166" spans="2:8" s="136" customFormat="1" x14ac:dyDescent="0.2">
      <c r="B166" s="135"/>
      <c r="C166" s="1817" t="s">
        <v>198</v>
      </c>
      <c r="D166" s="254" t="s">
        <v>149</v>
      </c>
      <c r="E166" s="255">
        <v>4</v>
      </c>
      <c r="F166" s="277">
        <v>0</v>
      </c>
      <c r="G166" s="278">
        <f t="shared" si="11"/>
        <v>0</v>
      </c>
      <c r="H166" s="565"/>
    </row>
    <row r="167" spans="2:8" s="136" customFormat="1" x14ac:dyDescent="0.2">
      <c r="B167" s="292" t="s">
        <v>204</v>
      </c>
      <c r="C167" s="253" t="s">
        <v>231</v>
      </c>
      <c r="D167" s="254"/>
      <c r="E167" s="255"/>
      <c r="F167" s="256"/>
      <c r="G167" s="257"/>
      <c r="H167" s="565"/>
    </row>
    <row r="168" spans="2:8" s="136" customFormat="1" x14ac:dyDescent="0.2">
      <c r="B168" s="135"/>
      <c r="C168" s="253" t="s">
        <v>1753</v>
      </c>
      <c r="D168" s="254"/>
      <c r="E168" s="255"/>
      <c r="F168" s="256">
        <v>0</v>
      </c>
      <c r="G168" s="257"/>
      <c r="H168" s="565"/>
    </row>
    <row r="169" spans="2:8" s="136" customFormat="1" ht="24" x14ac:dyDescent="0.2">
      <c r="B169" s="135"/>
      <c r="C169" s="258" t="s">
        <v>233</v>
      </c>
      <c r="D169" s="254" t="s">
        <v>149</v>
      </c>
      <c r="E169" s="255">
        <v>2</v>
      </c>
      <c r="F169" s="277">
        <v>0</v>
      </c>
      <c r="G169" s="278">
        <f t="shared" ref="G169:G173" si="12">E169*F169</f>
        <v>0</v>
      </c>
      <c r="H169" s="565"/>
    </row>
    <row r="170" spans="2:8" s="136" customFormat="1" x14ac:dyDescent="0.2">
      <c r="B170" s="135"/>
      <c r="C170" s="1816" t="s">
        <v>235</v>
      </c>
      <c r="D170" s="254" t="s">
        <v>149</v>
      </c>
      <c r="E170" s="255">
        <v>6</v>
      </c>
      <c r="F170" s="277">
        <v>0</v>
      </c>
      <c r="G170" s="278">
        <f t="shared" si="12"/>
        <v>0</v>
      </c>
      <c r="H170" s="565"/>
    </row>
    <row r="171" spans="2:8" s="136" customFormat="1" x14ac:dyDescent="0.2">
      <c r="B171" s="135"/>
      <c r="C171" s="1816" t="s">
        <v>236</v>
      </c>
      <c r="D171" s="254" t="s">
        <v>149</v>
      </c>
      <c r="E171" s="255">
        <v>6</v>
      </c>
      <c r="F171" s="277">
        <v>0</v>
      </c>
      <c r="G171" s="278">
        <f t="shared" si="12"/>
        <v>0</v>
      </c>
      <c r="H171" s="565"/>
    </row>
    <row r="172" spans="2:8" s="136" customFormat="1" x14ac:dyDescent="0.2">
      <c r="B172" s="135"/>
      <c r="C172" s="1816" t="s">
        <v>227</v>
      </c>
      <c r="D172" s="254" t="s">
        <v>149</v>
      </c>
      <c r="E172" s="255">
        <v>2</v>
      </c>
      <c r="F172" s="277">
        <v>0</v>
      </c>
      <c r="G172" s="278">
        <f t="shared" si="12"/>
        <v>0</v>
      </c>
      <c r="H172" s="565"/>
    </row>
    <row r="173" spans="2:8" s="136" customFormat="1" x14ac:dyDescent="0.2">
      <c r="B173" s="135"/>
      <c r="C173" s="1817" t="s">
        <v>198</v>
      </c>
      <c r="D173" s="254" t="s">
        <v>149</v>
      </c>
      <c r="E173" s="255">
        <v>2</v>
      </c>
      <c r="F173" s="277">
        <v>0</v>
      </c>
      <c r="G173" s="278">
        <f t="shared" si="12"/>
        <v>0</v>
      </c>
      <c r="H173" s="565"/>
    </row>
    <row r="174" spans="2:8" s="136" customFormat="1" x14ac:dyDescent="0.2">
      <c r="B174" s="135"/>
      <c r="C174" s="253" t="s">
        <v>844</v>
      </c>
      <c r="D174" s="254"/>
      <c r="E174" s="255"/>
      <c r="F174" s="256">
        <v>0</v>
      </c>
      <c r="G174" s="257"/>
      <c r="H174" s="565"/>
    </row>
    <row r="175" spans="2:8" s="136" customFormat="1" ht="24" x14ac:dyDescent="0.2">
      <c r="B175" s="135"/>
      <c r="C175" s="258" t="s">
        <v>238</v>
      </c>
      <c r="D175" s="254" t="s">
        <v>149</v>
      </c>
      <c r="E175" s="255">
        <v>3</v>
      </c>
      <c r="F175" s="277">
        <v>0</v>
      </c>
      <c r="G175" s="278">
        <f t="shared" ref="G175:G183" si="13">E175*F175</f>
        <v>0</v>
      </c>
      <c r="H175" s="565"/>
    </row>
    <row r="176" spans="2:8" s="136" customFormat="1" x14ac:dyDescent="0.2">
      <c r="B176" s="135"/>
      <c r="C176" s="1816" t="s">
        <v>235</v>
      </c>
      <c r="D176" s="254" t="s">
        <v>149</v>
      </c>
      <c r="E176" s="255">
        <v>6</v>
      </c>
      <c r="F176" s="277">
        <v>0</v>
      </c>
      <c r="G176" s="278">
        <f t="shared" si="13"/>
        <v>0</v>
      </c>
      <c r="H176" s="565"/>
    </row>
    <row r="177" spans="2:8" x14ac:dyDescent="0.2">
      <c r="B177" s="135"/>
      <c r="C177" s="1816" t="s">
        <v>239</v>
      </c>
      <c r="D177" s="254" t="s">
        <v>149</v>
      </c>
      <c r="E177" s="255">
        <v>3</v>
      </c>
      <c r="F177" s="277">
        <v>0</v>
      </c>
      <c r="G177" s="278">
        <f t="shared" si="13"/>
        <v>0</v>
      </c>
    </row>
    <row r="178" spans="2:8" s="136" customFormat="1" x14ac:dyDescent="0.2">
      <c r="B178" s="135"/>
      <c r="C178" s="1816" t="s">
        <v>236</v>
      </c>
      <c r="D178" s="254" t="s">
        <v>149</v>
      </c>
      <c r="E178" s="255">
        <v>6</v>
      </c>
      <c r="F178" s="277">
        <v>0</v>
      </c>
      <c r="G178" s="278">
        <f t="shared" si="13"/>
        <v>0</v>
      </c>
      <c r="H178" s="565"/>
    </row>
    <row r="179" spans="2:8" s="136" customFormat="1" x14ac:dyDescent="0.2">
      <c r="B179" s="135"/>
      <c r="C179" s="1816" t="s">
        <v>240</v>
      </c>
      <c r="D179" s="254" t="s">
        <v>149</v>
      </c>
      <c r="E179" s="255">
        <v>3</v>
      </c>
      <c r="F179" s="277">
        <v>0</v>
      </c>
      <c r="G179" s="278">
        <f t="shared" si="13"/>
        <v>0</v>
      </c>
      <c r="H179" s="565"/>
    </row>
    <row r="180" spans="2:8" s="136" customFormat="1" x14ac:dyDescent="0.2">
      <c r="B180" s="135"/>
      <c r="C180" s="1816" t="s">
        <v>241</v>
      </c>
      <c r="D180" s="254" t="s">
        <v>149</v>
      </c>
      <c r="E180" s="255">
        <v>3</v>
      </c>
      <c r="F180" s="277">
        <v>0</v>
      </c>
      <c r="G180" s="278">
        <f t="shared" si="13"/>
        <v>0</v>
      </c>
      <c r="H180" s="565"/>
    </row>
    <row r="181" spans="2:8" s="136" customFormat="1" x14ac:dyDescent="0.2">
      <c r="B181" s="135"/>
      <c r="C181" s="1816" t="s">
        <v>242</v>
      </c>
      <c r="D181" s="254" t="s">
        <v>149</v>
      </c>
      <c r="E181" s="255">
        <v>3</v>
      </c>
      <c r="F181" s="277">
        <v>0</v>
      </c>
      <c r="G181" s="278">
        <f t="shared" si="13"/>
        <v>0</v>
      </c>
      <c r="H181" s="565"/>
    </row>
    <row r="182" spans="2:8" s="136" customFormat="1" x14ac:dyDescent="0.2">
      <c r="B182" s="135"/>
      <c r="C182" s="1816" t="s">
        <v>227</v>
      </c>
      <c r="D182" s="254" t="s">
        <v>149</v>
      </c>
      <c r="E182" s="255">
        <v>3</v>
      </c>
      <c r="F182" s="277">
        <v>0</v>
      </c>
      <c r="G182" s="278">
        <f t="shared" si="13"/>
        <v>0</v>
      </c>
      <c r="H182" s="565"/>
    </row>
    <row r="183" spans="2:8" s="136" customFormat="1" x14ac:dyDescent="0.2">
      <c r="B183" s="135"/>
      <c r="C183" s="1817" t="s">
        <v>198</v>
      </c>
      <c r="D183" s="254" t="s">
        <v>149</v>
      </c>
      <c r="E183" s="255">
        <v>3</v>
      </c>
      <c r="F183" s="277">
        <v>0</v>
      </c>
      <c r="G183" s="278">
        <f t="shared" si="13"/>
        <v>0</v>
      </c>
      <c r="H183" s="565"/>
    </row>
    <row r="184" spans="2:8" s="136" customFormat="1" x14ac:dyDescent="0.2">
      <c r="B184" s="135"/>
      <c r="C184" s="253" t="s">
        <v>845</v>
      </c>
      <c r="D184" s="254"/>
      <c r="E184" s="255"/>
      <c r="F184" s="256">
        <v>0</v>
      </c>
      <c r="G184" s="257"/>
      <c r="H184" s="565"/>
    </row>
    <row r="185" spans="2:8" s="136" customFormat="1" ht="24" x14ac:dyDescent="0.2">
      <c r="B185" s="135"/>
      <c r="C185" s="258" t="s">
        <v>1679</v>
      </c>
      <c r="D185" s="254" t="s">
        <v>149</v>
      </c>
      <c r="E185" s="255">
        <v>1</v>
      </c>
      <c r="F185" s="277">
        <v>0</v>
      </c>
      <c r="G185" s="278">
        <f t="shared" ref="G185:G191" si="14">E185*F185</f>
        <v>0</v>
      </c>
      <c r="H185" s="565"/>
    </row>
    <row r="186" spans="2:8" s="136" customFormat="1" x14ac:dyDescent="0.2">
      <c r="B186" s="135"/>
      <c r="C186" s="1816" t="s">
        <v>239</v>
      </c>
      <c r="D186" s="254" t="s">
        <v>149</v>
      </c>
      <c r="E186" s="255">
        <v>3</v>
      </c>
      <c r="F186" s="277">
        <v>0</v>
      </c>
      <c r="G186" s="278">
        <f t="shared" si="14"/>
        <v>0</v>
      </c>
      <c r="H186" s="565"/>
    </row>
    <row r="187" spans="2:8" s="136" customFormat="1" x14ac:dyDescent="0.2">
      <c r="B187" s="135"/>
      <c r="C187" s="1816" t="s">
        <v>240</v>
      </c>
      <c r="D187" s="254" t="s">
        <v>149</v>
      </c>
      <c r="E187" s="255">
        <v>3</v>
      </c>
      <c r="F187" s="277">
        <v>0</v>
      </c>
      <c r="G187" s="278">
        <f t="shared" si="14"/>
        <v>0</v>
      </c>
      <c r="H187" s="565"/>
    </row>
    <row r="188" spans="2:8" s="136" customFormat="1" x14ac:dyDescent="0.2">
      <c r="B188" s="135"/>
      <c r="C188" s="1816" t="s">
        <v>241</v>
      </c>
      <c r="D188" s="254" t="s">
        <v>149</v>
      </c>
      <c r="E188" s="255">
        <v>3</v>
      </c>
      <c r="F188" s="277">
        <v>0</v>
      </c>
      <c r="G188" s="278">
        <f t="shared" si="14"/>
        <v>0</v>
      </c>
      <c r="H188" s="565"/>
    </row>
    <row r="189" spans="2:8" s="136" customFormat="1" x14ac:dyDescent="0.2">
      <c r="B189" s="135"/>
      <c r="C189" s="1816" t="s">
        <v>242</v>
      </c>
      <c r="D189" s="254" t="s">
        <v>149</v>
      </c>
      <c r="E189" s="255">
        <v>3</v>
      </c>
      <c r="F189" s="277">
        <v>0</v>
      </c>
      <c r="G189" s="278">
        <f t="shared" si="14"/>
        <v>0</v>
      </c>
      <c r="H189" s="565"/>
    </row>
    <row r="190" spans="2:8" s="136" customFormat="1" x14ac:dyDescent="0.2">
      <c r="B190" s="135"/>
      <c r="C190" s="1816" t="s">
        <v>227</v>
      </c>
      <c r="D190" s="254" t="s">
        <v>149</v>
      </c>
      <c r="E190" s="255">
        <v>1</v>
      </c>
      <c r="F190" s="277">
        <v>0</v>
      </c>
      <c r="G190" s="278">
        <f t="shared" si="14"/>
        <v>0</v>
      </c>
      <c r="H190" s="565"/>
    </row>
    <row r="191" spans="2:8" s="136" customFormat="1" x14ac:dyDescent="0.2">
      <c r="B191" s="135"/>
      <c r="C191" s="1817" t="s">
        <v>198</v>
      </c>
      <c r="D191" s="254" t="s">
        <v>149</v>
      </c>
      <c r="E191" s="255">
        <v>1</v>
      </c>
      <c r="F191" s="277">
        <v>0</v>
      </c>
      <c r="G191" s="278">
        <f t="shared" si="14"/>
        <v>0</v>
      </c>
      <c r="H191" s="565"/>
    </row>
    <row r="192" spans="2:8" s="136" customFormat="1" x14ac:dyDescent="0.2">
      <c r="B192" s="292" t="s">
        <v>220</v>
      </c>
      <c r="C192" s="247" t="s">
        <v>244</v>
      </c>
      <c r="D192" s="202"/>
      <c r="E192" s="248"/>
      <c r="F192" s="249"/>
      <c r="G192" s="205"/>
      <c r="H192" s="565"/>
    </row>
    <row r="193" spans="2:9" s="136" customFormat="1" x14ac:dyDescent="0.2">
      <c r="B193" s="135"/>
      <c r="C193" s="247" t="s">
        <v>849</v>
      </c>
      <c r="D193" s="202"/>
      <c r="E193" s="248"/>
      <c r="F193" s="249">
        <v>0</v>
      </c>
      <c r="G193" s="205"/>
      <c r="H193" s="565"/>
    </row>
    <row r="194" spans="2:9" s="136" customFormat="1" ht="36" x14ac:dyDescent="0.2">
      <c r="B194" s="135"/>
      <c r="C194" s="262" t="s">
        <v>1755</v>
      </c>
      <c r="D194" s="202" t="s">
        <v>149</v>
      </c>
      <c r="E194" s="248">
        <v>22</v>
      </c>
      <c r="F194" s="275">
        <v>0</v>
      </c>
      <c r="G194" s="276">
        <f t="shared" ref="G194:G196" si="15">E194*F194</f>
        <v>0</v>
      </c>
      <c r="H194" s="565"/>
      <c r="I194" s="1403"/>
    </row>
    <row r="195" spans="2:9" s="136" customFormat="1" x14ac:dyDescent="0.2">
      <c r="B195" s="135"/>
      <c r="C195" s="1813" t="s">
        <v>247</v>
      </c>
      <c r="D195" s="202" t="s">
        <v>149</v>
      </c>
      <c r="E195" s="248">
        <v>22</v>
      </c>
      <c r="F195" s="275">
        <v>0</v>
      </c>
      <c r="G195" s="276">
        <f t="shared" si="15"/>
        <v>0</v>
      </c>
      <c r="H195" s="565"/>
    </row>
    <row r="196" spans="2:9" s="136" customFormat="1" x14ac:dyDescent="0.2">
      <c r="B196" s="135"/>
      <c r="C196" s="1818" t="s">
        <v>248</v>
      </c>
      <c r="D196" s="202" t="s">
        <v>149</v>
      </c>
      <c r="E196" s="248">
        <v>22</v>
      </c>
      <c r="F196" s="275">
        <v>0</v>
      </c>
      <c r="G196" s="276">
        <f t="shared" si="15"/>
        <v>0</v>
      </c>
      <c r="H196" s="565"/>
    </row>
    <row r="197" spans="2:9" s="136" customFormat="1" x14ac:dyDescent="0.2">
      <c r="B197" s="135"/>
      <c r="C197" s="247" t="s">
        <v>1429</v>
      </c>
      <c r="D197" s="202"/>
      <c r="E197" s="248"/>
      <c r="F197" s="249">
        <v>0</v>
      </c>
      <c r="G197" s="205"/>
      <c r="H197" s="565"/>
    </row>
    <row r="198" spans="2:9" s="136" customFormat="1" ht="36" x14ac:dyDescent="0.2">
      <c r="B198" s="135"/>
      <c r="C198" s="262" t="s">
        <v>1798</v>
      </c>
      <c r="D198" s="202" t="s">
        <v>149</v>
      </c>
      <c r="E198" s="248">
        <v>10</v>
      </c>
      <c r="F198" s="275">
        <v>0</v>
      </c>
      <c r="G198" s="276">
        <f t="shared" ref="G198:G200" si="16">E198*F198</f>
        <v>0</v>
      </c>
      <c r="H198" s="565"/>
    </row>
    <row r="199" spans="2:9" s="136" customFormat="1" x14ac:dyDescent="0.2">
      <c r="B199" s="135"/>
      <c r="C199" s="1813" t="s">
        <v>247</v>
      </c>
      <c r="D199" s="202" t="s">
        <v>149</v>
      </c>
      <c r="E199" s="248">
        <v>10</v>
      </c>
      <c r="F199" s="275">
        <v>0</v>
      </c>
      <c r="G199" s="276">
        <f t="shared" si="16"/>
        <v>0</v>
      </c>
      <c r="H199" s="565"/>
    </row>
    <row r="200" spans="2:9" s="136" customFormat="1" x14ac:dyDescent="0.2">
      <c r="B200" s="135"/>
      <c r="C200" s="1818" t="s">
        <v>1725</v>
      </c>
      <c r="D200" s="202" t="s">
        <v>149</v>
      </c>
      <c r="E200" s="248">
        <v>10</v>
      </c>
      <c r="F200" s="275">
        <v>0</v>
      </c>
      <c r="G200" s="276">
        <f t="shared" si="16"/>
        <v>0</v>
      </c>
      <c r="H200" s="565"/>
    </row>
    <row r="201" spans="2:9" s="136" customFormat="1" x14ac:dyDescent="0.2">
      <c r="B201" s="135"/>
      <c r="C201" s="247" t="s">
        <v>828</v>
      </c>
      <c r="D201" s="202"/>
      <c r="E201" s="248"/>
      <c r="F201" s="249">
        <v>0</v>
      </c>
      <c r="G201" s="205"/>
      <c r="H201" s="565"/>
    </row>
    <row r="202" spans="2:9" s="136" customFormat="1" ht="36" x14ac:dyDescent="0.2">
      <c r="B202" s="135"/>
      <c r="C202" s="262" t="s">
        <v>829</v>
      </c>
      <c r="D202" s="202" t="s">
        <v>149</v>
      </c>
      <c r="E202" s="248">
        <v>34</v>
      </c>
      <c r="F202" s="275">
        <v>0</v>
      </c>
      <c r="G202" s="276">
        <f t="shared" ref="G202:G204" si="17">E202*F202</f>
        <v>0</v>
      </c>
      <c r="H202" s="565"/>
    </row>
    <row r="203" spans="2:9" s="136" customFormat="1" x14ac:dyDescent="0.2">
      <c r="B203" s="135"/>
      <c r="C203" s="1813" t="s">
        <v>247</v>
      </c>
      <c r="D203" s="202" t="s">
        <v>149</v>
      </c>
      <c r="E203" s="248">
        <v>34</v>
      </c>
      <c r="F203" s="275">
        <v>0</v>
      </c>
      <c r="G203" s="276">
        <f t="shared" si="17"/>
        <v>0</v>
      </c>
      <c r="H203" s="565"/>
    </row>
    <row r="204" spans="2:9" s="136" customFormat="1" x14ac:dyDescent="0.2">
      <c r="B204" s="135"/>
      <c r="C204" s="1818" t="s">
        <v>1725</v>
      </c>
      <c r="D204" s="202" t="s">
        <v>149</v>
      </c>
      <c r="E204" s="248">
        <v>34</v>
      </c>
      <c r="F204" s="275">
        <v>0</v>
      </c>
      <c r="G204" s="276">
        <f t="shared" si="17"/>
        <v>0</v>
      </c>
      <c r="H204" s="565"/>
    </row>
    <row r="205" spans="2:9" s="136" customFormat="1" x14ac:dyDescent="0.2">
      <c r="B205" s="292" t="s">
        <v>330</v>
      </c>
      <c r="C205" s="280" t="s">
        <v>300</v>
      </c>
      <c r="D205" s="281"/>
      <c r="E205" s="282"/>
      <c r="F205" s="283"/>
      <c r="G205" s="284"/>
      <c r="H205" s="565"/>
    </row>
    <row r="206" spans="2:9" s="136" customFormat="1" ht="60" x14ac:dyDescent="0.2">
      <c r="B206" s="135"/>
      <c r="C206" s="285" t="s">
        <v>301</v>
      </c>
      <c r="D206" s="286" t="s">
        <v>149</v>
      </c>
      <c r="E206" s="287">
        <v>66</v>
      </c>
      <c r="F206" s="288">
        <v>0</v>
      </c>
      <c r="G206" s="289">
        <f t="shared" ref="G206" si="18">E206*F206</f>
        <v>0</v>
      </c>
      <c r="H206" s="565"/>
    </row>
    <row r="207" spans="2:9" s="136" customFormat="1" ht="25.5" customHeight="1" x14ac:dyDescent="0.2">
      <c r="B207" s="293" t="s">
        <v>17</v>
      </c>
      <c r="C207" s="294" t="s">
        <v>302</v>
      </c>
      <c r="D207" s="218"/>
      <c r="E207" s="203"/>
      <c r="F207" s="204"/>
      <c r="G207" s="290">
        <f>SUM(G89:G206)</f>
        <v>0</v>
      </c>
      <c r="H207" s="565"/>
    </row>
  </sheetData>
  <mergeCells count="7">
    <mergeCell ref="B96:B97"/>
    <mergeCell ref="C6:G6"/>
    <mergeCell ref="B41:G41"/>
    <mergeCell ref="B52:B54"/>
    <mergeCell ref="B86:G86"/>
    <mergeCell ref="B87:G87"/>
    <mergeCell ref="B88:G88"/>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8"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C4C49-B29E-4392-B43D-DFD96853AC45}">
  <sheetPr codeName="Sheet77">
    <tabColor rgb="FF7030A0"/>
  </sheetPr>
  <dimension ref="A2:L22"/>
  <sheetViews>
    <sheetView zoomScale="120" zoomScaleNormal="120" workbookViewId="0">
      <selection activeCell="G21" sqref="G21"/>
    </sheetView>
  </sheetViews>
  <sheetFormatPr defaultColWidth="10.42578125" defaultRowHeight="12.75" x14ac:dyDescent="0.2"/>
  <cols>
    <col min="1" max="1" width="4.42578125" style="121" customWidth="1"/>
    <col min="2" max="2" width="9.140625" style="120" customWidth="1"/>
    <col min="3" max="3" width="42.85546875" style="188" customWidth="1"/>
    <col min="4" max="4" width="10.42578125" style="189"/>
    <col min="5" max="5" width="9.28515625" style="464" customWidth="1"/>
    <col min="6" max="6" width="12.140625" style="465" customWidth="1"/>
    <col min="7" max="7" width="17.28515625" style="463" customWidth="1"/>
    <col min="8" max="8" width="16" style="565" customWidth="1"/>
    <col min="9" max="9" width="26.28515625" style="121" customWidth="1"/>
    <col min="10"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15.75" x14ac:dyDescent="0.2">
      <c r="B2" s="137"/>
      <c r="C2" s="588" t="s">
        <v>59</v>
      </c>
      <c r="D2" s="155"/>
      <c r="E2" s="156"/>
      <c r="F2" s="157"/>
      <c r="G2" s="355"/>
    </row>
    <row r="4" spans="1:12" s="139" customFormat="1" ht="15" x14ac:dyDescent="0.2">
      <c r="A4" s="140"/>
      <c r="B4" s="143" t="s">
        <v>1</v>
      </c>
      <c r="C4" s="168"/>
      <c r="D4" s="170"/>
      <c r="E4" s="170"/>
      <c r="F4" s="170"/>
      <c r="G4" s="169"/>
    </row>
    <row r="5" spans="1:12" s="139" customFormat="1" ht="15.75" x14ac:dyDescent="0.25">
      <c r="A5" s="141"/>
      <c r="B5" s="144" t="s">
        <v>2</v>
      </c>
      <c r="C5" s="171"/>
      <c r="D5" s="172"/>
      <c r="E5" s="173"/>
      <c r="F5" s="173"/>
      <c r="G5" s="172"/>
    </row>
    <row r="6" spans="1:12" s="139" customFormat="1" ht="15" x14ac:dyDescent="0.2">
      <c r="A6" s="140"/>
      <c r="B6" s="143" t="s">
        <v>3</v>
      </c>
      <c r="C6" s="168"/>
      <c r="D6" s="170"/>
      <c r="E6" s="170"/>
      <c r="F6" s="170"/>
      <c r="G6" s="169"/>
    </row>
    <row r="7" spans="1:12" s="139" customFormat="1" ht="15.75" x14ac:dyDescent="0.25">
      <c r="A7" s="141"/>
      <c r="B7" s="144" t="s">
        <v>4</v>
      </c>
      <c r="C7" s="171"/>
      <c r="D7" s="173"/>
      <c r="E7" s="173"/>
      <c r="F7" s="173"/>
      <c r="G7" s="172"/>
    </row>
    <row r="8" spans="1:12" s="589" customFormat="1" ht="14.25" x14ac:dyDescent="0.2">
      <c r="B8" s="590"/>
      <c r="C8" s="591"/>
      <c r="D8" s="592"/>
      <c r="E8" s="593"/>
      <c r="F8" s="594"/>
      <c r="G8" s="595"/>
      <c r="H8" s="567"/>
      <c r="I8" s="596"/>
      <c r="J8" s="596"/>
      <c r="K8" s="596"/>
      <c r="L8" s="596"/>
    </row>
    <row r="9" spans="1:12" s="589" customFormat="1" ht="24" customHeight="1" x14ac:dyDescent="0.2">
      <c r="B9" s="2817"/>
      <c r="C9" s="2818" t="s">
        <v>61</v>
      </c>
      <c r="D9" s="608"/>
      <c r="E9" s="609"/>
      <c r="F9" s="610"/>
      <c r="G9" s="2820" t="s">
        <v>64</v>
      </c>
      <c r="H9" s="567"/>
      <c r="I9" s="596"/>
      <c r="J9" s="596"/>
      <c r="K9" s="596"/>
      <c r="L9" s="596"/>
    </row>
    <row r="10" spans="1:12" s="597" customFormat="1" ht="24" customHeight="1" x14ac:dyDescent="0.25">
      <c r="B10" s="598" t="s">
        <v>6</v>
      </c>
      <c r="C10" s="599" t="s">
        <v>62</v>
      </c>
      <c r="D10" s="3308" t="s">
        <v>2217</v>
      </c>
      <c r="E10" s="3308"/>
      <c r="F10" s="3309"/>
      <c r="G10" s="600" t="s">
        <v>2523</v>
      </c>
      <c r="H10" s="566"/>
    </row>
    <row r="11" spans="1:12" s="597" customFormat="1" ht="24" customHeight="1" x14ac:dyDescent="0.25">
      <c r="B11" s="1735"/>
      <c r="C11" s="2716" t="s">
        <v>71</v>
      </c>
      <c r="D11" s="2714"/>
      <c r="E11" s="2714"/>
      <c r="F11" s="2715"/>
      <c r="G11" s="1733"/>
      <c r="H11" s="566"/>
    </row>
    <row r="12" spans="1:12" s="597" customFormat="1" ht="24" customHeight="1" x14ac:dyDescent="0.25">
      <c r="B12" s="601" t="s">
        <v>8</v>
      </c>
      <c r="C12" s="602" t="s">
        <v>2518</v>
      </c>
      <c r="D12" s="603"/>
      <c r="E12" s="604"/>
      <c r="F12" s="605"/>
      <c r="G12" s="1736">
        <f>'Šalovci_VŠM 6'!G18</f>
        <v>0</v>
      </c>
      <c r="H12" s="566"/>
    </row>
    <row r="13" spans="1:12" s="597" customFormat="1" ht="24" customHeight="1" x14ac:dyDescent="0.25">
      <c r="B13" s="601" t="s">
        <v>15</v>
      </c>
      <c r="C13" s="602" t="s">
        <v>2218</v>
      </c>
      <c r="D13" s="603"/>
      <c r="E13" s="604"/>
      <c r="F13" s="605"/>
      <c r="G13" s="1736">
        <f>Šalovci_ČRP_MARKOVCI!G19</f>
        <v>0</v>
      </c>
      <c r="H13" s="566"/>
    </row>
    <row r="14" spans="1:12" s="597" customFormat="1" ht="24" customHeight="1" x14ac:dyDescent="0.25">
      <c r="B14" s="601" t="s">
        <v>20</v>
      </c>
      <c r="C14" s="602" t="s">
        <v>2219</v>
      </c>
      <c r="D14" s="603"/>
      <c r="E14" s="604"/>
      <c r="F14" s="605"/>
      <c r="G14" s="1736">
        <f>'Šalovci_VH Dolenci'!G18</f>
        <v>0</v>
      </c>
      <c r="H14" s="566"/>
    </row>
    <row r="15" spans="1:12" s="597" customFormat="1" ht="24" customHeight="1" x14ac:dyDescent="0.25">
      <c r="B15" s="601" t="s">
        <v>24</v>
      </c>
      <c r="C15" s="602" t="s">
        <v>2220</v>
      </c>
      <c r="D15" s="603"/>
      <c r="E15" s="604"/>
      <c r="F15" s="605"/>
      <c r="G15" s="1736">
        <f>'Šalovci_VH Domanjševci'!G17</f>
        <v>0</v>
      </c>
      <c r="H15" s="566"/>
    </row>
    <row r="16" spans="1:12" s="597" customFormat="1" ht="24" customHeight="1" x14ac:dyDescent="0.25">
      <c r="B16" s="601" t="s">
        <v>29</v>
      </c>
      <c r="C16" s="602" t="s">
        <v>2221</v>
      </c>
      <c r="D16" s="603"/>
      <c r="E16" s="604"/>
      <c r="F16" s="605"/>
      <c r="G16" s="1736">
        <f>'Šalovci_VH Čepinci'!G17</f>
        <v>0</v>
      </c>
      <c r="H16" s="566"/>
    </row>
    <row r="17" spans="2:8" s="597" customFormat="1" ht="24" customHeight="1" x14ac:dyDescent="0.25">
      <c r="B17" s="601" t="s">
        <v>33</v>
      </c>
      <c r="C17" s="602" t="s">
        <v>2222</v>
      </c>
      <c r="D17" s="603"/>
      <c r="E17" s="604"/>
      <c r="F17" s="605"/>
      <c r="G17" s="1736">
        <f>'Šalovci_ČRP Čepinci 1'!G16</f>
        <v>0</v>
      </c>
      <c r="H17" s="566"/>
    </row>
    <row r="18" spans="2:8" s="597" customFormat="1" ht="24" customHeight="1" x14ac:dyDescent="0.25">
      <c r="B18" s="601" t="s">
        <v>38</v>
      </c>
      <c r="C18" s="602" t="s">
        <v>2223</v>
      </c>
      <c r="D18" s="603"/>
      <c r="E18" s="604"/>
      <c r="F18" s="605"/>
      <c r="G18" s="1736">
        <f>'Šalovci_ČRP Čepinci 2'!G16</f>
        <v>0</v>
      </c>
      <c r="H18" s="566"/>
    </row>
    <row r="19" spans="2:8" s="597" customFormat="1" ht="24" customHeight="1" x14ac:dyDescent="0.25">
      <c r="B19" s="601" t="s">
        <v>43</v>
      </c>
      <c r="C19" s="602" t="s">
        <v>2224</v>
      </c>
      <c r="D19" s="603"/>
      <c r="E19" s="604"/>
      <c r="F19" s="605"/>
      <c r="G19" s="1736">
        <f>'Šalovci_ČRP Čepinci 3'!G16</f>
        <v>0</v>
      </c>
      <c r="H19" s="566"/>
    </row>
    <row r="20" spans="2:8" s="597" customFormat="1" ht="24" customHeight="1" x14ac:dyDescent="0.25">
      <c r="B20" s="1735"/>
      <c r="C20" s="3176" t="s">
        <v>73</v>
      </c>
      <c r="D20" s="3177"/>
      <c r="E20" s="3177"/>
      <c r="F20" s="3178"/>
      <c r="G20" s="2819">
        <f>SUM(G12:G19)</f>
        <v>0</v>
      </c>
      <c r="H20" s="566"/>
    </row>
    <row r="21" spans="2:8" s="597" customFormat="1" ht="24" customHeight="1" x14ac:dyDescent="0.25">
      <c r="B21" s="606"/>
      <c r="C21" s="607" t="s">
        <v>79</v>
      </c>
      <c r="D21" s="608"/>
      <c r="E21" s="609"/>
      <c r="F21" s="610"/>
      <c r="G21" s="1963">
        <f>G20</f>
        <v>0</v>
      </c>
      <c r="H21" s="566"/>
    </row>
    <row r="22" spans="2:8" x14ac:dyDescent="0.2">
      <c r="B22" s="127"/>
      <c r="C22" s="183"/>
      <c r="D22" s="184"/>
      <c r="E22" s="461"/>
      <c r="F22" s="462"/>
    </row>
  </sheetData>
  <mergeCells count="2">
    <mergeCell ref="D10:F10"/>
    <mergeCell ref="C20:F20"/>
  </mergeCells>
  <phoneticPr fontId="40" type="noConversion"/>
  <pageMargins left="0.7" right="0.7" top="0.75" bottom="0.75" header="0.3" footer="0.3"/>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F7F59-B5D6-4C41-A5A7-47590BD10361}">
  <sheetPr codeName="Sheet78">
    <tabColor rgb="FF7030A0"/>
  </sheetPr>
  <dimension ref="A2:K149"/>
  <sheetViews>
    <sheetView showZeros="0" tabSelected="1" topLeftCell="A58" zoomScale="110" zoomScaleNormal="110" workbookViewId="0">
      <selection activeCell="C65" sqref="C6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7.5703125" style="463" customWidth="1"/>
    <col min="8" max="8" width="16" style="565" customWidth="1"/>
    <col min="9" max="9" width="26.28515625" style="121" customWidth="1"/>
    <col min="10" max="10" width="10.42578125" style="121" customWidth="1"/>
    <col min="11" max="256" width="10.42578125" style="121"/>
    <col min="257" max="257" width="7.42578125" style="121" customWidth="1"/>
    <col min="258" max="258" width="37.42578125" style="121" customWidth="1"/>
    <col min="259" max="259" width="10.42578125" style="121"/>
    <col min="260" max="260" width="9.28515625" style="121" customWidth="1"/>
    <col min="261" max="262" width="12.140625" style="121" customWidth="1"/>
    <col min="263" max="263" width="16" style="121" customWidth="1"/>
    <col min="264" max="264" width="26.28515625" style="121" customWidth="1"/>
    <col min="265" max="512" width="10.42578125" style="121"/>
    <col min="513" max="513" width="7.42578125" style="121" customWidth="1"/>
    <col min="514" max="514" width="37.42578125" style="121" customWidth="1"/>
    <col min="515" max="515" width="10.42578125" style="121"/>
    <col min="516" max="516" width="9.28515625" style="121" customWidth="1"/>
    <col min="517" max="518" width="12.140625" style="121" customWidth="1"/>
    <col min="519" max="519" width="16" style="121" customWidth="1"/>
    <col min="520" max="520" width="26.28515625" style="121" customWidth="1"/>
    <col min="521" max="768" width="10.42578125" style="121"/>
    <col min="769" max="769" width="7.42578125" style="121" customWidth="1"/>
    <col min="770" max="770" width="37.42578125" style="121" customWidth="1"/>
    <col min="771" max="771" width="10.42578125" style="121"/>
    <col min="772" max="772" width="9.28515625" style="121" customWidth="1"/>
    <col min="773" max="774" width="12.140625" style="121" customWidth="1"/>
    <col min="775" max="775" width="16" style="121" customWidth="1"/>
    <col min="776" max="776" width="26.28515625" style="121" customWidth="1"/>
    <col min="777" max="1024" width="10.42578125" style="121"/>
    <col min="1025" max="1025" width="7.42578125" style="121" customWidth="1"/>
    <col min="1026" max="1026" width="37.42578125" style="121" customWidth="1"/>
    <col min="1027" max="1027" width="10.42578125" style="121"/>
    <col min="1028" max="1028" width="9.28515625" style="121" customWidth="1"/>
    <col min="1029" max="1030" width="12.140625" style="121" customWidth="1"/>
    <col min="1031" max="1031" width="16" style="121" customWidth="1"/>
    <col min="1032" max="1032" width="26.28515625" style="121" customWidth="1"/>
    <col min="1033" max="1280" width="10.42578125" style="121"/>
    <col min="1281" max="1281" width="7.42578125" style="121" customWidth="1"/>
    <col min="1282" max="1282" width="37.42578125" style="121" customWidth="1"/>
    <col min="1283" max="1283" width="10.42578125" style="121"/>
    <col min="1284" max="1284" width="9.28515625" style="121" customWidth="1"/>
    <col min="1285" max="1286" width="12.140625" style="121" customWidth="1"/>
    <col min="1287" max="1287" width="16" style="121" customWidth="1"/>
    <col min="1288" max="1288" width="26.28515625" style="121" customWidth="1"/>
    <col min="1289" max="1536" width="10.42578125" style="121"/>
    <col min="1537" max="1537" width="7.42578125" style="121" customWidth="1"/>
    <col min="1538" max="1538" width="37.42578125" style="121" customWidth="1"/>
    <col min="1539" max="1539" width="10.42578125" style="121"/>
    <col min="1540" max="1540" width="9.28515625" style="121" customWidth="1"/>
    <col min="1541" max="1542" width="12.140625" style="121" customWidth="1"/>
    <col min="1543" max="1543" width="16" style="121" customWidth="1"/>
    <col min="1544" max="1544" width="26.28515625" style="121" customWidth="1"/>
    <col min="1545" max="1792" width="10.42578125" style="121"/>
    <col min="1793" max="1793" width="7.42578125" style="121" customWidth="1"/>
    <col min="1794" max="1794" width="37.42578125" style="121" customWidth="1"/>
    <col min="1795" max="1795" width="10.42578125" style="121"/>
    <col min="1796" max="1796" width="9.28515625" style="121" customWidth="1"/>
    <col min="1797" max="1798" width="12.140625" style="121" customWidth="1"/>
    <col min="1799" max="1799" width="16" style="121" customWidth="1"/>
    <col min="1800" max="1800" width="26.28515625" style="121" customWidth="1"/>
    <col min="1801" max="2048" width="10.42578125" style="121"/>
    <col min="2049" max="2049" width="7.42578125" style="121" customWidth="1"/>
    <col min="2050" max="2050" width="37.42578125" style="121" customWidth="1"/>
    <col min="2051" max="2051" width="10.42578125" style="121"/>
    <col min="2052" max="2052" width="9.28515625" style="121" customWidth="1"/>
    <col min="2053" max="2054" width="12.140625" style="121" customWidth="1"/>
    <col min="2055" max="2055" width="16" style="121" customWidth="1"/>
    <col min="2056" max="2056" width="26.28515625" style="121" customWidth="1"/>
    <col min="2057" max="2304" width="10.42578125" style="121"/>
    <col min="2305" max="2305" width="7.42578125" style="121" customWidth="1"/>
    <col min="2306" max="2306" width="37.42578125" style="121" customWidth="1"/>
    <col min="2307" max="2307" width="10.42578125" style="121"/>
    <col min="2308" max="2308" width="9.28515625" style="121" customWidth="1"/>
    <col min="2309" max="2310" width="12.140625" style="121" customWidth="1"/>
    <col min="2311" max="2311" width="16" style="121" customWidth="1"/>
    <col min="2312" max="2312" width="26.28515625" style="121" customWidth="1"/>
    <col min="2313" max="2560" width="10.42578125" style="121"/>
    <col min="2561" max="2561" width="7.42578125" style="121" customWidth="1"/>
    <col min="2562" max="2562" width="37.42578125" style="121" customWidth="1"/>
    <col min="2563" max="2563" width="10.42578125" style="121"/>
    <col min="2564" max="2564" width="9.28515625" style="121" customWidth="1"/>
    <col min="2565" max="2566" width="12.140625" style="121" customWidth="1"/>
    <col min="2567" max="2567" width="16" style="121" customWidth="1"/>
    <col min="2568" max="2568" width="26.28515625" style="121" customWidth="1"/>
    <col min="2569" max="2816" width="10.42578125" style="121"/>
    <col min="2817" max="2817" width="7.42578125" style="121" customWidth="1"/>
    <col min="2818" max="2818" width="37.42578125" style="121" customWidth="1"/>
    <col min="2819" max="2819" width="10.42578125" style="121"/>
    <col min="2820" max="2820" width="9.28515625" style="121" customWidth="1"/>
    <col min="2821" max="2822" width="12.140625" style="121" customWidth="1"/>
    <col min="2823" max="2823" width="16" style="121" customWidth="1"/>
    <col min="2824" max="2824" width="26.28515625" style="121" customWidth="1"/>
    <col min="2825" max="3072" width="10.42578125" style="121"/>
    <col min="3073" max="3073" width="7.42578125" style="121" customWidth="1"/>
    <col min="3074" max="3074" width="37.42578125" style="121" customWidth="1"/>
    <col min="3075" max="3075" width="10.42578125" style="121"/>
    <col min="3076" max="3076" width="9.28515625" style="121" customWidth="1"/>
    <col min="3077" max="3078" width="12.140625" style="121" customWidth="1"/>
    <col min="3079" max="3079" width="16" style="121" customWidth="1"/>
    <col min="3080" max="3080" width="26.28515625" style="121" customWidth="1"/>
    <col min="3081" max="3328" width="10.42578125" style="121"/>
    <col min="3329" max="3329" width="7.42578125" style="121" customWidth="1"/>
    <col min="3330" max="3330" width="37.42578125" style="121" customWidth="1"/>
    <col min="3331" max="3331" width="10.42578125" style="121"/>
    <col min="3332" max="3332" width="9.28515625" style="121" customWidth="1"/>
    <col min="3333" max="3334" width="12.140625" style="121" customWidth="1"/>
    <col min="3335" max="3335" width="16" style="121" customWidth="1"/>
    <col min="3336" max="3336" width="26.28515625" style="121" customWidth="1"/>
    <col min="3337" max="3584" width="10.42578125" style="121"/>
    <col min="3585" max="3585" width="7.42578125" style="121" customWidth="1"/>
    <col min="3586" max="3586" width="37.42578125" style="121" customWidth="1"/>
    <col min="3587" max="3587" width="10.42578125" style="121"/>
    <col min="3588" max="3588" width="9.28515625" style="121" customWidth="1"/>
    <col min="3589" max="3590" width="12.140625" style="121" customWidth="1"/>
    <col min="3591" max="3591" width="16" style="121" customWidth="1"/>
    <col min="3592" max="3592" width="26.28515625" style="121" customWidth="1"/>
    <col min="3593" max="3840" width="10.42578125" style="121"/>
    <col min="3841" max="3841" width="7.42578125" style="121" customWidth="1"/>
    <col min="3842" max="3842" width="37.42578125" style="121" customWidth="1"/>
    <col min="3843" max="3843" width="10.42578125" style="121"/>
    <col min="3844" max="3844" width="9.28515625" style="121" customWidth="1"/>
    <col min="3845" max="3846" width="12.140625" style="121" customWidth="1"/>
    <col min="3847" max="3847" width="16" style="121" customWidth="1"/>
    <col min="3848" max="3848" width="26.28515625" style="121" customWidth="1"/>
    <col min="3849" max="4096" width="10.42578125" style="121"/>
    <col min="4097" max="4097" width="7.42578125" style="121" customWidth="1"/>
    <col min="4098" max="4098" width="37.42578125" style="121" customWidth="1"/>
    <col min="4099" max="4099" width="10.42578125" style="121"/>
    <col min="4100" max="4100" width="9.28515625" style="121" customWidth="1"/>
    <col min="4101" max="4102" width="12.140625" style="121" customWidth="1"/>
    <col min="4103" max="4103" width="16" style="121" customWidth="1"/>
    <col min="4104" max="4104" width="26.28515625" style="121" customWidth="1"/>
    <col min="4105" max="4352" width="10.42578125" style="121"/>
    <col min="4353" max="4353" width="7.42578125" style="121" customWidth="1"/>
    <col min="4354" max="4354" width="37.42578125" style="121" customWidth="1"/>
    <col min="4355" max="4355" width="10.42578125" style="121"/>
    <col min="4356" max="4356" width="9.28515625" style="121" customWidth="1"/>
    <col min="4357" max="4358" width="12.140625" style="121" customWidth="1"/>
    <col min="4359" max="4359" width="16" style="121" customWidth="1"/>
    <col min="4360" max="4360" width="26.28515625" style="121" customWidth="1"/>
    <col min="4361" max="4608" width="10.42578125" style="121"/>
    <col min="4609" max="4609" width="7.42578125" style="121" customWidth="1"/>
    <col min="4610" max="4610" width="37.42578125" style="121" customWidth="1"/>
    <col min="4611" max="4611" width="10.42578125" style="121"/>
    <col min="4612" max="4612" width="9.28515625" style="121" customWidth="1"/>
    <col min="4613" max="4614" width="12.140625" style="121" customWidth="1"/>
    <col min="4615" max="4615" width="16" style="121" customWidth="1"/>
    <col min="4616" max="4616" width="26.28515625" style="121" customWidth="1"/>
    <col min="4617" max="4864" width="10.42578125" style="121"/>
    <col min="4865" max="4865" width="7.42578125" style="121" customWidth="1"/>
    <col min="4866" max="4866" width="37.42578125" style="121" customWidth="1"/>
    <col min="4867" max="4867" width="10.42578125" style="121"/>
    <col min="4868" max="4868" width="9.28515625" style="121" customWidth="1"/>
    <col min="4869" max="4870" width="12.140625" style="121" customWidth="1"/>
    <col min="4871" max="4871" width="16" style="121" customWidth="1"/>
    <col min="4872" max="4872" width="26.28515625" style="121" customWidth="1"/>
    <col min="4873" max="5120" width="10.42578125" style="121"/>
    <col min="5121" max="5121" width="7.42578125" style="121" customWidth="1"/>
    <col min="5122" max="5122" width="37.42578125" style="121" customWidth="1"/>
    <col min="5123" max="5123" width="10.42578125" style="121"/>
    <col min="5124" max="5124" width="9.28515625" style="121" customWidth="1"/>
    <col min="5125" max="5126" width="12.140625" style="121" customWidth="1"/>
    <col min="5127" max="5127" width="16" style="121" customWidth="1"/>
    <col min="5128" max="5128" width="26.28515625" style="121" customWidth="1"/>
    <col min="5129" max="5376" width="10.42578125" style="121"/>
    <col min="5377" max="5377" width="7.42578125" style="121" customWidth="1"/>
    <col min="5378" max="5378" width="37.42578125" style="121" customWidth="1"/>
    <col min="5379" max="5379" width="10.42578125" style="121"/>
    <col min="5380" max="5380" width="9.28515625" style="121" customWidth="1"/>
    <col min="5381" max="5382" width="12.140625" style="121" customWidth="1"/>
    <col min="5383" max="5383" width="16" style="121" customWidth="1"/>
    <col min="5384" max="5384" width="26.28515625" style="121" customWidth="1"/>
    <col min="5385" max="5632" width="10.42578125" style="121"/>
    <col min="5633" max="5633" width="7.42578125" style="121" customWidth="1"/>
    <col min="5634" max="5634" width="37.42578125" style="121" customWidth="1"/>
    <col min="5635" max="5635" width="10.42578125" style="121"/>
    <col min="5636" max="5636" width="9.28515625" style="121" customWidth="1"/>
    <col min="5637" max="5638" width="12.140625" style="121" customWidth="1"/>
    <col min="5639" max="5639" width="16" style="121" customWidth="1"/>
    <col min="5640" max="5640" width="26.28515625" style="121" customWidth="1"/>
    <col min="5641" max="5888" width="10.42578125" style="121"/>
    <col min="5889" max="5889" width="7.42578125" style="121" customWidth="1"/>
    <col min="5890" max="5890" width="37.42578125" style="121" customWidth="1"/>
    <col min="5891" max="5891" width="10.42578125" style="121"/>
    <col min="5892" max="5892" width="9.28515625" style="121" customWidth="1"/>
    <col min="5893" max="5894" width="12.140625" style="121" customWidth="1"/>
    <col min="5895" max="5895" width="16" style="121" customWidth="1"/>
    <col min="5896" max="5896" width="26.28515625" style="121" customWidth="1"/>
    <col min="5897" max="6144" width="10.42578125" style="121"/>
    <col min="6145" max="6145" width="7.42578125" style="121" customWidth="1"/>
    <col min="6146" max="6146" width="37.42578125" style="121" customWidth="1"/>
    <col min="6147" max="6147" width="10.42578125" style="121"/>
    <col min="6148" max="6148" width="9.28515625" style="121" customWidth="1"/>
    <col min="6149" max="6150" width="12.140625" style="121" customWidth="1"/>
    <col min="6151" max="6151" width="16" style="121" customWidth="1"/>
    <col min="6152" max="6152" width="26.28515625" style="121" customWidth="1"/>
    <col min="6153" max="6400" width="10.42578125" style="121"/>
    <col min="6401" max="6401" width="7.42578125" style="121" customWidth="1"/>
    <col min="6402" max="6402" width="37.42578125" style="121" customWidth="1"/>
    <col min="6403" max="6403" width="10.42578125" style="121"/>
    <col min="6404" max="6404" width="9.28515625" style="121" customWidth="1"/>
    <col min="6405" max="6406" width="12.140625" style="121" customWidth="1"/>
    <col min="6407" max="6407" width="16" style="121" customWidth="1"/>
    <col min="6408" max="6408" width="26.28515625" style="121" customWidth="1"/>
    <col min="6409" max="6656" width="10.42578125" style="121"/>
    <col min="6657" max="6657" width="7.42578125" style="121" customWidth="1"/>
    <col min="6658" max="6658" width="37.42578125" style="121" customWidth="1"/>
    <col min="6659" max="6659" width="10.42578125" style="121"/>
    <col min="6660" max="6660" width="9.28515625" style="121" customWidth="1"/>
    <col min="6661" max="6662" width="12.140625" style="121" customWidth="1"/>
    <col min="6663" max="6663" width="16" style="121" customWidth="1"/>
    <col min="6664" max="6664" width="26.28515625" style="121" customWidth="1"/>
    <col min="6665" max="6912" width="10.42578125" style="121"/>
    <col min="6913" max="6913" width="7.42578125" style="121" customWidth="1"/>
    <col min="6914" max="6914" width="37.42578125" style="121" customWidth="1"/>
    <col min="6915" max="6915" width="10.42578125" style="121"/>
    <col min="6916" max="6916" width="9.28515625" style="121" customWidth="1"/>
    <col min="6917" max="6918" width="12.140625" style="121" customWidth="1"/>
    <col min="6919" max="6919" width="16" style="121" customWidth="1"/>
    <col min="6920" max="6920" width="26.28515625" style="121" customWidth="1"/>
    <col min="6921" max="7168" width="10.42578125" style="121"/>
    <col min="7169" max="7169" width="7.42578125" style="121" customWidth="1"/>
    <col min="7170" max="7170" width="37.42578125" style="121" customWidth="1"/>
    <col min="7171" max="7171" width="10.42578125" style="121"/>
    <col min="7172" max="7172" width="9.28515625" style="121" customWidth="1"/>
    <col min="7173" max="7174" width="12.140625" style="121" customWidth="1"/>
    <col min="7175" max="7175" width="16" style="121" customWidth="1"/>
    <col min="7176" max="7176" width="26.28515625" style="121" customWidth="1"/>
    <col min="7177" max="7424" width="10.42578125" style="121"/>
    <col min="7425" max="7425" width="7.42578125" style="121" customWidth="1"/>
    <col min="7426" max="7426" width="37.42578125" style="121" customWidth="1"/>
    <col min="7427" max="7427" width="10.42578125" style="121"/>
    <col min="7428" max="7428" width="9.28515625" style="121" customWidth="1"/>
    <col min="7429" max="7430" width="12.140625" style="121" customWidth="1"/>
    <col min="7431" max="7431" width="16" style="121" customWidth="1"/>
    <col min="7432" max="7432" width="26.28515625" style="121" customWidth="1"/>
    <col min="7433" max="7680" width="10.42578125" style="121"/>
    <col min="7681" max="7681" width="7.42578125" style="121" customWidth="1"/>
    <col min="7682" max="7682" width="37.42578125" style="121" customWidth="1"/>
    <col min="7683" max="7683" width="10.42578125" style="121"/>
    <col min="7684" max="7684" width="9.28515625" style="121" customWidth="1"/>
    <col min="7685" max="7686" width="12.140625" style="121" customWidth="1"/>
    <col min="7687" max="7687" width="16" style="121" customWidth="1"/>
    <col min="7688" max="7688" width="26.28515625" style="121" customWidth="1"/>
    <col min="7689" max="7936" width="10.42578125" style="121"/>
    <col min="7937" max="7937" width="7.42578125" style="121" customWidth="1"/>
    <col min="7938" max="7938" width="37.42578125" style="121" customWidth="1"/>
    <col min="7939" max="7939" width="10.42578125" style="121"/>
    <col min="7940" max="7940" width="9.28515625" style="121" customWidth="1"/>
    <col min="7941" max="7942" width="12.140625" style="121" customWidth="1"/>
    <col min="7943" max="7943" width="16" style="121" customWidth="1"/>
    <col min="7944" max="7944" width="26.28515625" style="121" customWidth="1"/>
    <col min="7945" max="8192" width="10.42578125" style="121"/>
    <col min="8193" max="8193" width="7.42578125" style="121" customWidth="1"/>
    <col min="8194" max="8194" width="37.42578125" style="121" customWidth="1"/>
    <col min="8195" max="8195" width="10.42578125" style="121"/>
    <col min="8196" max="8196" width="9.28515625" style="121" customWidth="1"/>
    <col min="8197" max="8198" width="12.140625" style="121" customWidth="1"/>
    <col min="8199" max="8199" width="16" style="121" customWidth="1"/>
    <col min="8200" max="8200" width="26.28515625" style="121" customWidth="1"/>
    <col min="8201" max="8448" width="10.42578125" style="121"/>
    <col min="8449" max="8449" width="7.42578125" style="121" customWidth="1"/>
    <col min="8450" max="8450" width="37.42578125" style="121" customWidth="1"/>
    <col min="8451" max="8451" width="10.42578125" style="121"/>
    <col min="8452" max="8452" width="9.28515625" style="121" customWidth="1"/>
    <col min="8453" max="8454" width="12.140625" style="121" customWidth="1"/>
    <col min="8455" max="8455" width="16" style="121" customWidth="1"/>
    <col min="8456" max="8456" width="26.28515625" style="121" customWidth="1"/>
    <col min="8457" max="8704" width="10.42578125" style="121"/>
    <col min="8705" max="8705" width="7.42578125" style="121" customWidth="1"/>
    <col min="8706" max="8706" width="37.42578125" style="121" customWidth="1"/>
    <col min="8707" max="8707" width="10.42578125" style="121"/>
    <col min="8708" max="8708" width="9.28515625" style="121" customWidth="1"/>
    <col min="8709" max="8710" width="12.140625" style="121" customWidth="1"/>
    <col min="8711" max="8711" width="16" style="121" customWidth="1"/>
    <col min="8712" max="8712" width="26.28515625" style="121" customWidth="1"/>
    <col min="8713" max="8960" width="10.42578125" style="121"/>
    <col min="8961" max="8961" width="7.42578125" style="121" customWidth="1"/>
    <col min="8962" max="8962" width="37.42578125" style="121" customWidth="1"/>
    <col min="8963" max="8963" width="10.42578125" style="121"/>
    <col min="8964" max="8964" width="9.28515625" style="121" customWidth="1"/>
    <col min="8965" max="8966" width="12.140625" style="121" customWidth="1"/>
    <col min="8967" max="8967" width="16" style="121" customWidth="1"/>
    <col min="8968" max="8968" width="26.28515625" style="121" customWidth="1"/>
    <col min="8969" max="9216" width="10.42578125" style="121"/>
    <col min="9217" max="9217" width="7.42578125" style="121" customWidth="1"/>
    <col min="9218" max="9218" width="37.42578125" style="121" customWidth="1"/>
    <col min="9219" max="9219" width="10.42578125" style="121"/>
    <col min="9220" max="9220" width="9.28515625" style="121" customWidth="1"/>
    <col min="9221" max="9222" width="12.140625" style="121" customWidth="1"/>
    <col min="9223" max="9223" width="16" style="121" customWidth="1"/>
    <col min="9224" max="9224" width="26.28515625" style="121" customWidth="1"/>
    <col min="9225" max="9472" width="10.42578125" style="121"/>
    <col min="9473" max="9473" width="7.42578125" style="121" customWidth="1"/>
    <col min="9474" max="9474" width="37.42578125" style="121" customWidth="1"/>
    <col min="9475" max="9475" width="10.42578125" style="121"/>
    <col min="9476" max="9476" width="9.28515625" style="121" customWidth="1"/>
    <col min="9477" max="9478" width="12.140625" style="121" customWidth="1"/>
    <col min="9479" max="9479" width="16" style="121" customWidth="1"/>
    <col min="9480" max="9480" width="26.28515625" style="121" customWidth="1"/>
    <col min="9481" max="9728" width="10.42578125" style="121"/>
    <col min="9729" max="9729" width="7.42578125" style="121" customWidth="1"/>
    <col min="9730" max="9730" width="37.42578125" style="121" customWidth="1"/>
    <col min="9731" max="9731" width="10.42578125" style="121"/>
    <col min="9732" max="9732" width="9.28515625" style="121" customWidth="1"/>
    <col min="9733" max="9734" width="12.140625" style="121" customWidth="1"/>
    <col min="9735" max="9735" width="16" style="121" customWidth="1"/>
    <col min="9736" max="9736" width="26.28515625" style="121" customWidth="1"/>
    <col min="9737" max="9984" width="10.42578125" style="121"/>
    <col min="9985" max="9985" width="7.42578125" style="121" customWidth="1"/>
    <col min="9986" max="9986" width="37.42578125" style="121" customWidth="1"/>
    <col min="9987" max="9987" width="10.42578125" style="121"/>
    <col min="9988" max="9988" width="9.28515625" style="121" customWidth="1"/>
    <col min="9989" max="9990" width="12.140625" style="121" customWidth="1"/>
    <col min="9991" max="9991" width="16" style="121" customWidth="1"/>
    <col min="9992" max="9992" width="26.28515625" style="121" customWidth="1"/>
    <col min="9993" max="10240" width="10.42578125" style="121"/>
    <col min="10241" max="10241" width="7.42578125" style="121" customWidth="1"/>
    <col min="10242" max="10242" width="37.42578125" style="121" customWidth="1"/>
    <col min="10243" max="10243" width="10.42578125" style="121"/>
    <col min="10244" max="10244" width="9.28515625" style="121" customWidth="1"/>
    <col min="10245" max="10246" width="12.140625" style="121" customWidth="1"/>
    <col min="10247" max="10247" width="16" style="121" customWidth="1"/>
    <col min="10248" max="10248" width="26.28515625" style="121" customWidth="1"/>
    <col min="10249" max="10496" width="10.42578125" style="121"/>
    <col min="10497" max="10497" width="7.42578125" style="121" customWidth="1"/>
    <col min="10498" max="10498" width="37.42578125" style="121" customWidth="1"/>
    <col min="10499" max="10499" width="10.42578125" style="121"/>
    <col min="10500" max="10500" width="9.28515625" style="121" customWidth="1"/>
    <col min="10501" max="10502" width="12.140625" style="121" customWidth="1"/>
    <col min="10503" max="10503" width="16" style="121" customWidth="1"/>
    <col min="10504" max="10504" width="26.28515625" style="121" customWidth="1"/>
    <col min="10505" max="10752" width="10.42578125" style="121"/>
    <col min="10753" max="10753" width="7.42578125" style="121" customWidth="1"/>
    <col min="10754" max="10754" width="37.42578125" style="121" customWidth="1"/>
    <col min="10755" max="10755" width="10.42578125" style="121"/>
    <col min="10756" max="10756" width="9.28515625" style="121" customWidth="1"/>
    <col min="10757" max="10758" width="12.140625" style="121" customWidth="1"/>
    <col min="10759" max="10759" width="16" style="121" customWidth="1"/>
    <col min="10760" max="10760" width="26.28515625" style="121" customWidth="1"/>
    <col min="10761" max="11008" width="10.42578125" style="121"/>
    <col min="11009" max="11009" width="7.42578125" style="121" customWidth="1"/>
    <col min="11010" max="11010" width="37.42578125" style="121" customWidth="1"/>
    <col min="11011" max="11011" width="10.42578125" style="121"/>
    <col min="11012" max="11012" width="9.28515625" style="121" customWidth="1"/>
    <col min="11013" max="11014" width="12.140625" style="121" customWidth="1"/>
    <col min="11015" max="11015" width="16" style="121" customWidth="1"/>
    <col min="11016" max="11016" width="26.28515625" style="121" customWidth="1"/>
    <col min="11017" max="11264" width="10.42578125" style="121"/>
    <col min="11265" max="11265" width="7.42578125" style="121" customWidth="1"/>
    <col min="11266" max="11266" width="37.42578125" style="121" customWidth="1"/>
    <col min="11267" max="11267" width="10.42578125" style="121"/>
    <col min="11268" max="11268" width="9.28515625" style="121" customWidth="1"/>
    <col min="11269" max="11270" width="12.140625" style="121" customWidth="1"/>
    <col min="11271" max="11271" width="16" style="121" customWidth="1"/>
    <col min="11272" max="11272" width="26.28515625" style="121" customWidth="1"/>
    <col min="11273" max="11520" width="10.42578125" style="121"/>
    <col min="11521" max="11521" width="7.42578125" style="121" customWidth="1"/>
    <col min="11522" max="11522" width="37.42578125" style="121" customWidth="1"/>
    <col min="11523" max="11523" width="10.42578125" style="121"/>
    <col min="11524" max="11524" width="9.28515625" style="121" customWidth="1"/>
    <col min="11525" max="11526" width="12.140625" style="121" customWidth="1"/>
    <col min="11527" max="11527" width="16" style="121" customWidth="1"/>
    <col min="11528" max="11528" width="26.28515625" style="121" customWidth="1"/>
    <col min="11529" max="11776" width="10.42578125" style="121"/>
    <col min="11777" max="11777" width="7.42578125" style="121" customWidth="1"/>
    <col min="11778" max="11778" width="37.42578125" style="121" customWidth="1"/>
    <col min="11779" max="11779" width="10.42578125" style="121"/>
    <col min="11780" max="11780" width="9.28515625" style="121" customWidth="1"/>
    <col min="11781" max="11782" width="12.140625" style="121" customWidth="1"/>
    <col min="11783" max="11783" width="16" style="121" customWidth="1"/>
    <col min="11784" max="11784" width="26.28515625" style="121" customWidth="1"/>
    <col min="11785" max="12032" width="10.42578125" style="121"/>
    <col min="12033" max="12033" width="7.42578125" style="121" customWidth="1"/>
    <col min="12034" max="12034" width="37.42578125" style="121" customWidth="1"/>
    <col min="12035" max="12035" width="10.42578125" style="121"/>
    <col min="12036" max="12036" width="9.28515625" style="121" customWidth="1"/>
    <col min="12037" max="12038" width="12.140625" style="121" customWidth="1"/>
    <col min="12039" max="12039" width="16" style="121" customWidth="1"/>
    <col min="12040" max="12040" width="26.28515625" style="121" customWidth="1"/>
    <col min="12041" max="12288" width="10.42578125" style="121"/>
    <col min="12289" max="12289" width="7.42578125" style="121" customWidth="1"/>
    <col min="12290" max="12290" width="37.42578125" style="121" customWidth="1"/>
    <col min="12291" max="12291" width="10.42578125" style="121"/>
    <col min="12292" max="12292" width="9.28515625" style="121" customWidth="1"/>
    <col min="12293" max="12294" width="12.140625" style="121" customWidth="1"/>
    <col min="12295" max="12295" width="16" style="121" customWidth="1"/>
    <col min="12296" max="12296" width="26.28515625" style="121" customWidth="1"/>
    <col min="12297" max="12544" width="10.42578125" style="121"/>
    <col min="12545" max="12545" width="7.42578125" style="121" customWidth="1"/>
    <col min="12546" max="12546" width="37.42578125" style="121" customWidth="1"/>
    <col min="12547" max="12547" width="10.42578125" style="121"/>
    <col min="12548" max="12548" width="9.28515625" style="121" customWidth="1"/>
    <col min="12549" max="12550" width="12.140625" style="121" customWidth="1"/>
    <col min="12551" max="12551" width="16" style="121" customWidth="1"/>
    <col min="12552" max="12552" width="26.28515625" style="121" customWidth="1"/>
    <col min="12553" max="12800" width="10.42578125" style="121"/>
    <col min="12801" max="12801" width="7.42578125" style="121" customWidth="1"/>
    <col min="12802" max="12802" width="37.42578125" style="121" customWidth="1"/>
    <col min="12803" max="12803" width="10.42578125" style="121"/>
    <col min="12804" max="12804" width="9.28515625" style="121" customWidth="1"/>
    <col min="12805" max="12806" width="12.140625" style="121" customWidth="1"/>
    <col min="12807" max="12807" width="16" style="121" customWidth="1"/>
    <col min="12808" max="12808" width="26.28515625" style="121" customWidth="1"/>
    <col min="12809" max="13056" width="10.42578125" style="121"/>
    <col min="13057" max="13057" width="7.42578125" style="121" customWidth="1"/>
    <col min="13058" max="13058" width="37.42578125" style="121" customWidth="1"/>
    <col min="13059" max="13059" width="10.42578125" style="121"/>
    <col min="13060" max="13060" width="9.28515625" style="121" customWidth="1"/>
    <col min="13061" max="13062" width="12.140625" style="121" customWidth="1"/>
    <col min="13063" max="13063" width="16" style="121" customWidth="1"/>
    <col min="13064" max="13064" width="26.28515625" style="121" customWidth="1"/>
    <col min="13065" max="13312" width="10.42578125" style="121"/>
    <col min="13313" max="13313" width="7.42578125" style="121" customWidth="1"/>
    <col min="13314" max="13314" width="37.42578125" style="121" customWidth="1"/>
    <col min="13315" max="13315" width="10.42578125" style="121"/>
    <col min="13316" max="13316" width="9.28515625" style="121" customWidth="1"/>
    <col min="13317" max="13318" width="12.140625" style="121" customWidth="1"/>
    <col min="13319" max="13319" width="16" style="121" customWidth="1"/>
    <col min="13320" max="13320" width="26.28515625" style="121" customWidth="1"/>
    <col min="13321" max="13568" width="10.42578125" style="121"/>
    <col min="13569" max="13569" width="7.42578125" style="121" customWidth="1"/>
    <col min="13570" max="13570" width="37.42578125" style="121" customWidth="1"/>
    <col min="13571" max="13571" width="10.42578125" style="121"/>
    <col min="13572" max="13572" width="9.28515625" style="121" customWidth="1"/>
    <col min="13573" max="13574" width="12.140625" style="121" customWidth="1"/>
    <col min="13575" max="13575" width="16" style="121" customWidth="1"/>
    <col min="13576" max="13576" width="26.28515625" style="121" customWidth="1"/>
    <col min="13577" max="13824" width="10.42578125" style="121"/>
    <col min="13825" max="13825" width="7.42578125" style="121" customWidth="1"/>
    <col min="13826" max="13826" width="37.42578125" style="121" customWidth="1"/>
    <col min="13827" max="13827" width="10.42578125" style="121"/>
    <col min="13828" max="13828" width="9.28515625" style="121" customWidth="1"/>
    <col min="13829" max="13830" width="12.140625" style="121" customWidth="1"/>
    <col min="13831" max="13831" width="16" style="121" customWidth="1"/>
    <col min="13832" max="13832" width="26.28515625" style="121" customWidth="1"/>
    <col min="13833" max="14080" width="10.42578125" style="121"/>
    <col min="14081" max="14081" width="7.42578125" style="121" customWidth="1"/>
    <col min="14082" max="14082" width="37.42578125" style="121" customWidth="1"/>
    <col min="14083" max="14083" width="10.42578125" style="121"/>
    <col min="14084" max="14084" width="9.28515625" style="121" customWidth="1"/>
    <col min="14085" max="14086" width="12.140625" style="121" customWidth="1"/>
    <col min="14087" max="14087" width="16" style="121" customWidth="1"/>
    <col min="14088" max="14088" width="26.28515625" style="121" customWidth="1"/>
    <col min="14089" max="14336" width="10.42578125" style="121"/>
    <col min="14337" max="14337" width="7.42578125" style="121" customWidth="1"/>
    <col min="14338" max="14338" width="37.42578125" style="121" customWidth="1"/>
    <col min="14339" max="14339" width="10.42578125" style="121"/>
    <col min="14340" max="14340" width="9.28515625" style="121" customWidth="1"/>
    <col min="14341" max="14342" width="12.140625" style="121" customWidth="1"/>
    <col min="14343" max="14343" width="16" style="121" customWidth="1"/>
    <col min="14344" max="14344" width="26.28515625" style="121" customWidth="1"/>
    <col min="14345" max="14592" width="10.42578125" style="121"/>
    <col min="14593" max="14593" width="7.42578125" style="121" customWidth="1"/>
    <col min="14594" max="14594" width="37.42578125" style="121" customWidth="1"/>
    <col min="14595" max="14595" width="10.42578125" style="121"/>
    <col min="14596" max="14596" width="9.28515625" style="121" customWidth="1"/>
    <col min="14597" max="14598" width="12.140625" style="121" customWidth="1"/>
    <col min="14599" max="14599" width="16" style="121" customWidth="1"/>
    <col min="14600" max="14600" width="26.28515625" style="121" customWidth="1"/>
    <col min="14601" max="14848" width="10.42578125" style="121"/>
    <col min="14849" max="14849" width="7.42578125" style="121" customWidth="1"/>
    <col min="14850" max="14850" width="37.42578125" style="121" customWidth="1"/>
    <col min="14851" max="14851" width="10.42578125" style="121"/>
    <col min="14852" max="14852" width="9.28515625" style="121" customWidth="1"/>
    <col min="14853" max="14854" width="12.140625" style="121" customWidth="1"/>
    <col min="14855" max="14855" width="16" style="121" customWidth="1"/>
    <col min="14856" max="14856" width="26.28515625" style="121" customWidth="1"/>
    <col min="14857" max="15104" width="10.42578125" style="121"/>
    <col min="15105" max="15105" width="7.42578125" style="121" customWidth="1"/>
    <col min="15106" max="15106" width="37.42578125" style="121" customWidth="1"/>
    <col min="15107" max="15107" width="10.42578125" style="121"/>
    <col min="15108" max="15108" width="9.28515625" style="121" customWidth="1"/>
    <col min="15109" max="15110" width="12.140625" style="121" customWidth="1"/>
    <col min="15111" max="15111" width="16" style="121" customWidth="1"/>
    <col min="15112" max="15112" width="26.28515625" style="121" customWidth="1"/>
    <col min="15113" max="15360" width="10.42578125" style="121"/>
    <col min="15361" max="15361" width="7.42578125" style="121" customWidth="1"/>
    <col min="15362" max="15362" width="37.42578125" style="121" customWidth="1"/>
    <col min="15363" max="15363" width="10.42578125" style="121"/>
    <col min="15364" max="15364" width="9.28515625" style="121" customWidth="1"/>
    <col min="15365" max="15366" width="12.140625" style="121" customWidth="1"/>
    <col min="15367" max="15367" width="16" style="121" customWidth="1"/>
    <col min="15368" max="15368" width="26.28515625" style="121" customWidth="1"/>
    <col min="15369" max="15616" width="10.42578125" style="121"/>
    <col min="15617" max="15617" width="7.42578125" style="121" customWidth="1"/>
    <col min="15618" max="15618" width="37.42578125" style="121" customWidth="1"/>
    <col min="15619" max="15619" width="10.42578125" style="121"/>
    <col min="15620" max="15620" width="9.28515625" style="121" customWidth="1"/>
    <col min="15621" max="15622" width="12.140625" style="121" customWidth="1"/>
    <col min="15623" max="15623" width="16" style="121" customWidth="1"/>
    <col min="15624" max="15624" width="26.28515625" style="121" customWidth="1"/>
    <col min="15625" max="15872" width="10.42578125" style="121"/>
    <col min="15873" max="15873" width="7.42578125" style="121" customWidth="1"/>
    <col min="15874" max="15874" width="37.42578125" style="121" customWidth="1"/>
    <col min="15875" max="15875" width="10.42578125" style="121"/>
    <col min="15876" max="15876" width="9.28515625" style="121" customWidth="1"/>
    <col min="15877" max="15878" width="12.140625" style="121" customWidth="1"/>
    <col min="15879" max="15879" width="16" style="121" customWidth="1"/>
    <col min="15880" max="15880" width="26.28515625" style="121" customWidth="1"/>
    <col min="15881" max="16128" width="10.42578125" style="121"/>
    <col min="16129" max="16129" width="7.42578125" style="121" customWidth="1"/>
    <col min="16130" max="16130" width="37.42578125" style="121" customWidth="1"/>
    <col min="16131" max="16131" width="10.42578125" style="121"/>
    <col min="16132" max="16132" width="9.28515625" style="121" customWidth="1"/>
    <col min="16133" max="16134" width="12.140625" style="121" customWidth="1"/>
    <col min="16135" max="16135" width="16" style="121" customWidth="1"/>
    <col min="16136" max="16136" width="26.28515625" style="121" customWidth="1"/>
    <col min="16137" max="16384" width="10.42578125" style="121"/>
  </cols>
  <sheetData>
    <row r="2" spans="1:11" ht="24.75" customHeight="1" x14ac:dyDescent="0.2">
      <c r="B2" s="137"/>
      <c r="C2" s="354" t="s">
        <v>59</v>
      </c>
      <c r="D2" s="155"/>
      <c r="E2" s="156"/>
      <c r="F2" s="157"/>
      <c r="G2" s="355" t="s">
        <v>60</v>
      </c>
      <c r="H2" s="122"/>
    </row>
    <row r="4" spans="1:11" s="597" customFormat="1" ht="15" x14ac:dyDescent="0.25">
      <c r="B4" s="611" t="s">
        <v>7</v>
      </c>
      <c r="C4" s="612" t="s">
        <v>2217</v>
      </c>
      <c r="D4" s="613"/>
      <c r="E4" s="614"/>
      <c r="F4" s="615"/>
      <c r="G4" s="616"/>
      <c r="H4" s="566"/>
    </row>
    <row r="5" spans="1:11" s="597" customFormat="1" ht="12" customHeight="1" x14ac:dyDescent="0.25">
      <c r="B5" s="617"/>
      <c r="C5" s="618"/>
      <c r="D5" s="619"/>
      <c r="E5" s="620"/>
      <c r="F5" s="621"/>
      <c r="G5" s="622"/>
      <c r="H5" s="566"/>
    </row>
    <row r="6" spans="1:11" s="589" customFormat="1" ht="21" customHeight="1" x14ac:dyDescent="0.2">
      <c r="B6" s="623" t="s">
        <v>80</v>
      </c>
      <c r="C6" s="624" t="s">
        <v>2225</v>
      </c>
      <c r="D6" s="613"/>
      <c r="E6" s="614"/>
      <c r="F6" s="615"/>
      <c r="G6" s="616"/>
      <c r="H6" s="567"/>
      <c r="I6" s="596"/>
      <c r="J6" s="596"/>
      <c r="K6" s="596"/>
    </row>
    <row r="7" spans="1:11" s="589" customFormat="1" ht="14.25" x14ac:dyDescent="0.2">
      <c r="B7" s="617"/>
      <c r="C7" s="618"/>
      <c r="D7" s="619"/>
      <c r="E7" s="620"/>
      <c r="F7" s="621"/>
      <c r="G7" s="625"/>
      <c r="H7" s="567"/>
      <c r="I7" s="596"/>
      <c r="J7" s="596"/>
      <c r="K7" s="596"/>
    </row>
    <row r="8" spans="1:11" s="139" customFormat="1" ht="18" customHeight="1" x14ac:dyDescent="0.2">
      <c r="A8" s="140"/>
      <c r="B8" s="143" t="s">
        <v>1</v>
      </c>
      <c r="C8" s="168"/>
      <c r="D8" s="170"/>
      <c r="E8" s="170"/>
      <c r="F8" s="170"/>
      <c r="G8" s="169"/>
    </row>
    <row r="9" spans="1:11" s="139" customFormat="1" ht="18" customHeight="1" x14ac:dyDescent="0.25">
      <c r="A9" s="141"/>
      <c r="B9" s="144" t="s">
        <v>2</v>
      </c>
      <c r="C9" s="171"/>
      <c r="D9" s="172"/>
      <c r="E9" s="173"/>
      <c r="F9" s="173"/>
      <c r="G9" s="172"/>
    </row>
    <row r="10" spans="1:11" s="139" customFormat="1" ht="18" customHeight="1" x14ac:dyDescent="0.2">
      <c r="A10" s="140"/>
      <c r="B10" s="143" t="s">
        <v>3</v>
      </c>
      <c r="C10" s="168"/>
      <c r="D10" s="170"/>
      <c r="E10" s="170"/>
      <c r="F10" s="170"/>
      <c r="G10" s="169"/>
    </row>
    <row r="11" spans="1:11" s="139" customFormat="1" ht="18" customHeight="1" x14ac:dyDescent="0.25">
      <c r="A11" s="141"/>
      <c r="B11" s="144" t="s">
        <v>4</v>
      </c>
      <c r="C11" s="171"/>
      <c r="D11" s="173"/>
      <c r="E11" s="173"/>
      <c r="F11" s="173"/>
      <c r="G11" s="172"/>
    </row>
    <row r="12" spans="1:11" s="589" customFormat="1" ht="14.25" x14ac:dyDescent="0.2">
      <c r="B12" s="590"/>
      <c r="C12" s="591"/>
      <c r="D12" s="592"/>
      <c r="E12" s="593"/>
      <c r="F12" s="594"/>
      <c r="G12" s="595"/>
      <c r="H12" s="567"/>
      <c r="I12" s="596"/>
      <c r="J12" s="596"/>
      <c r="K12" s="596"/>
    </row>
    <row r="13" spans="1:11" s="589" customFormat="1" ht="18.75" customHeight="1" x14ac:dyDescent="0.2">
      <c r="B13" s="626"/>
      <c r="C13" s="627" t="s">
        <v>82</v>
      </c>
      <c r="D13" s="628"/>
      <c r="E13" s="629"/>
      <c r="F13" s="630"/>
      <c r="G13" s="631"/>
      <c r="H13" s="567"/>
      <c r="I13" s="596"/>
      <c r="J13" s="596"/>
      <c r="K13" s="596"/>
    </row>
    <row r="14" spans="1:11" s="597" customFormat="1" ht="18.75" customHeight="1" x14ac:dyDescent="0.2">
      <c r="B14" s="632" t="s">
        <v>83</v>
      </c>
      <c r="C14" s="633" t="s">
        <v>84</v>
      </c>
      <c r="D14" s="634"/>
      <c r="E14" s="635"/>
      <c r="F14" s="636"/>
      <c r="G14" s="637" t="s">
        <v>64</v>
      </c>
      <c r="H14" s="568"/>
    </row>
    <row r="15" spans="1:11" s="638" customFormat="1" ht="18.75" customHeight="1" x14ac:dyDescent="0.25">
      <c r="B15" s="639" t="s">
        <v>10</v>
      </c>
      <c r="C15" s="640" t="s">
        <v>85</v>
      </c>
      <c r="D15" s="641"/>
      <c r="E15" s="642"/>
      <c r="F15" s="643"/>
      <c r="G15" s="474">
        <f>G36</f>
        <v>0</v>
      </c>
      <c r="H15" s="569"/>
    </row>
    <row r="16" spans="1:11" s="638" customFormat="1" ht="18.75" customHeight="1" x14ac:dyDescent="0.25">
      <c r="B16" s="639" t="s">
        <v>12</v>
      </c>
      <c r="C16" s="640" t="s">
        <v>86</v>
      </c>
      <c r="D16" s="641"/>
      <c r="E16" s="642"/>
      <c r="F16" s="643"/>
      <c r="G16" s="474">
        <f>G76</f>
        <v>0</v>
      </c>
      <c r="H16" s="569"/>
    </row>
    <row r="17" spans="2:8" s="638" customFormat="1" ht="18.75" customHeight="1" x14ac:dyDescent="0.25">
      <c r="B17" s="639" t="s">
        <v>17</v>
      </c>
      <c r="C17" s="640" t="s">
        <v>87</v>
      </c>
      <c r="D17" s="641"/>
      <c r="E17" s="642"/>
      <c r="F17" s="643"/>
      <c r="G17" s="474">
        <f>G149</f>
        <v>0</v>
      </c>
      <c r="H17" s="569"/>
    </row>
    <row r="18" spans="2:8" s="638" customFormat="1" ht="18.75" customHeight="1" x14ac:dyDescent="0.25">
      <c r="B18" s="644"/>
      <c r="C18" s="645" t="s">
        <v>88</v>
      </c>
      <c r="D18" s="646"/>
      <c r="E18" s="647"/>
      <c r="F18" s="648"/>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f>2584+31</f>
        <v>2615</v>
      </c>
      <c r="F24" s="467">
        <v>0</v>
      </c>
      <c r="G24" s="352">
        <f t="shared" ref="G24" si="0">E24*F24</f>
        <v>0</v>
      </c>
    </row>
    <row r="25" spans="2:8" x14ac:dyDescent="0.2">
      <c r="B25" s="129">
        <v>2</v>
      </c>
      <c r="C25" s="206" t="s">
        <v>96</v>
      </c>
      <c r="D25" s="207" t="s">
        <v>95</v>
      </c>
      <c r="E25" s="353">
        <f>E24</f>
        <v>2615</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27.5" customHeight="1" x14ac:dyDescent="0.2">
      <c r="B27" s="129">
        <v>4</v>
      </c>
      <c r="C27" s="208" t="s">
        <v>1719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649" t="s">
        <v>101</v>
      </c>
      <c r="D29" s="210" t="s">
        <v>98</v>
      </c>
      <c r="E29" s="353">
        <v>1</v>
      </c>
      <c r="F29" s="467">
        <v>0</v>
      </c>
      <c r="G29" s="352">
        <f t="shared" si="1"/>
        <v>0</v>
      </c>
    </row>
    <row r="30" spans="2:8" ht="52.5" customHeight="1" x14ac:dyDescent="0.2">
      <c r="B30" s="129">
        <v>7</v>
      </c>
      <c r="C30" s="649" t="s">
        <v>102</v>
      </c>
      <c r="D30" s="210" t="s">
        <v>98</v>
      </c>
      <c r="E30" s="353">
        <v>1</v>
      </c>
      <c r="F30" s="467">
        <v>0</v>
      </c>
      <c r="G30" s="352">
        <f t="shared" si="1"/>
        <v>0</v>
      </c>
    </row>
    <row r="31" spans="2:8" ht="39" customHeight="1" x14ac:dyDescent="0.2">
      <c r="B31" s="129">
        <v>8</v>
      </c>
      <c r="C31" s="3165" t="s">
        <v>2590</v>
      </c>
      <c r="D31" s="210" t="s">
        <v>95</v>
      </c>
      <c r="E31" s="353">
        <f>E24</f>
        <v>2615</v>
      </c>
      <c r="F31" s="467">
        <v>0</v>
      </c>
      <c r="G31" s="352">
        <f>E31*F31</f>
        <v>0</v>
      </c>
      <c r="H31" s="571"/>
    </row>
    <row r="32" spans="2:8" ht="27.75" customHeight="1" x14ac:dyDescent="0.2">
      <c r="B32" s="129">
        <v>9</v>
      </c>
      <c r="C32" s="3165" t="s">
        <v>2591</v>
      </c>
      <c r="D32" s="210" t="s">
        <v>98</v>
      </c>
      <c r="E32" s="353">
        <v>1</v>
      </c>
      <c r="F32" s="467">
        <v>0</v>
      </c>
      <c r="G32" s="352">
        <f t="shared" si="1"/>
        <v>0</v>
      </c>
    </row>
    <row r="33" spans="2:11" ht="14.25" customHeight="1" x14ac:dyDescent="0.2">
      <c r="B33" s="129">
        <v>10</v>
      </c>
      <c r="C33" s="649" t="s">
        <v>105</v>
      </c>
      <c r="D33" s="210" t="s">
        <v>98</v>
      </c>
      <c r="E33" s="353">
        <v>1</v>
      </c>
      <c r="F33" s="467">
        <v>0</v>
      </c>
      <c r="G33" s="352">
        <f t="shared" si="1"/>
        <v>0</v>
      </c>
    </row>
    <row r="34" spans="2:11" ht="38.25" customHeight="1" x14ac:dyDescent="0.2">
      <c r="B34" s="129">
        <v>11</v>
      </c>
      <c r="C34" s="212" t="s">
        <v>106</v>
      </c>
      <c r="D34" s="210" t="s">
        <v>98</v>
      </c>
      <c r="E34" s="353">
        <v>1</v>
      </c>
      <c r="F34" s="467">
        <v>0</v>
      </c>
      <c r="G34" s="352">
        <f t="shared" si="1"/>
        <v>0</v>
      </c>
    </row>
    <row r="35" spans="2:11" ht="39.75" customHeight="1" x14ac:dyDescent="0.2">
      <c r="B35" s="129">
        <v>12</v>
      </c>
      <c r="C35" s="307" t="s">
        <v>107</v>
      </c>
      <c r="D35" s="210" t="s">
        <v>98</v>
      </c>
      <c r="E35" s="353">
        <v>1</v>
      </c>
      <c r="F35" s="467">
        <v>0</v>
      </c>
      <c r="G35" s="352">
        <f t="shared" si="1"/>
        <v>0</v>
      </c>
      <c r="H35" s="571"/>
    </row>
    <row r="36" spans="2:11" s="147" customFormat="1" ht="23.25" customHeight="1" x14ac:dyDescent="0.25">
      <c r="B36" s="327" t="s">
        <v>10</v>
      </c>
      <c r="C36" s="214" t="s">
        <v>108</v>
      </c>
      <c r="D36" s="214"/>
      <c r="E36" s="215"/>
      <c r="F36" s="216"/>
      <c r="G36" s="290">
        <f>SUM(G24:G35)</f>
        <v>0</v>
      </c>
      <c r="H36" s="150"/>
    </row>
    <row r="37" spans="2:11" x14ac:dyDescent="0.2">
      <c r="B37" s="129"/>
      <c r="C37" s="197"/>
      <c r="D37" s="198"/>
      <c r="E37" s="353"/>
      <c r="F37" s="358"/>
      <c r="G37" s="350"/>
    </row>
    <row r="38" spans="2:11" ht="24" x14ac:dyDescent="0.2">
      <c r="B38" s="128" t="s">
        <v>83</v>
      </c>
      <c r="C38" s="192" t="s">
        <v>89</v>
      </c>
      <c r="D38" s="193" t="s">
        <v>90</v>
      </c>
      <c r="E38" s="194" t="s">
        <v>91</v>
      </c>
      <c r="F38" s="195" t="s">
        <v>92</v>
      </c>
      <c r="G38" s="196" t="s">
        <v>93</v>
      </c>
    </row>
    <row r="39" spans="2:11" x14ac:dyDescent="0.2">
      <c r="B39" s="129"/>
      <c r="C39" s="217"/>
      <c r="D39" s="207"/>
      <c r="E39" s="353"/>
      <c r="F39" s="358"/>
      <c r="G39" s="350"/>
    </row>
    <row r="40" spans="2:11" s="295" customFormat="1" ht="20.25" x14ac:dyDescent="0.3">
      <c r="B40" s="303" t="s">
        <v>12</v>
      </c>
      <c r="C40" s="304" t="s">
        <v>109</v>
      </c>
      <c r="D40" s="298"/>
      <c r="E40" s="299"/>
      <c r="F40" s="300"/>
      <c r="G40" s="301"/>
      <c r="H40" s="570"/>
    </row>
    <row r="41" spans="2:11" s="130" customFormat="1" ht="71.25" customHeight="1" x14ac:dyDescent="0.2">
      <c r="B41" s="3184" t="s">
        <v>110</v>
      </c>
      <c r="C41" s="3185"/>
      <c r="D41" s="3185"/>
      <c r="E41" s="3185"/>
      <c r="F41" s="3185"/>
      <c r="G41" s="3186"/>
      <c r="H41" s="565"/>
    </row>
    <row r="42" spans="2:11" ht="27.75" customHeight="1" x14ac:dyDescent="0.2">
      <c r="B42" s="131">
        <v>1</v>
      </c>
      <c r="C42" s="206" t="s">
        <v>111</v>
      </c>
      <c r="D42" s="207" t="s">
        <v>112</v>
      </c>
      <c r="E42" s="353">
        <f>2625*0.2*1.2</f>
        <v>630</v>
      </c>
      <c r="F42" s="467">
        <v>0</v>
      </c>
      <c r="G42" s="352">
        <f>E42*F42</f>
        <v>0</v>
      </c>
      <c r="I42" s="132"/>
    </row>
    <row r="43" spans="2:11" ht="39" customHeight="1" x14ac:dyDescent="0.2">
      <c r="B43" s="131">
        <v>2</v>
      </c>
      <c r="C43" s="206" t="s">
        <v>113</v>
      </c>
      <c r="D43" s="207" t="s">
        <v>95</v>
      </c>
      <c r="E43" s="353">
        <f>E24</f>
        <v>2615</v>
      </c>
      <c r="F43" s="467">
        <v>0</v>
      </c>
      <c r="G43" s="352">
        <f>E43*F43</f>
        <v>0</v>
      </c>
      <c r="I43" s="132"/>
    </row>
    <row r="44" spans="2:11" ht="36" x14ac:dyDescent="0.2">
      <c r="B44" s="131">
        <v>3</v>
      </c>
      <c r="C44" s="206" t="s">
        <v>114</v>
      </c>
      <c r="D44" s="209" t="s">
        <v>112</v>
      </c>
      <c r="E44" s="353">
        <f>E24*1.2*1.5*0.05</f>
        <v>235.35000000000002</v>
      </c>
      <c r="F44" s="467">
        <v>0</v>
      </c>
      <c r="G44" s="352">
        <f>E44*F44</f>
        <v>0</v>
      </c>
      <c r="I44" s="133"/>
      <c r="K44" s="134"/>
    </row>
    <row r="45" spans="2:11" ht="39.75" customHeight="1" x14ac:dyDescent="0.2">
      <c r="B45" s="131">
        <v>4</v>
      </c>
      <c r="C45" s="206" t="s">
        <v>115</v>
      </c>
      <c r="D45" s="209" t="s">
        <v>112</v>
      </c>
      <c r="E45" s="353">
        <f>E24*1.2*1.5*0.95</f>
        <v>4471.6499999999996</v>
      </c>
      <c r="F45" s="467">
        <v>0</v>
      </c>
      <c r="G45" s="352">
        <f>E45*F45</f>
        <v>0</v>
      </c>
      <c r="I45" s="133"/>
    </row>
    <row r="46" spans="2:11" ht="29.25" customHeight="1" x14ac:dyDescent="0.2">
      <c r="B46" s="131">
        <v>5</v>
      </c>
      <c r="C46" s="311" t="s">
        <v>116</v>
      </c>
      <c r="D46" s="219" t="s">
        <v>117</v>
      </c>
      <c r="E46" s="471">
        <f>E24*1.5</f>
        <v>3922.5</v>
      </c>
      <c r="F46" s="467">
        <v>0</v>
      </c>
      <c r="G46" s="352">
        <f t="shared" ref="G46:G72" si="2">E46*F46</f>
        <v>0</v>
      </c>
      <c r="I46" s="132"/>
    </row>
    <row r="47" spans="2:11" ht="29.25" customHeight="1" x14ac:dyDescent="0.2">
      <c r="B47" s="131">
        <v>6</v>
      </c>
      <c r="C47" s="206" t="s">
        <v>118</v>
      </c>
      <c r="D47" s="209" t="s">
        <v>117</v>
      </c>
      <c r="E47" s="353">
        <f>E24*0.95</f>
        <v>2484.25</v>
      </c>
      <c r="F47" s="467">
        <v>0</v>
      </c>
      <c r="G47" s="352">
        <f t="shared" si="2"/>
        <v>0</v>
      </c>
      <c r="I47" s="132"/>
    </row>
    <row r="48" spans="2:11" ht="27" customHeight="1" x14ac:dyDescent="0.2">
      <c r="B48" s="131">
        <v>7</v>
      </c>
      <c r="C48" s="206" t="s">
        <v>304</v>
      </c>
      <c r="D48" s="209" t="s">
        <v>112</v>
      </c>
      <c r="E48" s="353">
        <v>300</v>
      </c>
      <c r="F48" s="467">
        <v>0</v>
      </c>
      <c r="G48" s="352">
        <f t="shared" si="2"/>
        <v>0</v>
      </c>
      <c r="I48" s="133"/>
    </row>
    <row r="49" spans="2:9" ht="24" x14ac:dyDescent="0.2">
      <c r="B49" s="131">
        <v>8</v>
      </c>
      <c r="C49" s="206" t="s">
        <v>119</v>
      </c>
      <c r="D49" s="209" t="s">
        <v>112</v>
      </c>
      <c r="E49" s="353">
        <f>E24*1*1</f>
        <v>2615</v>
      </c>
      <c r="F49" s="467">
        <v>0</v>
      </c>
      <c r="G49" s="352">
        <f t="shared" si="2"/>
        <v>0</v>
      </c>
      <c r="I49" s="134"/>
    </row>
    <row r="50" spans="2:9" ht="40.5" customHeight="1" x14ac:dyDescent="0.2">
      <c r="B50" s="131">
        <v>9</v>
      </c>
      <c r="C50" s="208" t="s">
        <v>120</v>
      </c>
      <c r="D50" s="209" t="s">
        <v>112</v>
      </c>
      <c r="E50" s="353">
        <f>E24*1*1.5-E49-E48</f>
        <v>1007.5</v>
      </c>
      <c r="F50" s="467">
        <v>0</v>
      </c>
      <c r="G50" s="352">
        <f t="shared" si="2"/>
        <v>0</v>
      </c>
    </row>
    <row r="51" spans="2:9" s="130" customFormat="1" ht="39" customHeight="1" x14ac:dyDescent="0.2">
      <c r="B51" s="131">
        <v>10</v>
      </c>
      <c r="C51" s="314" t="s">
        <v>2226</v>
      </c>
      <c r="D51" s="210" t="s">
        <v>112</v>
      </c>
      <c r="E51" s="353">
        <f>89*1*0.4</f>
        <v>35.6</v>
      </c>
      <c r="F51" s="467">
        <v>0</v>
      </c>
      <c r="G51" s="352">
        <f t="shared" si="2"/>
        <v>0</v>
      </c>
      <c r="H51" s="565"/>
    </row>
    <row r="52" spans="2:9" s="130" customFormat="1" ht="40.5" customHeight="1" x14ac:dyDescent="0.2">
      <c r="B52" s="313" t="s">
        <v>705</v>
      </c>
      <c r="C52" s="314" t="s">
        <v>2227</v>
      </c>
      <c r="D52" s="210" t="s">
        <v>112</v>
      </c>
      <c r="E52" s="353">
        <f>89*1*0.25</f>
        <v>22.25</v>
      </c>
      <c r="F52" s="467">
        <v>0</v>
      </c>
      <c r="G52" s="352">
        <f t="shared" si="2"/>
        <v>0</v>
      </c>
      <c r="H52" s="565"/>
    </row>
    <row r="53" spans="2:9" s="147" customFormat="1" ht="54" customHeight="1" x14ac:dyDescent="0.25">
      <c r="B53" s="3187">
        <v>11</v>
      </c>
      <c r="C53" s="308" t="s">
        <v>122</v>
      </c>
      <c r="D53" s="210"/>
      <c r="E53" s="353">
        <v>0</v>
      </c>
      <c r="F53" s="467"/>
      <c r="G53" s="352"/>
      <c r="H53" s="572"/>
    </row>
    <row r="54" spans="2:9" s="147" customFormat="1" ht="15" customHeight="1" x14ac:dyDescent="0.25">
      <c r="B54" s="3189"/>
      <c r="C54" s="308" t="s">
        <v>305</v>
      </c>
      <c r="D54" s="207" t="s">
        <v>95</v>
      </c>
      <c r="E54" s="353">
        <v>100</v>
      </c>
      <c r="F54" s="467">
        <v>0</v>
      </c>
      <c r="G54" s="352">
        <f t="shared" si="2"/>
        <v>0</v>
      </c>
      <c r="H54" s="572"/>
    </row>
    <row r="55" spans="2:9" ht="25.5" customHeight="1" x14ac:dyDescent="0.2">
      <c r="B55" s="131">
        <v>12</v>
      </c>
      <c r="C55" s="206" t="s">
        <v>125</v>
      </c>
      <c r="D55" s="209" t="s">
        <v>95</v>
      </c>
      <c r="E55" s="353">
        <v>20</v>
      </c>
      <c r="F55" s="467">
        <v>0</v>
      </c>
      <c r="G55" s="352">
        <f t="shared" si="2"/>
        <v>0</v>
      </c>
      <c r="H55" s="571"/>
    </row>
    <row r="56" spans="2:9" ht="16.5" customHeight="1" x14ac:dyDescent="0.2">
      <c r="B56" s="131">
        <v>13</v>
      </c>
      <c r="C56" s="206" t="s">
        <v>126</v>
      </c>
      <c r="D56" s="207" t="s">
        <v>117</v>
      </c>
      <c r="E56" s="353">
        <v>10</v>
      </c>
      <c r="F56" s="467">
        <v>0</v>
      </c>
      <c r="G56" s="352">
        <f t="shared" si="2"/>
        <v>0</v>
      </c>
      <c r="H56" s="571"/>
    </row>
    <row r="57" spans="2:9" ht="41.25" customHeight="1" x14ac:dyDescent="0.2">
      <c r="B57" s="131">
        <v>14</v>
      </c>
      <c r="C57" s="206" t="s">
        <v>127</v>
      </c>
      <c r="D57" s="207" t="s">
        <v>117</v>
      </c>
      <c r="E57" s="353">
        <v>10</v>
      </c>
      <c r="F57" s="467">
        <v>0</v>
      </c>
      <c r="G57" s="352">
        <f t="shared" si="2"/>
        <v>0</v>
      </c>
      <c r="H57" s="571"/>
    </row>
    <row r="58" spans="2:9" ht="51.75" customHeight="1" x14ac:dyDescent="0.2">
      <c r="B58" s="312" t="s">
        <v>306</v>
      </c>
      <c r="C58" s="208" t="s">
        <v>307</v>
      </c>
      <c r="D58" s="209" t="s">
        <v>117</v>
      </c>
      <c r="E58" s="353">
        <v>1000</v>
      </c>
      <c r="F58" s="467">
        <v>0</v>
      </c>
      <c r="G58" s="352">
        <f t="shared" si="2"/>
        <v>0</v>
      </c>
      <c r="H58" s="571"/>
    </row>
    <row r="59" spans="2:9" ht="64.5" customHeight="1" x14ac:dyDescent="0.2">
      <c r="B59" s="312" t="s">
        <v>130</v>
      </c>
      <c r="C59" s="208" t="s">
        <v>2228</v>
      </c>
      <c r="D59" s="209" t="s">
        <v>117</v>
      </c>
      <c r="E59" s="353">
        <v>1000</v>
      </c>
      <c r="F59" s="467">
        <v>0</v>
      </c>
      <c r="G59" s="352">
        <f>E59*F59</f>
        <v>0</v>
      </c>
      <c r="H59" s="571"/>
    </row>
    <row r="60" spans="2:9" ht="14.25" customHeight="1" x14ac:dyDescent="0.2">
      <c r="B60" s="131">
        <v>16</v>
      </c>
      <c r="C60" s="206" t="s">
        <v>133</v>
      </c>
      <c r="D60" s="209" t="s">
        <v>112</v>
      </c>
      <c r="E60" s="353">
        <f>E42</f>
        <v>630</v>
      </c>
      <c r="F60" s="467">
        <v>0</v>
      </c>
      <c r="G60" s="352">
        <f t="shared" si="2"/>
        <v>0</v>
      </c>
      <c r="I60" s="134"/>
    </row>
    <row r="61" spans="2:9" ht="14.25" customHeight="1" x14ac:dyDescent="0.2">
      <c r="B61" s="131">
        <v>17</v>
      </c>
      <c r="C61" s="206" t="s">
        <v>134</v>
      </c>
      <c r="D61" s="209" t="s">
        <v>112</v>
      </c>
      <c r="E61" s="353">
        <v>2768</v>
      </c>
      <c r="F61" s="467">
        <v>0</v>
      </c>
      <c r="G61" s="352">
        <f t="shared" si="2"/>
        <v>0</v>
      </c>
    </row>
    <row r="62" spans="2:9" ht="15.75" customHeight="1" x14ac:dyDescent="0.2">
      <c r="B62" s="131">
        <v>18</v>
      </c>
      <c r="C62" s="206" t="s">
        <v>135</v>
      </c>
      <c r="D62" s="209" t="s">
        <v>112</v>
      </c>
      <c r="E62" s="353">
        <f>E61</f>
        <v>2768</v>
      </c>
      <c r="F62" s="467">
        <v>0</v>
      </c>
      <c r="G62" s="352">
        <f t="shared" si="2"/>
        <v>0</v>
      </c>
    </row>
    <row r="63" spans="2:9" ht="27.75" customHeight="1" x14ac:dyDescent="0.2">
      <c r="B63" s="131">
        <v>19</v>
      </c>
      <c r="C63" s="206" t="s">
        <v>136</v>
      </c>
      <c r="D63" s="209" t="s">
        <v>117</v>
      </c>
      <c r="E63" s="353">
        <f>E56</f>
        <v>10</v>
      </c>
      <c r="F63" s="467">
        <v>0</v>
      </c>
      <c r="G63" s="352">
        <f t="shared" si="2"/>
        <v>0</v>
      </c>
    </row>
    <row r="64" spans="2:9" ht="30" customHeight="1" x14ac:dyDescent="0.2">
      <c r="B64" s="131">
        <v>20</v>
      </c>
      <c r="C64" s="206" t="s">
        <v>138</v>
      </c>
      <c r="D64" s="207" t="s">
        <v>117</v>
      </c>
      <c r="E64" s="353">
        <f>(E24-31)*0.75</f>
        <v>1938</v>
      </c>
      <c r="F64" s="467">
        <v>0</v>
      </c>
      <c r="G64" s="352">
        <f t="shared" si="2"/>
        <v>0</v>
      </c>
    </row>
    <row r="65" spans="2:8" s="130" customFormat="1" ht="51.75" customHeight="1" x14ac:dyDescent="0.2">
      <c r="B65" s="3187">
        <v>21</v>
      </c>
      <c r="C65" s="408" t="s">
        <v>139</v>
      </c>
      <c r="D65" s="221"/>
      <c r="E65" s="353"/>
      <c r="F65" s="467"/>
      <c r="G65" s="352"/>
      <c r="H65" s="565"/>
    </row>
    <row r="66" spans="2:8" s="130" customFormat="1" x14ac:dyDescent="0.2">
      <c r="B66" s="3188"/>
      <c r="C66" s="291" t="s">
        <v>712</v>
      </c>
      <c r="D66" s="221" t="s">
        <v>95</v>
      </c>
      <c r="E66" s="353">
        <v>27.2</v>
      </c>
      <c r="F66" s="467">
        <v>0</v>
      </c>
      <c r="G66" s="352">
        <f t="shared" si="2"/>
        <v>0</v>
      </c>
      <c r="H66" s="565"/>
    </row>
    <row r="67" spans="2:8" ht="39.75" customHeight="1" x14ac:dyDescent="0.2">
      <c r="B67" s="3187">
        <v>22</v>
      </c>
      <c r="C67" s="409" t="s">
        <v>309</v>
      </c>
      <c r="D67" s="207"/>
      <c r="E67" s="353"/>
      <c r="F67" s="467"/>
      <c r="G67" s="352"/>
    </row>
    <row r="68" spans="2:8" s="130" customFormat="1" x14ac:dyDescent="0.2">
      <c r="B68" s="3188"/>
      <c r="C68" s="291" t="s">
        <v>712</v>
      </c>
      <c r="D68" s="221" t="s">
        <v>95</v>
      </c>
      <c r="E68" s="353">
        <v>89</v>
      </c>
      <c r="F68" s="467">
        <v>0</v>
      </c>
      <c r="G68" s="352">
        <f t="shared" ref="G68" si="3">E68*F68</f>
        <v>0</v>
      </c>
      <c r="H68" s="565"/>
    </row>
    <row r="69" spans="2:8" ht="39.75" customHeight="1" x14ac:dyDescent="0.2">
      <c r="B69" s="131">
        <v>23</v>
      </c>
      <c r="C69" s="409" t="s">
        <v>142</v>
      </c>
      <c r="D69" s="207" t="s">
        <v>117</v>
      </c>
      <c r="E69" s="353">
        <v>10</v>
      </c>
      <c r="F69" s="467">
        <v>0</v>
      </c>
      <c r="G69" s="352">
        <f t="shared" si="2"/>
        <v>0</v>
      </c>
    </row>
    <row r="70" spans="2:8" ht="25.5" customHeight="1" x14ac:dyDescent="0.2">
      <c r="B70" s="312" t="s">
        <v>592</v>
      </c>
      <c r="C70" s="409" t="s">
        <v>2229</v>
      </c>
      <c r="D70" s="207" t="s">
        <v>95</v>
      </c>
      <c r="E70" s="353">
        <v>12</v>
      </c>
      <c r="F70" s="467">
        <v>0</v>
      </c>
      <c r="G70" s="352">
        <f t="shared" si="2"/>
        <v>0</v>
      </c>
      <c r="H70" s="571"/>
    </row>
    <row r="71" spans="2:8" ht="111.75" customHeight="1" x14ac:dyDescent="0.2">
      <c r="B71" s="131">
        <v>25</v>
      </c>
      <c r="C71" s="410" t="s">
        <v>719</v>
      </c>
      <c r="D71" s="222" t="s">
        <v>149</v>
      </c>
      <c r="E71" s="472">
        <v>8</v>
      </c>
      <c r="F71" s="467">
        <v>0</v>
      </c>
      <c r="G71" s="352">
        <f>E71*F71</f>
        <v>0</v>
      </c>
    </row>
    <row r="72" spans="2:8" ht="29.25" customHeight="1" x14ac:dyDescent="0.2">
      <c r="B72" s="411">
        <v>26</v>
      </c>
      <c r="C72" s="410" t="s">
        <v>151</v>
      </c>
      <c r="D72" s="222" t="s">
        <v>112</v>
      </c>
      <c r="E72" s="472">
        <v>36</v>
      </c>
      <c r="F72" s="467">
        <v>0</v>
      </c>
      <c r="G72" s="352">
        <f t="shared" si="2"/>
        <v>0</v>
      </c>
    </row>
    <row r="73" spans="2:8" ht="36.75" customHeight="1" x14ac:dyDescent="0.2">
      <c r="B73" s="131">
        <v>27</v>
      </c>
      <c r="C73" s="223" t="s">
        <v>152</v>
      </c>
      <c r="D73" s="222" t="s">
        <v>149</v>
      </c>
      <c r="E73" s="472">
        <v>8</v>
      </c>
      <c r="F73" s="467">
        <v>0</v>
      </c>
      <c r="G73" s="352">
        <f>E73*F73</f>
        <v>0</v>
      </c>
    </row>
    <row r="74" spans="2:8" ht="30" customHeight="1" x14ac:dyDescent="0.2">
      <c r="B74" s="411">
        <v>28</v>
      </c>
      <c r="C74" s="223" t="s">
        <v>153</v>
      </c>
      <c r="D74" s="222" t="s">
        <v>112</v>
      </c>
      <c r="E74" s="472">
        <v>14.4</v>
      </c>
      <c r="F74" s="467">
        <v>0</v>
      </c>
      <c r="G74" s="352">
        <f>E74*F74</f>
        <v>0</v>
      </c>
    </row>
    <row r="75" spans="2:8" ht="28.5" customHeight="1" x14ac:dyDescent="0.2">
      <c r="B75" s="131">
        <v>29</v>
      </c>
      <c r="C75" s="223" t="s">
        <v>155</v>
      </c>
      <c r="D75" s="222" t="s">
        <v>156</v>
      </c>
      <c r="E75" s="472">
        <v>10</v>
      </c>
      <c r="F75" s="467">
        <v>0</v>
      </c>
      <c r="G75" s="352">
        <f>E75*F75</f>
        <v>0</v>
      </c>
    </row>
    <row r="76" spans="2:8" s="147" customFormat="1" ht="21.75" customHeight="1" x14ac:dyDescent="0.25">
      <c r="B76" s="327" t="s">
        <v>12</v>
      </c>
      <c r="C76" s="214" t="s">
        <v>157</v>
      </c>
      <c r="D76" s="224"/>
      <c r="E76" s="215"/>
      <c r="F76" s="216"/>
      <c r="G76" s="290">
        <f>SUM(G42:G75)</f>
        <v>0</v>
      </c>
      <c r="H76" s="150"/>
    </row>
    <row r="77" spans="2:8" x14ac:dyDescent="0.2">
      <c r="B77" s="129"/>
      <c r="C77" s="197"/>
      <c r="D77" s="198"/>
      <c r="E77" s="353"/>
      <c r="F77" s="358"/>
      <c r="G77" s="350"/>
    </row>
    <row r="78" spans="2:8" ht="24" x14ac:dyDescent="0.2">
      <c r="B78" s="128" t="s">
        <v>83</v>
      </c>
      <c r="C78" s="192" t="s">
        <v>89</v>
      </c>
      <c r="D78" s="192" t="s">
        <v>90</v>
      </c>
      <c r="E78" s="194" t="s">
        <v>91</v>
      </c>
      <c r="F78" s="195" t="s">
        <v>92</v>
      </c>
      <c r="G78" s="196" t="s">
        <v>93</v>
      </c>
    </row>
    <row r="79" spans="2:8" x14ac:dyDescent="0.2">
      <c r="B79" s="129"/>
      <c r="C79" s="197"/>
      <c r="D79" s="207"/>
      <c r="E79" s="353"/>
      <c r="F79" s="358"/>
      <c r="G79" s="350"/>
    </row>
    <row r="80" spans="2:8" s="295" customFormat="1" ht="20.25" x14ac:dyDescent="0.3">
      <c r="B80" s="296" t="s">
        <v>17</v>
      </c>
      <c r="C80" s="297" t="s">
        <v>158</v>
      </c>
      <c r="D80" s="298"/>
      <c r="E80" s="299"/>
      <c r="F80" s="300"/>
      <c r="G80" s="301"/>
      <c r="H80" s="570"/>
    </row>
    <row r="81" spans="1:9" s="139" customFormat="1" ht="18" customHeight="1" x14ac:dyDescent="0.2">
      <c r="A81" s="140"/>
      <c r="B81" s="143" t="s">
        <v>1</v>
      </c>
      <c r="C81" s="168"/>
      <c r="D81" s="170"/>
      <c r="E81" s="170"/>
      <c r="F81" s="170"/>
      <c r="G81" s="169"/>
    </row>
    <row r="82" spans="1:9" s="139" customFormat="1" ht="18" customHeight="1" x14ac:dyDescent="0.25">
      <c r="A82" s="141"/>
      <c r="B82" s="144" t="s">
        <v>2</v>
      </c>
      <c r="C82" s="171"/>
      <c r="D82" s="172"/>
      <c r="E82" s="173"/>
      <c r="F82" s="173"/>
      <c r="G82" s="172"/>
    </row>
    <row r="83" spans="1:9" s="139" customFormat="1" ht="18" customHeight="1" x14ac:dyDescent="0.2">
      <c r="A83" s="140"/>
      <c r="B83" s="143" t="s">
        <v>3</v>
      </c>
      <c r="C83" s="168"/>
      <c r="D83" s="170"/>
      <c r="E83" s="170"/>
      <c r="F83" s="170"/>
      <c r="G83" s="169"/>
    </row>
    <row r="84" spans="1:9" s="139" customFormat="1" ht="18" customHeight="1" x14ac:dyDescent="0.25">
      <c r="A84" s="141"/>
      <c r="B84" s="144" t="s">
        <v>4</v>
      </c>
      <c r="C84" s="171"/>
      <c r="D84" s="173"/>
      <c r="E84" s="173"/>
      <c r="F84" s="173"/>
      <c r="G84" s="172"/>
    </row>
    <row r="85" spans="1:9" s="130" customFormat="1" ht="18.75" customHeight="1" x14ac:dyDescent="0.2">
      <c r="B85" s="3184" t="s">
        <v>160</v>
      </c>
      <c r="C85" s="3185"/>
      <c r="D85" s="3185"/>
      <c r="E85" s="3185"/>
      <c r="F85" s="3185"/>
      <c r="G85" s="3186"/>
      <c r="H85" s="565"/>
    </row>
    <row r="86" spans="1:9" ht="30" customHeight="1" x14ac:dyDescent="0.2">
      <c r="B86" s="152">
        <v>1</v>
      </c>
      <c r="C86" s="650" t="s">
        <v>162</v>
      </c>
      <c r="D86" s="226"/>
      <c r="E86" s="353"/>
      <c r="F86" s="358"/>
      <c r="G86" s="350"/>
      <c r="H86" s="571"/>
    </row>
    <row r="87" spans="1:9" s="147" customFormat="1" ht="18.75" customHeight="1" x14ac:dyDescent="0.25">
      <c r="B87" s="152"/>
      <c r="C87" s="651" t="s">
        <v>722</v>
      </c>
      <c r="D87" s="226" t="s">
        <v>95</v>
      </c>
      <c r="E87" s="353">
        <v>786</v>
      </c>
      <c r="F87" s="467">
        <v>0</v>
      </c>
      <c r="G87" s="352">
        <f t="shared" ref="G87:G148" si="4">E87*F87</f>
        <v>0</v>
      </c>
      <c r="H87" s="572"/>
      <c r="I87" s="490"/>
    </row>
    <row r="88" spans="1:9" s="147" customFormat="1" ht="18.75" customHeight="1" x14ac:dyDescent="0.25">
      <c r="B88" s="652"/>
      <c r="C88" s="651" t="s">
        <v>1244</v>
      </c>
      <c r="D88" s="226" t="s">
        <v>95</v>
      </c>
      <c r="E88" s="353">
        <f>2615-E87</f>
        <v>1829</v>
      </c>
      <c r="F88" s="467">
        <v>0</v>
      </c>
      <c r="G88" s="352">
        <f t="shared" si="4"/>
        <v>0</v>
      </c>
      <c r="H88" s="572"/>
      <c r="I88" s="490"/>
    </row>
    <row r="89" spans="1:9" s="130" customFormat="1" ht="40.5" customHeight="1" x14ac:dyDescent="0.2">
      <c r="B89" s="3310" t="s">
        <v>167</v>
      </c>
      <c r="C89" s="310" t="s">
        <v>2230</v>
      </c>
      <c r="D89" s="221"/>
      <c r="E89" s="353"/>
      <c r="F89" s="467"/>
      <c r="G89" s="352"/>
      <c r="H89" s="571"/>
      <c r="I89" s="1263"/>
    </row>
    <row r="90" spans="1:9" s="130" customFormat="1" x14ac:dyDescent="0.2">
      <c r="B90" s="3311"/>
      <c r="C90" s="291" t="s">
        <v>2231</v>
      </c>
      <c r="D90" s="221" t="s">
        <v>95</v>
      </c>
      <c r="E90" s="353">
        <v>98</v>
      </c>
      <c r="F90" s="467">
        <v>0</v>
      </c>
      <c r="G90" s="352">
        <f t="shared" si="4"/>
        <v>0</v>
      </c>
      <c r="H90" s="571"/>
    </row>
    <row r="91" spans="1:9" ht="40.5" customHeight="1" x14ac:dyDescent="0.2">
      <c r="B91" s="653">
        <v>2</v>
      </c>
      <c r="C91" s="227" t="s">
        <v>172</v>
      </c>
      <c r="D91" s="209" t="s">
        <v>95</v>
      </c>
      <c r="E91" s="348">
        <f>SUM(E87:E88)</f>
        <v>2615</v>
      </c>
      <c r="F91" s="467">
        <v>0</v>
      </c>
      <c r="G91" s="352">
        <f t="shared" si="4"/>
        <v>0</v>
      </c>
      <c r="H91" s="571"/>
    </row>
    <row r="92" spans="1:9" ht="41.25" customHeight="1" x14ac:dyDescent="0.2">
      <c r="B92" s="654" t="s">
        <v>173</v>
      </c>
      <c r="C92" s="227" t="s">
        <v>174</v>
      </c>
      <c r="D92" s="209" t="s">
        <v>95</v>
      </c>
      <c r="E92" s="348">
        <f>E91</f>
        <v>2615</v>
      </c>
      <c r="F92" s="467">
        <v>0</v>
      </c>
      <c r="G92" s="352">
        <f t="shared" si="4"/>
        <v>0</v>
      </c>
      <c r="H92" s="571"/>
    </row>
    <row r="93" spans="1:9" ht="27" customHeight="1" x14ac:dyDescent="0.2">
      <c r="B93" s="654" t="s">
        <v>175</v>
      </c>
      <c r="C93" s="227" t="s">
        <v>176</v>
      </c>
      <c r="D93" s="209" t="s">
        <v>95</v>
      </c>
      <c r="E93" s="348">
        <f>E92</f>
        <v>2615</v>
      </c>
      <c r="F93" s="467">
        <v>0</v>
      </c>
      <c r="G93" s="352">
        <f t="shared" si="4"/>
        <v>0</v>
      </c>
      <c r="H93" s="571"/>
    </row>
    <row r="94" spans="1:9" ht="39" customHeight="1" x14ac:dyDescent="0.2">
      <c r="B94" s="654" t="s">
        <v>177</v>
      </c>
      <c r="C94" s="227" t="s">
        <v>178</v>
      </c>
      <c r="D94" s="209" t="s">
        <v>95</v>
      </c>
      <c r="E94" s="348">
        <f>E91</f>
        <v>2615</v>
      </c>
      <c r="F94" s="467">
        <v>0</v>
      </c>
      <c r="G94" s="352">
        <f t="shared" si="4"/>
        <v>0</v>
      </c>
      <c r="H94" s="571"/>
    </row>
    <row r="95" spans="1:9" ht="27.75" customHeight="1" x14ac:dyDescent="0.2">
      <c r="B95" s="152">
        <v>3</v>
      </c>
      <c r="C95" s="229" t="s">
        <v>179</v>
      </c>
      <c r="D95" s="198"/>
      <c r="E95" s="353"/>
      <c r="F95" s="358">
        <v>0</v>
      </c>
      <c r="G95" s="352"/>
      <c r="H95" s="571"/>
    </row>
    <row r="96" spans="1:9" x14ac:dyDescent="0.2">
      <c r="B96" s="655" t="s">
        <v>180</v>
      </c>
      <c r="C96" s="656" t="s">
        <v>1735</v>
      </c>
      <c r="D96" s="198"/>
      <c r="E96" s="353"/>
      <c r="F96" s="358"/>
      <c r="G96" s="352"/>
      <c r="H96" s="571"/>
    </row>
    <row r="97" spans="2:9" ht="18" customHeight="1" x14ac:dyDescent="0.2">
      <c r="B97" s="129"/>
      <c r="C97" s="649" t="s">
        <v>1272</v>
      </c>
      <c r="D97" s="657" t="s">
        <v>149</v>
      </c>
      <c r="E97" s="353">
        <v>20</v>
      </c>
      <c r="F97" s="467">
        <v>0</v>
      </c>
      <c r="G97" s="352">
        <f t="shared" si="4"/>
        <v>0</v>
      </c>
      <c r="H97" s="571"/>
    </row>
    <row r="98" spans="2:9" ht="18" customHeight="1" x14ac:dyDescent="0.2">
      <c r="B98" s="129"/>
      <c r="C98" s="649" t="s">
        <v>1273</v>
      </c>
      <c r="D98" s="657" t="s">
        <v>149</v>
      </c>
      <c r="E98" s="353">
        <v>8</v>
      </c>
      <c r="F98" s="467">
        <v>0</v>
      </c>
      <c r="G98" s="352">
        <f t="shared" si="4"/>
        <v>0</v>
      </c>
      <c r="H98" s="571"/>
    </row>
    <row r="99" spans="2:9" ht="18" customHeight="1" x14ac:dyDescent="0.2">
      <c r="B99" s="129"/>
      <c r="C99" s="649" t="s">
        <v>1263</v>
      </c>
      <c r="D99" s="657" t="s">
        <v>149</v>
      </c>
      <c r="E99" s="353">
        <v>6</v>
      </c>
      <c r="F99" s="467">
        <v>0</v>
      </c>
      <c r="G99" s="352">
        <f t="shared" si="4"/>
        <v>0</v>
      </c>
      <c r="H99" s="571"/>
    </row>
    <row r="100" spans="2:9" ht="14.25" customHeight="1" x14ac:dyDescent="0.2">
      <c r="B100" s="129"/>
      <c r="C100" s="649" t="s">
        <v>341</v>
      </c>
      <c r="D100" s="657" t="s">
        <v>149</v>
      </c>
      <c r="E100" s="353">
        <v>8</v>
      </c>
      <c r="F100" s="467">
        <v>0</v>
      </c>
      <c r="G100" s="352">
        <f t="shared" si="4"/>
        <v>0</v>
      </c>
      <c r="H100" s="571"/>
    </row>
    <row r="101" spans="2:9" ht="14.25" customHeight="1" x14ac:dyDescent="0.2">
      <c r="B101" s="129"/>
      <c r="C101" s="649" t="s">
        <v>2232</v>
      </c>
      <c r="D101" s="657" t="s">
        <v>149</v>
      </c>
      <c r="E101" s="353">
        <v>4</v>
      </c>
      <c r="F101" s="467">
        <v>0</v>
      </c>
      <c r="G101" s="352">
        <f t="shared" si="4"/>
        <v>0</v>
      </c>
      <c r="H101" s="571"/>
    </row>
    <row r="102" spans="2:9" s="147" customFormat="1" ht="15.75" customHeight="1" x14ac:dyDescent="0.25">
      <c r="B102" s="152"/>
      <c r="C102" s="658" t="s">
        <v>1274</v>
      </c>
      <c r="D102" s="657" t="s">
        <v>149</v>
      </c>
      <c r="E102" s="353">
        <v>88</v>
      </c>
      <c r="F102" s="467">
        <v>0</v>
      </c>
      <c r="G102" s="352">
        <f t="shared" si="4"/>
        <v>0</v>
      </c>
      <c r="H102" s="572"/>
    </row>
    <row r="103" spans="2:9" s="136" customFormat="1" x14ac:dyDescent="0.2">
      <c r="B103" s="655" t="s">
        <v>188</v>
      </c>
      <c r="C103" s="229" t="s">
        <v>1736</v>
      </c>
      <c r="D103" s="198"/>
      <c r="E103" s="348"/>
      <c r="F103" s="349">
        <v>0</v>
      </c>
      <c r="G103" s="352"/>
      <c r="H103" s="571"/>
    </row>
    <row r="104" spans="2:9" s="136" customFormat="1" x14ac:dyDescent="0.2">
      <c r="B104" s="655"/>
      <c r="C104" s="197" t="s">
        <v>2233</v>
      </c>
      <c r="D104" s="198" t="s">
        <v>149</v>
      </c>
      <c r="E104" s="348">
        <v>8</v>
      </c>
      <c r="F104" s="351">
        <v>0</v>
      </c>
      <c r="G104" s="352">
        <f t="shared" si="4"/>
        <v>0</v>
      </c>
      <c r="H104" s="571"/>
    </row>
    <row r="105" spans="2:9" s="136" customFormat="1" ht="38.25" customHeight="1" x14ac:dyDescent="0.2">
      <c r="B105" s="655"/>
      <c r="C105" s="217" t="s">
        <v>192</v>
      </c>
      <c r="D105" s="198" t="s">
        <v>149</v>
      </c>
      <c r="E105" s="348">
        <v>8</v>
      </c>
      <c r="F105" s="351">
        <v>0</v>
      </c>
      <c r="G105" s="352">
        <f t="shared" si="4"/>
        <v>0</v>
      </c>
      <c r="H105" s="571"/>
      <c r="I105" s="659"/>
    </row>
    <row r="106" spans="2:9" s="136" customFormat="1" x14ac:dyDescent="0.2">
      <c r="B106" s="655"/>
      <c r="C106" s="217" t="s">
        <v>193</v>
      </c>
      <c r="D106" s="198" t="s">
        <v>149</v>
      </c>
      <c r="E106" s="348">
        <v>8</v>
      </c>
      <c r="F106" s="351">
        <v>0</v>
      </c>
      <c r="G106" s="352">
        <f t="shared" si="4"/>
        <v>0</v>
      </c>
      <c r="H106" s="571"/>
    </row>
    <row r="107" spans="2:9" s="136" customFormat="1" x14ac:dyDescent="0.2">
      <c r="B107" s="655"/>
      <c r="C107" s="217" t="s">
        <v>194</v>
      </c>
      <c r="D107" s="198" t="s">
        <v>149</v>
      </c>
      <c r="E107" s="348">
        <v>8</v>
      </c>
      <c r="F107" s="351">
        <v>0</v>
      </c>
      <c r="G107" s="352">
        <f t="shared" si="4"/>
        <v>0</v>
      </c>
      <c r="H107" s="571"/>
    </row>
    <row r="108" spans="2:9" s="136" customFormat="1" x14ac:dyDescent="0.2">
      <c r="B108" s="655"/>
      <c r="C108" s="658" t="s">
        <v>354</v>
      </c>
      <c r="D108" s="198" t="s">
        <v>149</v>
      </c>
      <c r="E108" s="348">
        <v>16</v>
      </c>
      <c r="F108" s="351">
        <v>0</v>
      </c>
      <c r="G108" s="352">
        <f>E108*F108</f>
        <v>0</v>
      </c>
      <c r="H108" s="571"/>
    </row>
    <row r="109" spans="2:9" s="136" customFormat="1" x14ac:dyDescent="0.2">
      <c r="B109" s="655"/>
      <c r="C109" s="197" t="s">
        <v>2234</v>
      </c>
      <c r="D109" s="198" t="s">
        <v>149</v>
      </c>
      <c r="E109" s="348">
        <v>16</v>
      </c>
      <c r="F109" s="351">
        <v>0</v>
      </c>
      <c r="G109" s="352">
        <f>E109*F109</f>
        <v>0</v>
      </c>
      <c r="H109" s="571"/>
    </row>
    <row r="110" spans="2:9" s="136" customFormat="1" x14ac:dyDescent="0.2">
      <c r="B110" s="655"/>
      <c r="C110" s="658" t="s">
        <v>197</v>
      </c>
      <c r="D110" s="198" t="s">
        <v>149</v>
      </c>
      <c r="E110" s="348">
        <v>8</v>
      </c>
      <c r="F110" s="351">
        <v>0</v>
      </c>
      <c r="G110" s="352">
        <f t="shared" si="4"/>
        <v>0</v>
      </c>
      <c r="H110" s="571"/>
    </row>
    <row r="111" spans="2:9" s="136" customFormat="1" x14ac:dyDescent="0.2">
      <c r="B111" s="655"/>
      <c r="C111" s="649" t="s">
        <v>198</v>
      </c>
      <c r="D111" s="198" t="s">
        <v>149</v>
      </c>
      <c r="E111" s="348">
        <v>8</v>
      </c>
      <c r="F111" s="351">
        <v>0</v>
      </c>
      <c r="G111" s="352">
        <f t="shared" si="4"/>
        <v>0</v>
      </c>
      <c r="H111" s="571"/>
    </row>
    <row r="112" spans="2:9" s="136" customFormat="1" x14ac:dyDescent="0.2">
      <c r="B112" s="655" t="s">
        <v>199</v>
      </c>
      <c r="C112" s="229" t="s">
        <v>1740</v>
      </c>
      <c r="D112" s="198"/>
      <c r="E112" s="348"/>
      <c r="F112" s="349">
        <v>0</v>
      </c>
      <c r="G112" s="352"/>
      <c r="H112" s="571"/>
    </row>
    <row r="113" spans="2:8" s="136" customFormat="1" x14ac:dyDescent="0.2">
      <c r="B113" s="655"/>
      <c r="C113" s="197" t="s">
        <v>1255</v>
      </c>
      <c r="D113" s="198" t="s">
        <v>149</v>
      </c>
      <c r="E113" s="348">
        <v>7</v>
      </c>
      <c r="F113" s="351">
        <v>0</v>
      </c>
      <c r="G113" s="352">
        <f t="shared" si="4"/>
        <v>0</v>
      </c>
      <c r="H113" s="571"/>
    </row>
    <row r="114" spans="2:8" s="136" customFormat="1" x14ac:dyDescent="0.2">
      <c r="B114" s="655"/>
      <c r="C114" s="197" t="s">
        <v>342</v>
      </c>
      <c r="D114" s="198" t="s">
        <v>149</v>
      </c>
      <c r="E114" s="348">
        <v>7</v>
      </c>
      <c r="F114" s="351">
        <v>0</v>
      </c>
      <c r="G114" s="352">
        <f t="shared" si="4"/>
        <v>0</v>
      </c>
      <c r="H114" s="571"/>
    </row>
    <row r="115" spans="2:8" s="136" customFormat="1" ht="12.75" customHeight="1" x14ac:dyDescent="0.2">
      <c r="B115" s="655"/>
      <c r="C115" s="217" t="s">
        <v>843</v>
      </c>
      <c r="D115" s="198" t="s">
        <v>149</v>
      </c>
      <c r="E115" s="348">
        <v>7</v>
      </c>
      <c r="F115" s="351">
        <v>0</v>
      </c>
      <c r="G115" s="352">
        <f t="shared" si="4"/>
        <v>0</v>
      </c>
      <c r="H115" s="571"/>
    </row>
    <row r="116" spans="2:8" s="136" customFormat="1" ht="12.75" customHeight="1" x14ac:dyDescent="0.2">
      <c r="B116" s="655"/>
      <c r="C116" s="217" t="s">
        <v>2235</v>
      </c>
      <c r="D116" s="198" t="s">
        <v>149</v>
      </c>
      <c r="E116" s="348">
        <v>7</v>
      </c>
      <c r="F116" s="351">
        <v>0</v>
      </c>
      <c r="G116" s="352">
        <f t="shared" si="4"/>
        <v>0</v>
      </c>
      <c r="H116" s="571"/>
    </row>
    <row r="117" spans="2:8" s="136" customFormat="1" x14ac:dyDescent="0.2">
      <c r="B117" s="655"/>
      <c r="C117" s="217" t="s">
        <v>210</v>
      </c>
      <c r="D117" s="198" t="s">
        <v>149</v>
      </c>
      <c r="E117" s="348">
        <v>7</v>
      </c>
      <c r="F117" s="351">
        <v>0</v>
      </c>
      <c r="G117" s="352">
        <f t="shared" si="4"/>
        <v>0</v>
      </c>
      <c r="H117" s="571"/>
    </row>
    <row r="118" spans="2:8" s="136" customFormat="1" x14ac:dyDescent="0.2">
      <c r="B118" s="655"/>
      <c r="C118" s="217" t="s">
        <v>212</v>
      </c>
      <c r="D118" s="198" t="s">
        <v>149</v>
      </c>
      <c r="E118" s="348">
        <v>7</v>
      </c>
      <c r="F118" s="351">
        <v>0</v>
      </c>
      <c r="G118" s="352">
        <f>E118*F118</f>
        <v>0</v>
      </c>
      <c r="H118" s="571"/>
    </row>
    <row r="119" spans="2:8" s="136" customFormat="1" x14ac:dyDescent="0.2">
      <c r="B119" s="655"/>
      <c r="C119" s="217" t="s">
        <v>211</v>
      </c>
      <c r="D119" s="198" t="s">
        <v>149</v>
      </c>
      <c r="E119" s="348">
        <v>7</v>
      </c>
      <c r="F119" s="351">
        <v>0</v>
      </c>
      <c r="G119" s="352">
        <f t="shared" si="4"/>
        <v>0</v>
      </c>
      <c r="H119" s="571"/>
    </row>
    <row r="120" spans="2:8" s="136" customFormat="1" x14ac:dyDescent="0.2">
      <c r="B120" s="655"/>
      <c r="C120" s="217" t="s">
        <v>825</v>
      </c>
      <c r="D120" s="198" t="s">
        <v>149</v>
      </c>
      <c r="E120" s="348">
        <v>7</v>
      </c>
      <c r="F120" s="351">
        <v>0</v>
      </c>
      <c r="G120" s="352">
        <f t="shared" si="4"/>
        <v>0</v>
      </c>
      <c r="H120" s="571"/>
    </row>
    <row r="121" spans="2:8" s="136" customFormat="1" x14ac:dyDescent="0.2">
      <c r="B121" s="655"/>
      <c r="C121" s="197" t="s">
        <v>2234</v>
      </c>
      <c r="D121" s="198" t="s">
        <v>149</v>
      </c>
      <c r="E121" s="348">
        <v>35</v>
      </c>
      <c r="F121" s="351">
        <v>0</v>
      </c>
      <c r="G121" s="352">
        <f t="shared" si="4"/>
        <v>0</v>
      </c>
      <c r="H121" s="571"/>
    </row>
    <row r="122" spans="2:8" s="136" customFormat="1" x14ac:dyDescent="0.2">
      <c r="B122" s="655"/>
      <c r="C122" s="217" t="s">
        <v>215</v>
      </c>
      <c r="D122" s="198" t="s">
        <v>149</v>
      </c>
      <c r="E122" s="348">
        <v>7</v>
      </c>
      <c r="F122" s="351">
        <v>0</v>
      </c>
      <c r="G122" s="352">
        <f t="shared" si="4"/>
        <v>0</v>
      </c>
      <c r="H122" s="571"/>
    </row>
    <row r="123" spans="2:8" s="136" customFormat="1" x14ac:dyDescent="0.2">
      <c r="B123" s="655"/>
      <c r="C123" s="658" t="s">
        <v>216</v>
      </c>
      <c r="D123" s="198" t="s">
        <v>149</v>
      </c>
      <c r="E123" s="348">
        <v>7</v>
      </c>
      <c r="F123" s="351">
        <v>0</v>
      </c>
      <c r="G123" s="352">
        <f t="shared" si="4"/>
        <v>0</v>
      </c>
      <c r="H123" s="571"/>
    </row>
    <row r="124" spans="2:8" s="136" customFormat="1" x14ac:dyDescent="0.2">
      <c r="B124" s="655"/>
      <c r="C124" s="658" t="s">
        <v>329</v>
      </c>
      <c r="D124" s="198" t="s">
        <v>149</v>
      </c>
      <c r="E124" s="348">
        <v>7</v>
      </c>
      <c r="F124" s="351">
        <v>0</v>
      </c>
      <c r="G124" s="352">
        <f t="shared" si="4"/>
        <v>0</v>
      </c>
      <c r="H124" s="571"/>
    </row>
    <row r="125" spans="2:8" s="136" customFormat="1" x14ac:dyDescent="0.2">
      <c r="B125" s="655"/>
      <c r="C125" s="658" t="s">
        <v>2236</v>
      </c>
      <c r="D125" s="198" t="s">
        <v>149</v>
      </c>
      <c r="E125" s="348">
        <v>14</v>
      </c>
      <c r="F125" s="351">
        <v>0</v>
      </c>
      <c r="G125" s="352">
        <f t="shared" si="4"/>
        <v>0</v>
      </c>
      <c r="H125" s="571"/>
    </row>
    <row r="126" spans="2:8" s="136" customFormat="1" x14ac:dyDescent="0.2">
      <c r="B126" s="655"/>
      <c r="C126" s="197" t="s">
        <v>2237</v>
      </c>
      <c r="D126" s="198" t="s">
        <v>149</v>
      </c>
      <c r="E126" s="348">
        <v>112</v>
      </c>
      <c r="F126" s="351">
        <v>0</v>
      </c>
      <c r="G126" s="352">
        <f t="shared" si="4"/>
        <v>0</v>
      </c>
      <c r="H126" s="571"/>
    </row>
    <row r="127" spans="2:8" s="136" customFormat="1" x14ac:dyDescent="0.2">
      <c r="B127" s="655"/>
      <c r="C127" s="658" t="s">
        <v>354</v>
      </c>
      <c r="D127" s="198" t="s">
        <v>149</v>
      </c>
      <c r="E127" s="348">
        <v>14</v>
      </c>
      <c r="F127" s="351">
        <v>0</v>
      </c>
      <c r="G127" s="352">
        <f t="shared" si="4"/>
        <v>0</v>
      </c>
      <c r="H127" s="571"/>
    </row>
    <row r="128" spans="2:8" s="136" customFormat="1" x14ac:dyDescent="0.2">
      <c r="B128" s="655"/>
      <c r="C128" s="658" t="s">
        <v>219</v>
      </c>
      <c r="D128" s="198" t="s">
        <v>149</v>
      </c>
      <c r="E128" s="348">
        <v>7</v>
      </c>
      <c r="F128" s="351">
        <v>0</v>
      </c>
      <c r="G128" s="352">
        <f t="shared" si="4"/>
        <v>0</v>
      </c>
      <c r="H128" s="571"/>
    </row>
    <row r="129" spans="2:8" s="136" customFormat="1" x14ac:dyDescent="0.2">
      <c r="B129" s="655"/>
      <c r="C129" s="658" t="s">
        <v>227</v>
      </c>
      <c r="D129" s="198" t="s">
        <v>149</v>
      </c>
      <c r="E129" s="348">
        <v>7</v>
      </c>
      <c r="F129" s="351">
        <v>0</v>
      </c>
      <c r="G129" s="352">
        <f t="shared" si="4"/>
        <v>0</v>
      </c>
      <c r="H129" s="571"/>
    </row>
    <row r="130" spans="2:8" s="136" customFormat="1" x14ac:dyDescent="0.2">
      <c r="B130" s="655"/>
      <c r="C130" s="649" t="s">
        <v>198</v>
      </c>
      <c r="D130" s="198" t="s">
        <v>149</v>
      </c>
      <c r="E130" s="348">
        <v>7</v>
      </c>
      <c r="F130" s="351">
        <v>0</v>
      </c>
      <c r="G130" s="352">
        <f t="shared" si="4"/>
        <v>0</v>
      </c>
      <c r="H130" s="571"/>
    </row>
    <row r="131" spans="2:8" s="136" customFormat="1" x14ac:dyDescent="0.2">
      <c r="B131" s="655" t="s">
        <v>204</v>
      </c>
      <c r="C131" s="229" t="s">
        <v>2238</v>
      </c>
      <c r="D131" s="198"/>
      <c r="E131" s="348"/>
      <c r="F131" s="349">
        <v>0</v>
      </c>
      <c r="G131" s="352"/>
      <c r="H131" s="571"/>
    </row>
    <row r="132" spans="2:8" s="136" customFormat="1" ht="14.25" customHeight="1" x14ac:dyDescent="0.2">
      <c r="B132" s="655"/>
      <c r="C132" s="197" t="s">
        <v>2239</v>
      </c>
      <c r="D132" s="198" t="s">
        <v>149</v>
      </c>
      <c r="E132" s="348">
        <v>2</v>
      </c>
      <c r="F132" s="351">
        <v>0</v>
      </c>
      <c r="G132" s="352">
        <f t="shared" si="4"/>
        <v>0</v>
      </c>
      <c r="H132" s="571"/>
    </row>
    <row r="133" spans="2:8" s="136" customFormat="1" ht="14.25" customHeight="1" x14ac:dyDescent="0.2">
      <c r="B133" s="655"/>
      <c r="C133" s="197" t="s">
        <v>2240</v>
      </c>
      <c r="D133" s="198" t="s">
        <v>149</v>
      </c>
      <c r="E133" s="348">
        <v>4</v>
      </c>
      <c r="F133" s="351">
        <v>0</v>
      </c>
      <c r="G133" s="352">
        <f t="shared" si="4"/>
        <v>0</v>
      </c>
      <c r="H133" s="571"/>
    </row>
    <row r="134" spans="2:8" s="136" customFormat="1" ht="14.25" customHeight="1" x14ac:dyDescent="0.2">
      <c r="B134" s="655"/>
      <c r="C134" s="197" t="s">
        <v>2241</v>
      </c>
      <c r="D134" s="198" t="s">
        <v>149</v>
      </c>
      <c r="E134" s="348">
        <v>4</v>
      </c>
      <c r="F134" s="351">
        <v>0</v>
      </c>
      <c r="G134" s="352">
        <f t="shared" si="4"/>
        <v>0</v>
      </c>
      <c r="H134" s="571"/>
    </row>
    <row r="135" spans="2:8" s="136" customFormat="1" ht="14.25" customHeight="1" x14ac:dyDescent="0.2">
      <c r="B135" s="655"/>
      <c r="C135" s="197" t="s">
        <v>2242</v>
      </c>
      <c r="D135" s="198" t="s">
        <v>149</v>
      </c>
      <c r="E135" s="348">
        <v>10</v>
      </c>
      <c r="F135" s="351">
        <v>0</v>
      </c>
      <c r="G135" s="352">
        <f t="shared" si="4"/>
        <v>0</v>
      </c>
      <c r="H135" s="571"/>
    </row>
    <row r="136" spans="2:8" s="136" customFormat="1" ht="14.25" customHeight="1" x14ac:dyDescent="0.2">
      <c r="B136" s="655"/>
      <c r="C136" s="197" t="s">
        <v>2243</v>
      </c>
      <c r="D136" s="198" t="s">
        <v>149</v>
      </c>
      <c r="E136" s="348">
        <v>32</v>
      </c>
      <c r="F136" s="351">
        <v>0</v>
      </c>
      <c r="G136" s="352">
        <f t="shared" si="4"/>
        <v>0</v>
      </c>
      <c r="H136" s="571"/>
    </row>
    <row r="137" spans="2:8" s="136" customFormat="1" ht="14.25" customHeight="1" x14ac:dyDescent="0.2">
      <c r="B137" s="655"/>
      <c r="C137" s="658" t="s">
        <v>2244</v>
      </c>
      <c r="D137" s="198" t="s">
        <v>149</v>
      </c>
      <c r="E137" s="348">
        <v>4</v>
      </c>
      <c r="F137" s="351">
        <v>0</v>
      </c>
      <c r="G137" s="352">
        <f t="shared" si="4"/>
        <v>0</v>
      </c>
      <c r="H137" s="571"/>
    </row>
    <row r="138" spans="2:8" s="136" customFormat="1" ht="14.25" customHeight="1" x14ac:dyDescent="0.2">
      <c r="B138" s="655"/>
      <c r="C138" s="658" t="s">
        <v>354</v>
      </c>
      <c r="D138" s="198" t="s">
        <v>149</v>
      </c>
      <c r="E138" s="348">
        <v>2</v>
      </c>
      <c r="F138" s="351">
        <v>0</v>
      </c>
      <c r="G138" s="352">
        <f t="shared" si="4"/>
        <v>0</v>
      </c>
      <c r="H138" s="571"/>
    </row>
    <row r="139" spans="2:8" s="136" customFormat="1" ht="14.25" customHeight="1" x14ac:dyDescent="0.2">
      <c r="B139" s="655"/>
      <c r="C139" s="197" t="s">
        <v>2245</v>
      </c>
      <c r="D139" s="198" t="s">
        <v>149</v>
      </c>
      <c r="E139" s="348">
        <v>6</v>
      </c>
      <c r="F139" s="351">
        <v>0</v>
      </c>
      <c r="G139" s="352">
        <f t="shared" si="4"/>
        <v>0</v>
      </c>
      <c r="H139" s="571"/>
    </row>
    <row r="140" spans="2:8" s="136" customFormat="1" x14ac:dyDescent="0.2">
      <c r="B140" s="655"/>
      <c r="C140" s="658" t="s">
        <v>227</v>
      </c>
      <c r="D140" s="198" t="s">
        <v>149</v>
      </c>
      <c r="E140" s="348">
        <v>6</v>
      </c>
      <c r="F140" s="351">
        <v>0</v>
      </c>
      <c r="G140" s="352">
        <f t="shared" si="4"/>
        <v>0</v>
      </c>
      <c r="H140" s="571"/>
    </row>
    <row r="141" spans="2:8" s="136" customFormat="1" x14ac:dyDescent="0.2">
      <c r="B141" s="655"/>
      <c r="C141" s="649" t="s">
        <v>198</v>
      </c>
      <c r="D141" s="198" t="s">
        <v>149</v>
      </c>
      <c r="E141" s="348">
        <v>2</v>
      </c>
      <c r="F141" s="351">
        <v>0</v>
      </c>
      <c r="G141" s="352">
        <f t="shared" si="4"/>
        <v>0</v>
      </c>
      <c r="H141" s="571"/>
    </row>
    <row r="142" spans="2:8" s="136" customFormat="1" x14ac:dyDescent="0.2">
      <c r="B142" s="655" t="s">
        <v>220</v>
      </c>
      <c r="C142" s="229" t="s">
        <v>2246</v>
      </c>
      <c r="D142" s="229"/>
      <c r="F142" s="351"/>
      <c r="G142" s="352"/>
      <c r="H142" s="571"/>
    </row>
    <row r="143" spans="2:8" s="136" customFormat="1" x14ac:dyDescent="0.2">
      <c r="B143" s="655"/>
      <c r="C143" s="649" t="s">
        <v>2247</v>
      </c>
      <c r="D143" s="198" t="s">
        <v>149</v>
      </c>
      <c r="E143" s="348">
        <v>2</v>
      </c>
      <c r="F143" s="351">
        <v>0</v>
      </c>
      <c r="G143" s="352">
        <f t="shared" si="4"/>
        <v>0</v>
      </c>
      <c r="H143" s="571"/>
    </row>
    <row r="144" spans="2:8" s="136" customFormat="1" x14ac:dyDescent="0.2">
      <c r="B144" s="655"/>
      <c r="C144" s="658" t="s">
        <v>1274</v>
      </c>
      <c r="D144" s="198" t="s">
        <v>149</v>
      </c>
      <c r="E144" s="348">
        <v>2</v>
      </c>
      <c r="F144" s="351">
        <v>0</v>
      </c>
      <c r="G144" s="352">
        <f t="shared" si="4"/>
        <v>0</v>
      </c>
      <c r="H144" s="571"/>
    </row>
    <row r="145" spans="2:8" s="136" customFormat="1" x14ac:dyDescent="0.2">
      <c r="B145" s="655"/>
      <c r="C145" s="649" t="s">
        <v>2248</v>
      </c>
      <c r="D145" s="198" t="s">
        <v>149</v>
      </c>
      <c r="E145" s="348">
        <v>2</v>
      </c>
      <c r="F145" s="351">
        <v>0</v>
      </c>
      <c r="G145" s="352">
        <f t="shared" si="4"/>
        <v>0</v>
      </c>
      <c r="H145" s="571"/>
    </row>
    <row r="146" spans="2:8" s="136" customFormat="1" x14ac:dyDescent="0.2">
      <c r="B146" s="655"/>
      <c r="C146" s="197" t="s">
        <v>2243</v>
      </c>
      <c r="D146" s="198" t="s">
        <v>149</v>
      </c>
      <c r="E146" s="348">
        <v>32</v>
      </c>
      <c r="F146" s="351">
        <v>0</v>
      </c>
      <c r="G146" s="352">
        <f t="shared" si="4"/>
        <v>0</v>
      </c>
      <c r="H146" s="571"/>
    </row>
    <row r="147" spans="2:8" s="136" customFormat="1" x14ac:dyDescent="0.2">
      <c r="B147" s="655"/>
      <c r="C147" s="658" t="s">
        <v>2244</v>
      </c>
      <c r="D147" s="198" t="s">
        <v>149</v>
      </c>
      <c r="E147" s="348">
        <v>2</v>
      </c>
      <c r="F147" s="351">
        <v>0</v>
      </c>
      <c r="G147" s="352">
        <f t="shared" si="4"/>
        <v>0</v>
      </c>
      <c r="H147" s="571"/>
    </row>
    <row r="148" spans="2:8" s="136" customFormat="1" x14ac:dyDescent="0.2">
      <c r="B148" s="135"/>
      <c r="C148" s="658" t="s">
        <v>2249</v>
      </c>
      <c r="D148" s="198" t="s">
        <v>149</v>
      </c>
      <c r="E148" s="348">
        <v>2</v>
      </c>
      <c r="F148" s="351">
        <v>0</v>
      </c>
      <c r="G148" s="352">
        <f t="shared" si="4"/>
        <v>0</v>
      </c>
      <c r="H148" s="571"/>
    </row>
    <row r="149" spans="2:8" s="147" customFormat="1" ht="25.5" customHeight="1" x14ac:dyDescent="0.25">
      <c r="B149" s="293" t="s">
        <v>17</v>
      </c>
      <c r="C149" s="294" t="s">
        <v>302</v>
      </c>
      <c r="D149" s="218"/>
      <c r="E149" s="203"/>
      <c r="F149" s="204"/>
      <c r="G149" s="290">
        <f>SUM(G87:G148)</f>
        <v>0</v>
      </c>
      <c r="H149" s="150"/>
    </row>
  </sheetData>
  <mergeCells count="6">
    <mergeCell ref="B89:B90"/>
    <mergeCell ref="B41:G41"/>
    <mergeCell ref="B53:B54"/>
    <mergeCell ref="B65:B66"/>
    <mergeCell ref="B67:B68"/>
    <mergeCell ref="B85:G85"/>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6B01E-69AF-4506-B939-035FE1EAC12E}">
  <sheetPr codeName="Sheet79">
    <tabColor rgb="FF7030A0"/>
  </sheetPr>
  <dimension ref="A2:L428"/>
  <sheetViews>
    <sheetView showZeros="0" topLeftCell="A158" zoomScale="110" zoomScaleNormal="110" workbookViewId="0">
      <selection activeCell="B179" sqref="B179:G179"/>
    </sheetView>
  </sheetViews>
  <sheetFormatPr defaultColWidth="10.42578125" defaultRowHeight="12.75" x14ac:dyDescent="0.2"/>
  <cols>
    <col min="1" max="1" width="4.42578125" style="121" customWidth="1"/>
    <col min="2" max="2" width="7.42578125" style="120" customWidth="1"/>
    <col min="3" max="3" width="45.5703125" style="188" customWidth="1"/>
    <col min="4" max="4" width="10.42578125" style="189" customWidth="1"/>
    <col min="5" max="5" width="9.28515625" style="190" customWidth="1"/>
    <col min="6" max="6" width="12.140625" style="191" customWidth="1"/>
    <col min="7" max="7" width="14.28515625" style="187" customWidth="1"/>
    <col min="8" max="8" width="16" style="122" customWidth="1"/>
    <col min="9" max="9" width="26.28515625" style="121" customWidth="1"/>
    <col min="10" max="10" width="10.42578125" style="121" customWidth="1"/>
    <col min="11" max="16384" width="10.42578125" style="121"/>
  </cols>
  <sheetData>
    <row r="2" spans="1:12" ht="24.75" customHeight="1" x14ac:dyDescent="0.2">
      <c r="B2" s="137"/>
      <c r="C2" s="354" t="s">
        <v>59</v>
      </c>
      <c r="D2" s="155"/>
      <c r="E2" s="156"/>
      <c r="F2" s="157"/>
      <c r="G2" s="3098" t="s">
        <v>60</v>
      </c>
    </row>
    <row r="4" spans="1:12" s="139" customFormat="1" ht="15" x14ac:dyDescent="0.25">
      <c r="B4" s="664" t="s">
        <v>7</v>
      </c>
      <c r="C4" s="665" t="s">
        <v>2217</v>
      </c>
      <c r="D4" s="666"/>
      <c r="E4" s="667"/>
      <c r="F4" s="3118"/>
      <c r="G4" s="3099"/>
      <c r="H4" s="26"/>
    </row>
    <row r="5" spans="1:12" s="139" customFormat="1" ht="12" customHeight="1" x14ac:dyDescent="0.25">
      <c r="B5" s="370"/>
      <c r="C5" s="371"/>
      <c r="D5" s="372"/>
      <c r="E5" s="373"/>
      <c r="F5" s="3119"/>
      <c r="G5" s="3100"/>
      <c r="H5" s="26"/>
    </row>
    <row r="6" spans="1:12" s="376" customFormat="1" ht="14.25" x14ac:dyDescent="0.2">
      <c r="B6" s="664" t="s">
        <v>80</v>
      </c>
      <c r="C6" s="668" t="s">
        <v>2250</v>
      </c>
      <c r="D6" s="666" t="s">
        <v>2251</v>
      </c>
      <c r="E6" s="667"/>
      <c r="F6" s="3118"/>
      <c r="G6" s="3099"/>
      <c r="H6" s="123"/>
      <c r="I6" s="378"/>
      <c r="J6" s="378"/>
      <c r="K6" s="378"/>
      <c r="L6" s="378"/>
    </row>
    <row r="7" spans="1:12" s="376" customFormat="1" ht="14.25" x14ac:dyDescent="0.2">
      <c r="B7" s="370"/>
      <c r="C7" s="371"/>
      <c r="D7" s="372"/>
      <c r="E7" s="373"/>
      <c r="F7" s="3119"/>
      <c r="G7" s="3101"/>
      <c r="H7" s="123"/>
      <c r="I7" s="378"/>
      <c r="J7" s="378"/>
      <c r="K7" s="378"/>
      <c r="L7" s="378"/>
    </row>
    <row r="8" spans="1:12" s="139" customFormat="1" ht="18" customHeight="1" x14ac:dyDescent="0.2">
      <c r="A8" s="140"/>
      <c r="B8" s="2853" t="s">
        <v>355</v>
      </c>
      <c r="C8" s="2854"/>
      <c r="D8" s="2856"/>
      <c r="E8" s="2855"/>
      <c r="F8" s="2855"/>
      <c r="G8" s="2856"/>
    </row>
    <row r="9" spans="1:12" s="139" customFormat="1" ht="18" customHeight="1" x14ac:dyDescent="0.25">
      <c r="A9" s="141"/>
      <c r="B9" s="2857" t="s">
        <v>356</v>
      </c>
      <c r="C9" s="2858"/>
      <c r="D9" s="2859"/>
      <c r="E9" s="2860"/>
      <c r="F9" s="2860"/>
      <c r="G9" s="2859"/>
    </row>
    <row r="10" spans="1:12" s="139" customFormat="1" ht="18" customHeight="1" x14ac:dyDescent="0.2">
      <c r="A10" s="140"/>
      <c r="B10" s="2853" t="s">
        <v>3</v>
      </c>
      <c r="C10" s="2854"/>
      <c r="D10" s="2855"/>
      <c r="E10" s="2855"/>
      <c r="F10" s="2855"/>
      <c r="G10" s="2856"/>
    </row>
    <row r="11" spans="1:12" s="139" customFormat="1" ht="18" customHeight="1" x14ac:dyDescent="0.25">
      <c r="A11" s="141"/>
      <c r="B11" s="2857" t="s">
        <v>4</v>
      </c>
      <c r="C11" s="2858"/>
      <c r="D11" s="2860"/>
      <c r="E11" s="2860"/>
      <c r="F11" s="2860"/>
      <c r="G11" s="2859"/>
    </row>
    <row r="12" spans="1:12" s="376" customFormat="1" ht="14.25" x14ac:dyDescent="0.2">
      <c r="B12" s="380"/>
      <c r="C12" s="381"/>
      <c r="D12" s="382"/>
      <c r="E12" s="383"/>
      <c r="F12" s="3120"/>
      <c r="G12" s="3102"/>
      <c r="H12" s="123"/>
      <c r="I12" s="378"/>
      <c r="J12" s="378"/>
      <c r="K12" s="378"/>
      <c r="L12" s="378"/>
    </row>
    <row r="13" spans="1:12" s="376" customFormat="1" ht="14.25" x14ac:dyDescent="0.2">
      <c r="B13" s="669"/>
      <c r="C13" s="670" t="s">
        <v>82</v>
      </c>
      <c r="D13" s="671"/>
      <c r="E13" s="672"/>
      <c r="F13" s="3121"/>
      <c r="G13" s="3103"/>
      <c r="H13" s="123"/>
      <c r="I13" s="378"/>
      <c r="J13" s="378"/>
      <c r="K13" s="378"/>
      <c r="L13" s="378"/>
    </row>
    <row r="14" spans="1:12" s="139" customFormat="1" ht="15" x14ac:dyDescent="0.25">
      <c r="B14" s="669" t="s">
        <v>83</v>
      </c>
      <c r="C14" s="673" t="s">
        <v>84</v>
      </c>
      <c r="D14" s="674"/>
      <c r="E14" s="675"/>
      <c r="F14" s="3122"/>
      <c r="G14" s="3104" t="s">
        <v>64</v>
      </c>
      <c r="H14" s="26"/>
    </row>
    <row r="15" spans="1:12" s="139" customFormat="1" ht="15" x14ac:dyDescent="0.25">
      <c r="B15" s="676" t="s">
        <v>10</v>
      </c>
      <c r="C15" s="677" t="s">
        <v>85</v>
      </c>
      <c r="D15" s="678"/>
      <c r="E15" s="679"/>
      <c r="F15" s="3122"/>
      <c r="G15" s="707">
        <f>G33</f>
        <v>0</v>
      </c>
      <c r="H15" s="26"/>
    </row>
    <row r="16" spans="1:12" s="139" customFormat="1" ht="15" x14ac:dyDescent="0.25">
      <c r="B16" s="676" t="s">
        <v>12</v>
      </c>
      <c r="C16" s="677" t="s">
        <v>109</v>
      </c>
      <c r="D16" s="678"/>
      <c r="E16" s="679"/>
      <c r="F16" s="3122"/>
      <c r="G16" s="707">
        <f>G128</f>
        <v>0</v>
      </c>
      <c r="H16" s="26"/>
    </row>
    <row r="17" spans="2:9" s="139" customFormat="1" ht="15" x14ac:dyDescent="0.25">
      <c r="B17" s="676" t="s">
        <v>17</v>
      </c>
      <c r="C17" s="677" t="s">
        <v>87</v>
      </c>
      <c r="D17" s="678"/>
      <c r="E17" s="679"/>
      <c r="F17" s="3122"/>
      <c r="G17" s="707">
        <f>G171</f>
        <v>0</v>
      </c>
      <c r="H17" s="26"/>
    </row>
    <row r="18" spans="2:9" s="139" customFormat="1" ht="15" x14ac:dyDescent="0.25">
      <c r="B18" s="676" t="s">
        <v>18</v>
      </c>
      <c r="C18" s="677" t="s">
        <v>367</v>
      </c>
      <c r="D18" s="678"/>
      <c r="E18" s="679"/>
      <c r="F18" s="3123"/>
      <c r="G18" s="707">
        <f>G427</f>
        <v>0</v>
      </c>
      <c r="H18" s="26"/>
    </row>
    <row r="19" spans="2:9" s="139" customFormat="1" ht="15" x14ac:dyDescent="0.25">
      <c r="B19" s="3140"/>
      <c r="C19" s="3141" t="s">
        <v>88</v>
      </c>
      <c r="D19" s="3142"/>
      <c r="E19" s="3143"/>
      <c r="F19" s="3144"/>
      <c r="G19" s="2742">
        <f>SUM(G15:G18)</f>
        <v>0</v>
      </c>
      <c r="H19" s="26"/>
    </row>
    <row r="20" spans="2:9" x14ac:dyDescent="0.2">
      <c r="B20" s="127"/>
      <c r="C20" s="183"/>
      <c r="D20" s="184"/>
      <c r="E20" s="185"/>
      <c r="F20" s="3124"/>
    </row>
    <row r="22" spans="2:9" ht="24" x14ac:dyDescent="0.2">
      <c r="B22" s="2836" t="s">
        <v>368</v>
      </c>
      <c r="C22" s="2837" t="s">
        <v>89</v>
      </c>
      <c r="D22" s="2744" t="s">
        <v>90</v>
      </c>
      <c r="E22" s="2845" t="s">
        <v>91</v>
      </c>
      <c r="F22" s="3145" t="s">
        <v>92</v>
      </c>
      <c r="G22" s="3146" t="s">
        <v>93</v>
      </c>
    </row>
    <row r="23" spans="2:9" x14ac:dyDescent="0.2">
      <c r="B23" s="129"/>
      <c r="C23" s="197"/>
      <c r="D23" s="198"/>
      <c r="E23" s="199"/>
      <c r="F23" s="200"/>
      <c r="G23" s="201"/>
    </row>
    <row r="24" spans="2:9" s="295" customFormat="1" ht="20.25" x14ac:dyDescent="0.3">
      <c r="B24" s="686" t="s">
        <v>10</v>
      </c>
      <c r="C24" s="687" t="s">
        <v>85</v>
      </c>
      <c r="D24" s="688"/>
      <c r="E24" s="689"/>
      <c r="F24" s="690"/>
      <c r="G24" s="691"/>
      <c r="H24" s="302"/>
    </row>
    <row r="25" spans="2:9" x14ac:dyDescent="0.2">
      <c r="B25" s="129" t="s">
        <v>369</v>
      </c>
      <c r="C25" s="206" t="s">
        <v>96</v>
      </c>
      <c r="D25" s="207" t="s">
        <v>123</v>
      </c>
      <c r="E25" s="199">
        <v>6</v>
      </c>
      <c r="F25" s="269">
        <v>0</v>
      </c>
      <c r="G25" s="270">
        <f t="shared" ref="G25:G32" si="0">E25*F25</f>
        <v>0</v>
      </c>
    </row>
    <row r="26" spans="2:9" ht="127.5" customHeight="1" x14ac:dyDescent="0.2">
      <c r="B26" s="129" t="s">
        <v>371</v>
      </c>
      <c r="C26" s="208" t="s">
        <v>1719</v>
      </c>
      <c r="D26" s="209" t="s">
        <v>98</v>
      </c>
      <c r="E26" s="199">
        <v>1</v>
      </c>
      <c r="F26" s="269">
        <v>0</v>
      </c>
      <c r="G26" s="270">
        <f t="shared" si="0"/>
        <v>0</v>
      </c>
      <c r="I26" s="692"/>
    </row>
    <row r="27" spans="2:9" ht="30.75" customHeight="1" x14ac:dyDescent="0.2">
      <c r="B27" s="129" t="s">
        <v>372</v>
      </c>
      <c r="C27" s="206" t="s">
        <v>100</v>
      </c>
      <c r="D27" s="210" t="s">
        <v>98</v>
      </c>
      <c r="E27" s="199">
        <v>1</v>
      </c>
      <c r="F27" s="269">
        <v>0</v>
      </c>
      <c r="G27" s="270">
        <f t="shared" si="0"/>
        <v>0</v>
      </c>
    </row>
    <row r="28" spans="2:9" ht="41.25" customHeight="1" x14ac:dyDescent="0.2">
      <c r="B28" s="129" t="s">
        <v>374</v>
      </c>
      <c r="C28" s="407" t="s">
        <v>102</v>
      </c>
      <c r="D28" s="210" t="s">
        <v>98</v>
      </c>
      <c r="E28" s="199">
        <v>2</v>
      </c>
      <c r="F28" s="269">
        <v>0</v>
      </c>
      <c r="G28" s="270">
        <f t="shared" si="0"/>
        <v>0</v>
      </c>
    </row>
    <row r="29" spans="2:9" ht="28.5" customHeight="1" x14ac:dyDescent="0.2">
      <c r="B29" s="129" t="s">
        <v>376</v>
      </c>
      <c r="C29" s="3165" t="s">
        <v>2590</v>
      </c>
      <c r="D29" s="210" t="s">
        <v>149</v>
      </c>
      <c r="E29" s="353">
        <v>1</v>
      </c>
      <c r="F29" s="467">
        <v>0</v>
      </c>
      <c r="G29" s="352">
        <f>E29*F29</f>
        <v>0</v>
      </c>
      <c r="H29" s="571"/>
    </row>
    <row r="30" spans="2:9" ht="27.75" customHeight="1" x14ac:dyDescent="0.2">
      <c r="B30" s="129" t="s">
        <v>2252</v>
      </c>
      <c r="C30" s="3165" t="s">
        <v>2591</v>
      </c>
      <c r="D30" s="210" t="s">
        <v>98</v>
      </c>
      <c r="E30" s="353">
        <v>1</v>
      </c>
      <c r="F30" s="467">
        <v>0</v>
      </c>
      <c r="G30" s="352">
        <f t="shared" ref="G30" si="1">E30*F30</f>
        <v>0</v>
      </c>
      <c r="H30" s="565"/>
    </row>
    <row r="31" spans="2:9" ht="14.25" customHeight="1" x14ac:dyDescent="0.2">
      <c r="B31" s="129" t="s">
        <v>2594</v>
      </c>
      <c r="C31" s="407" t="s">
        <v>105</v>
      </c>
      <c r="D31" s="210" t="s">
        <v>98</v>
      </c>
      <c r="E31" s="199">
        <v>1</v>
      </c>
      <c r="F31" s="269">
        <v>0</v>
      </c>
      <c r="G31" s="270">
        <f t="shared" si="0"/>
        <v>0</v>
      </c>
    </row>
    <row r="32" spans="2:9" ht="38.25" customHeight="1" x14ac:dyDescent="0.2">
      <c r="B32" s="129" t="s">
        <v>2595</v>
      </c>
      <c r="C32" s="212" t="s">
        <v>106</v>
      </c>
      <c r="D32" s="210" t="s">
        <v>98</v>
      </c>
      <c r="E32" s="213">
        <v>1</v>
      </c>
      <c r="F32" s="269">
        <v>0</v>
      </c>
      <c r="G32" s="270">
        <f t="shared" si="0"/>
        <v>0</v>
      </c>
    </row>
    <row r="33" spans="2:12" x14ac:dyDescent="0.2">
      <c r="B33" s="3020" t="s">
        <v>10</v>
      </c>
      <c r="C33" s="3021" t="s">
        <v>108</v>
      </c>
      <c r="D33" s="476"/>
      <c r="E33" s="3022"/>
      <c r="F33" s="3023"/>
      <c r="G33" s="274">
        <f>SUM(G25:G32)</f>
        <v>0</v>
      </c>
    </row>
    <row r="34" spans="2:12" x14ac:dyDescent="0.2">
      <c r="B34" s="129"/>
      <c r="C34" s="197"/>
      <c r="D34" s="198"/>
      <c r="E34" s="199"/>
      <c r="F34" s="200"/>
      <c r="G34" s="201"/>
    </row>
    <row r="35" spans="2:12" ht="24" x14ac:dyDescent="0.2">
      <c r="B35" s="51" t="s">
        <v>368</v>
      </c>
      <c r="C35" s="50" t="s">
        <v>89</v>
      </c>
      <c r="D35" s="357" t="s">
        <v>90</v>
      </c>
      <c r="E35" s="419" t="s">
        <v>91</v>
      </c>
      <c r="F35" s="3125" t="s">
        <v>92</v>
      </c>
      <c r="G35" s="3105" t="s">
        <v>93</v>
      </c>
    </row>
    <row r="36" spans="2:12" x14ac:dyDescent="0.2">
      <c r="B36" s="129"/>
      <c r="C36" s="217"/>
      <c r="D36" s="207"/>
      <c r="E36" s="199"/>
      <c r="F36" s="200"/>
      <c r="G36" s="201"/>
    </row>
    <row r="37" spans="2:12" s="295" customFormat="1" ht="20.25" x14ac:dyDescent="0.3">
      <c r="B37" s="686" t="s">
        <v>12</v>
      </c>
      <c r="C37" s="693" t="s">
        <v>109</v>
      </c>
      <c r="D37" s="694"/>
      <c r="E37" s="689"/>
      <c r="F37" s="690"/>
      <c r="G37" s="691"/>
      <c r="H37" s="302"/>
    </row>
    <row r="38" spans="2:12" s="295" customFormat="1" ht="20.25" x14ac:dyDescent="0.3">
      <c r="B38" s="686" t="s">
        <v>357</v>
      </c>
      <c r="C38" s="693" t="s">
        <v>358</v>
      </c>
      <c r="D38" s="694"/>
      <c r="E38" s="689"/>
      <c r="F38" s="690"/>
      <c r="G38" s="691"/>
      <c r="H38" s="302"/>
    </row>
    <row r="39" spans="2:12" s="130" customFormat="1" ht="71.25" customHeight="1" x14ac:dyDescent="0.2">
      <c r="B39" s="3226" t="s">
        <v>110</v>
      </c>
      <c r="C39" s="3227"/>
      <c r="D39" s="3227"/>
      <c r="E39" s="3227"/>
      <c r="F39" s="3227"/>
      <c r="G39" s="3228"/>
      <c r="H39" s="122"/>
    </row>
    <row r="40" spans="2:12" ht="24" x14ac:dyDescent="0.2">
      <c r="B40" s="131" t="s">
        <v>377</v>
      </c>
      <c r="C40" s="206" t="s">
        <v>111</v>
      </c>
      <c r="D40" s="207" t="s">
        <v>112</v>
      </c>
      <c r="E40" s="199">
        <f>7.3*6.3*0.3</f>
        <v>13.796999999999999</v>
      </c>
      <c r="F40" s="269">
        <v>0</v>
      </c>
      <c r="G40" s="270">
        <f t="shared" ref="G40:G50" si="2">E40*F40</f>
        <v>0</v>
      </c>
      <c r="I40" s="132"/>
    </row>
    <row r="41" spans="2:12" ht="36" x14ac:dyDescent="0.2">
      <c r="B41" s="131" t="s">
        <v>378</v>
      </c>
      <c r="C41" s="206" t="s">
        <v>379</v>
      </c>
      <c r="D41" s="207" t="s">
        <v>117</v>
      </c>
      <c r="E41" s="199">
        <f>(6.3*2+4.3*2)*3</f>
        <v>63.599999999999994</v>
      </c>
      <c r="F41" s="269">
        <v>0</v>
      </c>
      <c r="G41" s="270">
        <f t="shared" si="2"/>
        <v>0</v>
      </c>
      <c r="I41" s="132"/>
    </row>
    <row r="42" spans="2:12" ht="24" x14ac:dyDescent="0.2">
      <c r="B42" s="131" t="s">
        <v>380</v>
      </c>
      <c r="C42" s="206" t="s">
        <v>381</v>
      </c>
      <c r="D42" s="209" t="s">
        <v>112</v>
      </c>
      <c r="E42" s="199">
        <f>6.3*4.3*2.2*0.15</f>
        <v>8.9397000000000002</v>
      </c>
      <c r="F42" s="269">
        <v>0</v>
      </c>
      <c r="G42" s="270">
        <f t="shared" si="2"/>
        <v>0</v>
      </c>
      <c r="I42" s="133"/>
      <c r="K42" s="134"/>
      <c r="L42" s="134"/>
    </row>
    <row r="43" spans="2:12" ht="24" customHeight="1" x14ac:dyDescent="0.2">
      <c r="B43" s="131" t="s">
        <v>382</v>
      </c>
      <c r="C43" s="206" t="s">
        <v>383</v>
      </c>
      <c r="D43" s="209" t="s">
        <v>112</v>
      </c>
      <c r="E43" s="199">
        <f>6.3*4.3*2.2*0.85</f>
        <v>50.658300000000004</v>
      </c>
      <c r="F43" s="269">
        <v>0</v>
      </c>
      <c r="G43" s="270">
        <f t="shared" si="2"/>
        <v>0</v>
      </c>
      <c r="I43" s="133"/>
    </row>
    <row r="44" spans="2:12" ht="42" customHeight="1" x14ac:dyDescent="0.2">
      <c r="B44" s="131" t="s">
        <v>384</v>
      </c>
      <c r="C44" s="206" t="s">
        <v>385</v>
      </c>
      <c r="D44" s="209" t="s">
        <v>117</v>
      </c>
      <c r="E44" s="199">
        <f>6.3*4.3</f>
        <v>27.09</v>
      </c>
      <c r="F44" s="269">
        <v>0</v>
      </c>
      <c r="G44" s="270">
        <f t="shared" si="2"/>
        <v>0</v>
      </c>
      <c r="I44" s="132"/>
    </row>
    <row r="45" spans="2:12" ht="24" x14ac:dyDescent="0.2">
      <c r="B45" s="131" t="s">
        <v>386</v>
      </c>
      <c r="C45" s="206" t="s">
        <v>387</v>
      </c>
      <c r="D45" s="209" t="s">
        <v>112</v>
      </c>
      <c r="E45" s="199">
        <f>E40+E42+E43-(5.26*4.26*1.7)</f>
        <v>35.302080000000011</v>
      </c>
      <c r="F45" s="269">
        <v>0</v>
      </c>
      <c r="G45" s="270">
        <f t="shared" si="2"/>
        <v>0</v>
      </c>
      <c r="I45" s="134"/>
    </row>
    <row r="46" spans="2:12" s="130" customFormat="1" ht="25.5" customHeight="1" x14ac:dyDescent="0.2">
      <c r="B46" s="131" t="s">
        <v>388</v>
      </c>
      <c r="C46" s="409" t="s">
        <v>389</v>
      </c>
      <c r="D46" s="210" t="s">
        <v>112</v>
      </c>
      <c r="E46" s="199">
        <f>6.26*5.26*0.5</f>
        <v>16.463799999999999</v>
      </c>
      <c r="F46" s="269">
        <v>0</v>
      </c>
      <c r="G46" s="270">
        <f t="shared" si="2"/>
        <v>0</v>
      </c>
      <c r="H46" s="122"/>
    </row>
    <row r="47" spans="2:12" ht="15.75" customHeight="1" x14ac:dyDescent="0.2">
      <c r="B47" s="131" t="s">
        <v>390</v>
      </c>
      <c r="C47" s="206" t="s">
        <v>133</v>
      </c>
      <c r="D47" s="209" t="s">
        <v>112</v>
      </c>
      <c r="E47" s="199">
        <f>E40</f>
        <v>13.796999999999999</v>
      </c>
      <c r="F47" s="269">
        <v>0</v>
      </c>
      <c r="G47" s="270">
        <f t="shared" si="2"/>
        <v>0</v>
      </c>
      <c r="I47" s="134"/>
    </row>
    <row r="48" spans="2:12" x14ac:dyDescent="0.2">
      <c r="B48" s="131" t="s">
        <v>391</v>
      </c>
      <c r="C48" s="206" t="s">
        <v>134</v>
      </c>
      <c r="D48" s="209" t="s">
        <v>112</v>
      </c>
      <c r="E48" s="199">
        <f>E40+E42+E43-E45</f>
        <v>38.092919999999999</v>
      </c>
      <c r="F48" s="269">
        <v>0</v>
      </c>
      <c r="G48" s="270">
        <f t="shared" si="2"/>
        <v>0</v>
      </c>
    </row>
    <row r="49" spans="2:9" x14ac:dyDescent="0.2">
      <c r="B49" s="131" t="s">
        <v>392</v>
      </c>
      <c r="C49" s="206" t="s">
        <v>135</v>
      </c>
      <c r="D49" s="209" t="s">
        <v>112</v>
      </c>
      <c r="E49" s="199">
        <f>E48</f>
        <v>38.092919999999999</v>
      </c>
      <c r="F49" s="269">
        <v>0</v>
      </c>
      <c r="G49" s="270">
        <f t="shared" si="2"/>
        <v>0</v>
      </c>
    </row>
    <row r="50" spans="2:9" ht="36" x14ac:dyDescent="0.2">
      <c r="B50" s="131" t="s">
        <v>393</v>
      </c>
      <c r="C50" s="206" t="s">
        <v>394</v>
      </c>
      <c r="D50" s="209" t="s">
        <v>117</v>
      </c>
      <c r="E50" s="199">
        <f>2*(8.9+6.9)*1</f>
        <v>31.6</v>
      </c>
      <c r="F50" s="269">
        <v>0</v>
      </c>
      <c r="G50" s="270">
        <f t="shared" si="2"/>
        <v>0</v>
      </c>
    </row>
    <row r="51" spans="2:9" x14ac:dyDescent="0.2">
      <c r="B51" s="3020" t="s">
        <v>357</v>
      </c>
      <c r="C51" s="3021" t="s">
        <v>157</v>
      </c>
      <c r="D51" s="3024"/>
      <c r="E51" s="3022"/>
      <c r="F51" s="3023"/>
      <c r="G51" s="274">
        <f>SUM(G40:G50)</f>
        <v>0</v>
      </c>
    </row>
    <row r="52" spans="2:9" x14ac:dyDescent="0.2">
      <c r="B52" s="129"/>
      <c r="C52" s="197"/>
      <c r="D52" s="198"/>
      <c r="E52" s="199"/>
      <c r="F52" s="200"/>
      <c r="G52" s="201"/>
    </row>
    <row r="53" spans="2:9" ht="24" x14ac:dyDescent="0.2">
      <c r="B53" s="51" t="s">
        <v>368</v>
      </c>
      <c r="C53" s="50" t="s">
        <v>89</v>
      </c>
      <c r="D53" s="357" t="s">
        <v>90</v>
      </c>
      <c r="E53" s="419" t="s">
        <v>91</v>
      </c>
      <c r="F53" s="3125" t="s">
        <v>92</v>
      </c>
      <c r="G53" s="3105" t="s">
        <v>93</v>
      </c>
    </row>
    <row r="54" spans="2:9" x14ac:dyDescent="0.2">
      <c r="B54" s="129"/>
      <c r="C54" s="217"/>
      <c r="D54" s="207"/>
      <c r="E54" s="199"/>
      <c r="F54" s="200"/>
      <c r="G54" s="201"/>
    </row>
    <row r="55" spans="2:9" s="295" customFormat="1" ht="20.25" x14ac:dyDescent="0.3">
      <c r="B55" s="686" t="s">
        <v>359</v>
      </c>
      <c r="C55" s="693" t="s">
        <v>360</v>
      </c>
      <c r="D55" s="694"/>
      <c r="E55" s="689"/>
      <c r="F55" s="690"/>
      <c r="G55" s="691"/>
      <c r="H55" s="302"/>
    </row>
    <row r="56" spans="2:9" s="130" customFormat="1" ht="15.75" customHeight="1" x14ac:dyDescent="0.2">
      <c r="B56" s="3315" t="s">
        <v>397</v>
      </c>
      <c r="C56" s="3316"/>
      <c r="D56" s="3316"/>
      <c r="E56" s="3316"/>
      <c r="F56" s="3316"/>
      <c r="G56" s="3317"/>
      <c r="H56" s="122"/>
    </row>
    <row r="57" spans="2:9" ht="24" x14ac:dyDescent="0.2">
      <c r="B57" s="131" t="s">
        <v>398</v>
      </c>
      <c r="C57" s="206" t="s">
        <v>399</v>
      </c>
      <c r="D57" s="207" t="s">
        <v>112</v>
      </c>
      <c r="E57" s="199">
        <f>4.66*5.66*0.1</f>
        <v>2.6375600000000006</v>
      </c>
      <c r="F57" s="269">
        <v>0</v>
      </c>
      <c r="G57" s="270">
        <f>E57*F57</f>
        <v>0</v>
      </c>
      <c r="I57" s="132"/>
    </row>
    <row r="58" spans="2:9" ht="24" x14ac:dyDescent="0.2">
      <c r="B58" s="131" t="s">
        <v>400</v>
      </c>
      <c r="C58" s="206" t="s">
        <v>401</v>
      </c>
      <c r="D58" s="207" t="s">
        <v>112</v>
      </c>
      <c r="E58" s="199">
        <f>5.26*4.26*0.3</f>
        <v>6.7222799999999996</v>
      </c>
      <c r="F58" s="269">
        <v>0</v>
      </c>
      <c r="G58" s="270">
        <f>E58*F58</f>
        <v>0</v>
      </c>
      <c r="I58" s="695"/>
    </row>
    <row r="59" spans="2:9" ht="24" x14ac:dyDescent="0.2">
      <c r="B59" s="131" t="s">
        <v>402</v>
      </c>
      <c r="C59" s="206" t="s">
        <v>403</v>
      </c>
      <c r="D59" s="207" t="s">
        <v>112</v>
      </c>
      <c r="E59" s="199">
        <f>(5.26+4.26)*2*1.7</f>
        <v>32.367999999999995</v>
      </c>
      <c r="F59" s="269">
        <v>0</v>
      </c>
      <c r="G59" s="270">
        <f>E59*F59</f>
        <v>0</v>
      </c>
      <c r="I59" s="132"/>
    </row>
    <row r="60" spans="2:9" ht="24" customHeight="1" x14ac:dyDescent="0.2">
      <c r="B60" s="131" t="s">
        <v>404</v>
      </c>
      <c r="C60" s="206" t="s">
        <v>407</v>
      </c>
      <c r="D60" s="209" t="s">
        <v>112</v>
      </c>
      <c r="E60" s="199">
        <f>(5.26+4.26)*2*0.3*0.2+(1.8+1.5)*0.3*0.2</f>
        <v>1.3404</v>
      </c>
      <c r="F60" s="269">
        <v>0</v>
      </c>
      <c r="G60" s="270">
        <f>E60*F60</f>
        <v>0</v>
      </c>
      <c r="I60" s="133"/>
    </row>
    <row r="61" spans="2:9" ht="26.25" customHeight="1" x14ac:dyDescent="0.2">
      <c r="B61" s="131" t="s">
        <v>406</v>
      </c>
      <c r="C61" s="519" t="s">
        <v>409</v>
      </c>
      <c r="D61" s="219" t="s">
        <v>112</v>
      </c>
      <c r="E61" s="220">
        <f>5.26*4.26*0.025</f>
        <v>0.56018999999999997</v>
      </c>
      <c r="F61" s="269">
        <v>0</v>
      </c>
      <c r="G61" s="270">
        <f>E61*F61</f>
        <v>0</v>
      </c>
      <c r="I61" s="132"/>
    </row>
    <row r="62" spans="2:9" ht="27.75" customHeight="1" x14ac:dyDescent="0.2">
      <c r="B62" s="131" t="s">
        <v>408</v>
      </c>
      <c r="C62" s="206" t="s">
        <v>411</v>
      </c>
      <c r="D62" s="209"/>
      <c r="E62" s="199"/>
      <c r="F62" s="269"/>
      <c r="G62" s="270"/>
      <c r="I62" s="132"/>
    </row>
    <row r="63" spans="2:9" x14ac:dyDescent="0.2">
      <c r="B63" s="131"/>
      <c r="C63" s="206" t="s">
        <v>412</v>
      </c>
      <c r="D63" s="209" t="s">
        <v>413</v>
      </c>
      <c r="E63" s="199">
        <v>347</v>
      </c>
      <c r="F63" s="269">
        <v>0</v>
      </c>
      <c r="G63" s="270">
        <f>E63*F63</f>
        <v>0</v>
      </c>
      <c r="I63" s="696"/>
    </row>
    <row r="64" spans="2:9" x14ac:dyDescent="0.2">
      <c r="B64" s="131"/>
      <c r="C64" s="206" t="s">
        <v>414</v>
      </c>
      <c r="D64" s="209" t="s">
        <v>413</v>
      </c>
      <c r="E64" s="199">
        <v>265</v>
      </c>
      <c r="F64" s="269">
        <v>0</v>
      </c>
      <c r="G64" s="270">
        <f>E64*F64</f>
        <v>0</v>
      </c>
      <c r="I64" s="697"/>
    </row>
    <row r="65" spans="2:12" x14ac:dyDescent="0.2">
      <c r="B65" s="3020" t="s">
        <v>359</v>
      </c>
      <c r="C65" s="3021" t="s">
        <v>415</v>
      </c>
      <c r="D65" s="3024"/>
      <c r="E65" s="3022"/>
      <c r="F65" s="3023"/>
      <c r="G65" s="274">
        <f>SUM(G57:G64)</f>
        <v>0</v>
      </c>
    </row>
    <row r="66" spans="2:12" x14ac:dyDescent="0.2">
      <c r="B66" s="129"/>
      <c r="C66" s="197"/>
      <c r="D66" s="198"/>
      <c r="E66" s="199"/>
      <c r="F66" s="200"/>
      <c r="G66" s="201"/>
    </row>
    <row r="67" spans="2:12" ht="24" x14ac:dyDescent="0.2">
      <c r="B67" s="51" t="s">
        <v>368</v>
      </c>
      <c r="C67" s="50" t="s">
        <v>89</v>
      </c>
      <c r="D67" s="357" t="s">
        <v>90</v>
      </c>
      <c r="E67" s="419" t="s">
        <v>91</v>
      </c>
      <c r="F67" s="3125" t="s">
        <v>92</v>
      </c>
      <c r="G67" s="3105" t="s">
        <v>93</v>
      </c>
    </row>
    <row r="68" spans="2:12" x14ac:dyDescent="0.2">
      <c r="B68" s="129"/>
      <c r="C68" s="217"/>
      <c r="D68" s="207"/>
      <c r="E68" s="199"/>
      <c r="F68" s="200"/>
      <c r="G68" s="201"/>
    </row>
    <row r="69" spans="2:12" s="295" customFormat="1" ht="20.25" x14ac:dyDescent="0.3">
      <c r="B69" s="686" t="s">
        <v>361</v>
      </c>
      <c r="C69" s="693" t="s">
        <v>362</v>
      </c>
      <c r="D69" s="694"/>
      <c r="E69" s="689"/>
      <c r="F69" s="690"/>
      <c r="G69" s="691"/>
      <c r="H69" s="302"/>
    </row>
    <row r="70" spans="2:12" s="130" customFormat="1" ht="28.5" customHeight="1" x14ac:dyDescent="0.2">
      <c r="B70" s="3315" t="s">
        <v>416</v>
      </c>
      <c r="C70" s="3316"/>
      <c r="D70" s="3316"/>
      <c r="E70" s="3316"/>
      <c r="F70" s="3316"/>
      <c r="G70" s="3317"/>
      <c r="H70" s="122"/>
    </row>
    <row r="71" spans="2:12" ht="36" x14ac:dyDescent="0.2">
      <c r="B71" s="131" t="s">
        <v>417</v>
      </c>
      <c r="C71" s="206" t="s">
        <v>418</v>
      </c>
      <c r="D71" s="207" t="s">
        <v>95</v>
      </c>
      <c r="E71" s="199">
        <f>(4.66+5.66)*2</f>
        <v>20.64</v>
      </c>
      <c r="F71" s="269">
        <v>0</v>
      </c>
      <c r="G71" s="270">
        <f t="shared" ref="G71:G78" si="3">E71*F71</f>
        <v>0</v>
      </c>
      <c r="I71" s="132"/>
    </row>
    <row r="72" spans="2:12" ht="36" x14ac:dyDescent="0.2">
      <c r="B72" s="131" t="s">
        <v>419</v>
      </c>
      <c r="C72" s="206" t="s">
        <v>420</v>
      </c>
      <c r="D72" s="207" t="s">
        <v>95</v>
      </c>
      <c r="E72" s="199">
        <f>(4.26+5.26)*2</f>
        <v>19.04</v>
      </c>
      <c r="F72" s="269">
        <v>0</v>
      </c>
      <c r="G72" s="270">
        <f t="shared" si="3"/>
        <v>0</v>
      </c>
      <c r="I72" s="132"/>
    </row>
    <row r="73" spans="2:12" ht="24" x14ac:dyDescent="0.2">
      <c r="B73" s="131" t="s">
        <v>421</v>
      </c>
      <c r="C73" s="206" t="s">
        <v>422</v>
      </c>
      <c r="D73" s="207" t="s">
        <v>117</v>
      </c>
      <c r="E73" s="199">
        <f>(5.26+5.26+2.2+2.2)*1.7</f>
        <v>25.363999999999997</v>
      </c>
      <c r="F73" s="269">
        <v>0</v>
      </c>
      <c r="G73" s="270">
        <f t="shared" si="3"/>
        <v>0</v>
      </c>
      <c r="I73" s="132"/>
    </row>
    <row r="74" spans="2:12" ht="36" x14ac:dyDescent="0.2">
      <c r="B74" s="131" t="s">
        <v>423</v>
      </c>
      <c r="C74" s="206" t="s">
        <v>429</v>
      </c>
      <c r="D74" s="207" t="s">
        <v>95</v>
      </c>
      <c r="E74" s="199">
        <f>5.26+5.26+3.5+3.5+1.6+1.2</f>
        <v>20.32</v>
      </c>
      <c r="F74" s="269">
        <v>0</v>
      </c>
      <c r="G74" s="270">
        <f t="shared" si="3"/>
        <v>0</v>
      </c>
      <c r="I74" s="132"/>
    </row>
    <row r="75" spans="2:12" ht="36" x14ac:dyDescent="0.2">
      <c r="B75" s="131" t="s">
        <v>425</v>
      </c>
      <c r="C75" s="206" t="s">
        <v>431</v>
      </c>
      <c r="D75" s="207" t="s">
        <v>123</v>
      </c>
      <c r="E75" s="199">
        <v>4</v>
      </c>
      <c r="F75" s="269">
        <v>0</v>
      </c>
      <c r="G75" s="270">
        <f t="shared" si="3"/>
        <v>0</v>
      </c>
      <c r="I75" s="132"/>
    </row>
    <row r="76" spans="2:12" ht="48" x14ac:dyDescent="0.2">
      <c r="B76" s="131" t="s">
        <v>428</v>
      </c>
      <c r="C76" s="206" t="s">
        <v>433</v>
      </c>
      <c r="D76" s="207" t="s">
        <v>117</v>
      </c>
      <c r="E76" s="199">
        <f>6.36*5.36</f>
        <v>34.089600000000004</v>
      </c>
      <c r="F76" s="269">
        <v>0</v>
      </c>
      <c r="G76" s="270">
        <f t="shared" si="3"/>
        <v>0</v>
      </c>
      <c r="I76" s="132"/>
    </row>
    <row r="77" spans="2:12" ht="48" x14ac:dyDescent="0.2">
      <c r="B77" s="131" t="s">
        <v>430</v>
      </c>
      <c r="C77" s="206" t="s">
        <v>435</v>
      </c>
      <c r="D77" s="207" t="s">
        <v>117</v>
      </c>
      <c r="E77" s="199">
        <f>E76</f>
        <v>34.089600000000004</v>
      </c>
      <c r="F77" s="269">
        <v>0</v>
      </c>
      <c r="G77" s="270">
        <f t="shared" si="3"/>
        <v>0</v>
      </c>
      <c r="I77" s="132"/>
    </row>
    <row r="78" spans="2:12" ht="24" x14ac:dyDescent="0.2">
      <c r="B78" s="131" t="s">
        <v>432</v>
      </c>
      <c r="C78" s="206" t="s">
        <v>437</v>
      </c>
      <c r="D78" s="207" t="s">
        <v>117</v>
      </c>
      <c r="E78" s="199">
        <f>E76</f>
        <v>34.089600000000004</v>
      </c>
      <c r="F78" s="269">
        <v>0</v>
      </c>
      <c r="G78" s="270">
        <f t="shared" si="3"/>
        <v>0</v>
      </c>
      <c r="I78" s="132"/>
    </row>
    <row r="79" spans="2:12" x14ac:dyDescent="0.2">
      <c r="B79" s="131" t="s">
        <v>434</v>
      </c>
      <c r="C79" s="206" t="s">
        <v>439</v>
      </c>
      <c r="D79" s="209"/>
      <c r="E79" s="199"/>
      <c r="F79" s="269"/>
      <c r="G79" s="270"/>
      <c r="I79" s="133"/>
      <c r="K79" s="134"/>
      <c r="L79" s="134"/>
    </row>
    <row r="80" spans="2:12" ht="12.75" customHeight="1" x14ac:dyDescent="0.2">
      <c r="B80" s="131"/>
      <c r="C80" s="206" t="s">
        <v>440</v>
      </c>
      <c r="D80" s="209" t="s">
        <v>156</v>
      </c>
      <c r="E80" s="199">
        <v>20</v>
      </c>
      <c r="F80" s="269">
        <v>0</v>
      </c>
      <c r="G80" s="270">
        <f>E80*F80</f>
        <v>0</v>
      </c>
      <c r="I80" s="133"/>
    </row>
    <row r="81" spans="2:9" ht="12.75" customHeight="1" x14ac:dyDescent="0.2">
      <c r="B81" s="131"/>
      <c r="C81" s="519" t="s">
        <v>441</v>
      </c>
      <c r="D81" s="219" t="s">
        <v>156</v>
      </c>
      <c r="E81" s="698">
        <v>20</v>
      </c>
      <c r="F81" s="269">
        <v>0</v>
      </c>
      <c r="G81" s="270">
        <f>E81*F81</f>
        <v>0</v>
      </c>
      <c r="I81" s="132"/>
    </row>
    <row r="82" spans="2:9" x14ac:dyDescent="0.2">
      <c r="B82" s="3020" t="s">
        <v>361</v>
      </c>
      <c r="C82" s="3021" t="s">
        <v>442</v>
      </c>
      <c r="D82" s="3024"/>
      <c r="E82" s="3022"/>
      <c r="F82" s="3023"/>
      <c r="G82" s="274">
        <f>SUM(G71:G81)</f>
        <v>0</v>
      </c>
    </row>
    <row r="83" spans="2:9" x14ac:dyDescent="0.2">
      <c r="B83" s="129"/>
      <c r="C83" s="197"/>
      <c r="D83" s="198"/>
      <c r="E83" s="199"/>
      <c r="F83" s="200"/>
      <c r="G83" s="201"/>
    </row>
    <row r="84" spans="2:9" ht="24" x14ac:dyDescent="0.2">
      <c r="B84" s="51" t="s">
        <v>368</v>
      </c>
      <c r="C84" s="50" t="s">
        <v>89</v>
      </c>
      <c r="D84" s="357" t="s">
        <v>90</v>
      </c>
      <c r="E84" s="419" t="s">
        <v>91</v>
      </c>
      <c r="F84" s="3125" t="s">
        <v>92</v>
      </c>
      <c r="G84" s="3105" t="s">
        <v>93</v>
      </c>
    </row>
    <row r="85" spans="2:9" x14ac:dyDescent="0.2">
      <c r="B85" s="129"/>
      <c r="C85" s="217"/>
      <c r="D85" s="207"/>
      <c r="E85" s="199"/>
      <c r="F85" s="200"/>
      <c r="G85" s="201"/>
    </row>
    <row r="86" spans="2:9" s="295" customFormat="1" ht="20.25" x14ac:dyDescent="0.3">
      <c r="B86" s="686" t="s">
        <v>363</v>
      </c>
      <c r="C86" s="693" t="s">
        <v>364</v>
      </c>
      <c r="D86" s="694"/>
      <c r="E86" s="689"/>
      <c r="F86" s="690"/>
      <c r="G86" s="691"/>
      <c r="H86" s="302"/>
    </row>
    <row r="87" spans="2:9" s="130" customFormat="1" ht="20.25" customHeight="1" x14ac:dyDescent="0.2">
      <c r="B87" s="3315" t="s">
        <v>443</v>
      </c>
      <c r="C87" s="3316"/>
      <c r="D87" s="3316"/>
      <c r="E87" s="3316"/>
      <c r="F87" s="3316"/>
      <c r="G87" s="3317"/>
      <c r="H87" s="122"/>
    </row>
    <row r="88" spans="2:9" ht="72" x14ac:dyDescent="0.2">
      <c r="B88" s="131" t="s">
        <v>444</v>
      </c>
      <c r="C88" s="206" t="s">
        <v>445</v>
      </c>
      <c r="D88" s="207" t="s">
        <v>117</v>
      </c>
      <c r="E88" s="199">
        <f>(4.26+5.26)*2*0.3</f>
        <v>5.7119999999999997</v>
      </c>
      <c r="F88" s="269">
        <v>0</v>
      </c>
      <c r="G88" s="270">
        <f t="shared" ref="G88:G97" si="4">E88*F88</f>
        <v>0</v>
      </c>
      <c r="I88" s="132"/>
    </row>
    <row r="89" spans="2:9" ht="48" x14ac:dyDescent="0.2">
      <c r="B89" s="131" t="s">
        <v>446</v>
      </c>
      <c r="C89" s="206" t="s">
        <v>1435</v>
      </c>
      <c r="D89" s="207" t="s">
        <v>117</v>
      </c>
      <c r="E89" s="199">
        <f>(5.26*2+2.2*2)*2.5</f>
        <v>37.299999999999997</v>
      </c>
      <c r="F89" s="269">
        <v>0</v>
      </c>
      <c r="G89" s="270">
        <f t="shared" si="4"/>
        <v>0</v>
      </c>
      <c r="I89" s="132"/>
    </row>
    <row r="90" spans="2:9" x14ac:dyDescent="0.2">
      <c r="B90" s="131" t="s">
        <v>448</v>
      </c>
      <c r="C90" s="206" t="s">
        <v>449</v>
      </c>
      <c r="D90" s="207" t="s">
        <v>450</v>
      </c>
      <c r="E90" s="199">
        <v>1</v>
      </c>
      <c r="F90" s="269">
        <v>0</v>
      </c>
      <c r="G90" s="270">
        <f t="shared" si="4"/>
        <v>0</v>
      </c>
      <c r="I90" s="132"/>
    </row>
    <row r="91" spans="2:9" ht="36" x14ac:dyDescent="0.2">
      <c r="B91" s="131" t="s">
        <v>451</v>
      </c>
      <c r="C91" s="206" t="s">
        <v>2253</v>
      </c>
      <c r="D91" s="207" t="s">
        <v>117</v>
      </c>
      <c r="E91" s="199">
        <f>5.36*4.36</f>
        <v>23.369600000000002</v>
      </c>
      <c r="F91" s="269">
        <v>0</v>
      </c>
      <c r="G91" s="270">
        <f t="shared" si="4"/>
        <v>0</v>
      </c>
      <c r="I91" s="132"/>
    </row>
    <row r="92" spans="2:9" ht="60" x14ac:dyDescent="0.2">
      <c r="B92" s="131" t="s">
        <v>453</v>
      </c>
      <c r="C92" s="206" t="s">
        <v>454</v>
      </c>
      <c r="D92" s="207" t="s">
        <v>95</v>
      </c>
      <c r="E92" s="199">
        <f>5.26*2+4.26*2</f>
        <v>19.04</v>
      </c>
      <c r="F92" s="269">
        <v>0</v>
      </c>
      <c r="G92" s="270">
        <f t="shared" si="4"/>
        <v>0</v>
      </c>
      <c r="I92" s="132"/>
    </row>
    <row r="93" spans="2:9" ht="36" x14ac:dyDescent="0.2">
      <c r="B93" s="131" t="s">
        <v>455</v>
      </c>
      <c r="C93" s="206" t="s">
        <v>456</v>
      </c>
      <c r="D93" s="207" t="s">
        <v>112</v>
      </c>
      <c r="E93" s="199">
        <f>(5.26+4.26)*2.5*0.3</f>
        <v>7.1399999999999988</v>
      </c>
      <c r="F93" s="269">
        <v>0</v>
      </c>
      <c r="G93" s="270">
        <f t="shared" si="4"/>
        <v>0</v>
      </c>
      <c r="I93" s="132"/>
    </row>
    <row r="94" spans="2:9" ht="36" x14ac:dyDescent="0.2">
      <c r="B94" s="131" t="s">
        <v>457</v>
      </c>
      <c r="C94" s="206" t="s">
        <v>458</v>
      </c>
      <c r="D94" s="207" t="s">
        <v>117</v>
      </c>
      <c r="E94" s="199">
        <f>2*(5.26+4.26)*2.5</f>
        <v>47.599999999999994</v>
      </c>
      <c r="F94" s="269">
        <v>0</v>
      </c>
      <c r="G94" s="270">
        <f t="shared" si="4"/>
        <v>0</v>
      </c>
      <c r="I94" s="132"/>
    </row>
    <row r="95" spans="2:9" ht="84" x14ac:dyDescent="0.2">
      <c r="B95" s="131" t="s">
        <v>459</v>
      </c>
      <c r="C95" s="206" t="s">
        <v>460</v>
      </c>
      <c r="D95" s="207" t="s">
        <v>117</v>
      </c>
      <c r="E95" s="199">
        <f>E94</f>
        <v>47.599999999999994</v>
      </c>
      <c r="F95" s="269">
        <v>0</v>
      </c>
      <c r="G95" s="270">
        <f t="shared" si="4"/>
        <v>0</v>
      </c>
      <c r="I95" s="132"/>
    </row>
    <row r="96" spans="2:9" ht="36" x14ac:dyDescent="0.2">
      <c r="B96" s="131" t="s">
        <v>461</v>
      </c>
      <c r="C96" s="206" t="s">
        <v>462</v>
      </c>
      <c r="D96" s="207" t="s">
        <v>117</v>
      </c>
      <c r="E96" s="199">
        <f>(2*5.26+2*4.26)*0.5</f>
        <v>9.52</v>
      </c>
      <c r="F96" s="269">
        <v>0</v>
      </c>
      <c r="G96" s="270">
        <f t="shared" si="4"/>
        <v>0</v>
      </c>
      <c r="I96" s="132"/>
    </row>
    <row r="97" spans="2:12" x14ac:dyDescent="0.2">
      <c r="B97" s="131" t="s">
        <v>463</v>
      </c>
      <c r="C97" s="206" t="s">
        <v>464</v>
      </c>
      <c r="D97" s="207" t="s">
        <v>117</v>
      </c>
      <c r="E97" s="199">
        <f>5.26*4.26</f>
        <v>22.407599999999999</v>
      </c>
      <c r="F97" s="269">
        <v>0</v>
      </c>
      <c r="G97" s="270">
        <f t="shared" si="4"/>
        <v>0</v>
      </c>
      <c r="I97" s="132"/>
    </row>
    <row r="98" spans="2:12" ht="24" x14ac:dyDescent="0.2">
      <c r="B98" s="131" t="s">
        <v>465</v>
      </c>
      <c r="C98" s="206" t="s">
        <v>466</v>
      </c>
      <c r="D98" s="207"/>
      <c r="E98" s="199"/>
      <c r="F98" s="269"/>
      <c r="G98" s="270"/>
      <c r="I98" s="132"/>
    </row>
    <row r="99" spans="2:12" x14ac:dyDescent="0.2">
      <c r="B99" s="131"/>
      <c r="C99" s="206" t="s">
        <v>467</v>
      </c>
      <c r="D99" s="207" t="s">
        <v>156</v>
      </c>
      <c r="E99" s="199">
        <v>20</v>
      </c>
      <c r="F99" s="269">
        <v>0</v>
      </c>
      <c r="G99" s="270">
        <f>E99*F99</f>
        <v>0</v>
      </c>
      <c r="I99" s="132"/>
    </row>
    <row r="100" spans="2:12" x14ac:dyDescent="0.2">
      <c r="B100" s="131"/>
      <c r="C100" s="206" t="s">
        <v>468</v>
      </c>
      <c r="D100" s="207" t="s">
        <v>156</v>
      </c>
      <c r="E100" s="199">
        <v>40</v>
      </c>
      <c r="F100" s="269">
        <v>0</v>
      </c>
      <c r="G100" s="270">
        <f>E100*F100</f>
        <v>0</v>
      </c>
      <c r="I100" s="132"/>
    </row>
    <row r="101" spans="2:12" x14ac:dyDescent="0.2">
      <c r="B101" s="3020" t="s">
        <v>363</v>
      </c>
      <c r="C101" s="3021" t="s">
        <v>469</v>
      </c>
      <c r="D101" s="3024"/>
      <c r="E101" s="3022"/>
      <c r="F101" s="3023"/>
      <c r="G101" s="274">
        <f>SUM(G88:G100)</f>
        <v>0</v>
      </c>
    </row>
    <row r="102" spans="2:12" x14ac:dyDescent="0.2">
      <c r="B102" s="129"/>
      <c r="C102" s="197"/>
      <c r="D102" s="198"/>
      <c r="E102" s="199"/>
      <c r="F102" s="200"/>
      <c r="G102" s="201"/>
    </row>
    <row r="103" spans="2:12" ht="24" x14ac:dyDescent="0.2">
      <c r="B103" s="51" t="s">
        <v>368</v>
      </c>
      <c r="C103" s="50" t="s">
        <v>89</v>
      </c>
      <c r="D103" s="357" t="s">
        <v>90</v>
      </c>
      <c r="E103" s="419" t="s">
        <v>91</v>
      </c>
      <c r="F103" s="3125" t="s">
        <v>92</v>
      </c>
      <c r="G103" s="3105" t="s">
        <v>93</v>
      </c>
    </row>
    <row r="104" spans="2:12" x14ac:dyDescent="0.2">
      <c r="B104" s="129"/>
      <c r="C104" s="217"/>
      <c r="D104" s="207"/>
      <c r="E104" s="199"/>
      <c r="F104" s="200"/>
      <c r="G104" s="201"/>
    </row>
    <row r="105" spans="2:12" s="295" customFormat="1" ht="20.25" x14ac:dyDescent="0.3">
      <c r="B105" s="686" t="s">
        <v>365</v>
      </c>
      <c r="C105" s="693" t="s">
        <v>366</v>
      </c>
      <c r="D105" s="694"/>
      <c r="E105" s="689"/>
      <c r="F105" s="690"/>
      <c r="G105" s="691"/>
      <c r="H105" s="302"/>
    </row>
    <row r="106" spans="2:12" s="130" customFormat="1" ht="18" customHeight="1" x14ac:dyDescent="0.2">
      <c r="B106" s="3315" t="s">
        <v>470</v>
      </c>
      <c r="C106" s="3316"/>
      <c r="D106" s="3316"/>
      <c r="E106" s="3316"/>
      <c r="F106" s="3316"/>
      <c r="G106" s="3317"/>
      <c r="H106" s="122"/>
    </row>
    <row r="107" spans="2:12" ht="24" x14ac:dyDescent="0.2">
      <c r="B107" s="131" t="s">
        <v>471</v>
      </c>
      <c r="C107" s="206" t="s">
        <v>472</v>
      </c>
      <c r="D107" s="207" t="s">
        <v>117</v>
      </c>
      <c r="E107" s="199">
        <f>13.15+10.65+(5.26*3.9)</f>
        <v>44.314</v>
      </c>
      <c r="F107" s="269">
        <v>0</v>
      </c>
      <c r="G107" s="270">
        <f t="shared" ref="G107:G125" si="5">E107*F107</f>
        <v>0</v>
      </c>
      <c r="I107" s="132"/>
    </row>
    <row r="108" spans="2:12" ht="24" x14ac:dyDescent="0.2">
      <c r="B108" s="131" t="s">
        <v>474</v>
      </c>
      <c r="C108" s="206" t="s">
        <v>475</v>
      </c>
      <c r="D108" s="207" t="s">
        <v>117</v>
      </c>
      <c r="E108" s="199">
        <f>5.36*6.36</f>
        <v>34.089600000000004</v>
      </c>
      <c r="F108" s="269">
        <v>0</v>
      </c>
      <c r="G108" s="270">
        <f t="shared" si="5"/>
        <v>0</v>
      </c>
      <c r="I108" s="132"/>
    </row>
    <row r="109" spans="2:12" ht="58.5" customHeight="1" x14ac:dyDescent="0.2">
      <c r="B109" s="131" t="s">
        <v>476</v>
      </c>
      <c r="C109" s="2932" t="s">
        <v>2542</v>
      </c>
      <c r="D109" s="207" t="s">
        <v>117</v>
      </c>
      <c r="E109" s="199">
        <v>30</v>
      </c>
      <c r="F109" s="269">
        <v>0</v>
      </c>
      <c r="G109" s="270">
        <f t="shared" si="5"/>
        <v>0</v>
      </c>
      <c r="I109" s="132"/>
    </row>
    <row r="110" spans="2:12" ht="63.75" customHeight="1" x14ac:dyDescent="0.2">
      <c r="B110" s="131" t="s">
        <v>477</v>
      </c>
      <c r="C110" s="206" t="s">
        <v>2577</v>
      </c>
      <c r="D110" s="207" t="s">
        <v>149</v>
      </c>
      <c r="E110" s="199">
        <v>1</v>
      </c>
      <c r="F110" s="269">
        <v>0</v>
      </c>
      <c r="G110" s="270">
        <f t="shared" si="5"/>
        <v>0</v>
      </c>
      <c r="I110" s="132"/>
    </row>
    <row r="111" spans="2:12" ht="52.5" customHeight="1" x14ac:dyDescent="0.2">
      <c r="B111" s="131" t="s">
        <v>2561</v>
      </c>
      <c r="C111" s="206" t="s">
        <v>2565</v>
      </c>
      <c r="D111" s="207" t="s">
        <v>123</v>
      </c>
      <c r="E111" s="199">
        <v>1</v>
      </c>
      <c r="F111" s="1445">
        <v>0</v>
      </c>
      <c r="G111" s="1446">
        <f t="shared" si="5"/>
        <v>0</v>
      </c>
      <c r="H111" s="1423"/>
      <c r="I111" s="1474"/>
      <c r="J111" s="1473"/>
      <c r="K111" s="1475"/>
      <c r="L111" s="1475"/>
    </row>
    <row r="112" spans="2:12" ht="60" x14ac:dyDescent="0.2">
      <c r="B112" s="131" t="s">
        <v>478</v>
      </c>
      <c r="C112" s="206" t="s">
        <v>479</v>
      </c>
      <c r="D112" s="207" t="s">
        <v>117</v>
      </c>
      <c r="E112" s="199">
        <f>(2.2*2+5.26*2)*1.7+(5.26*2+4.26*2)*1.8</f>
        <v>59.635999999999996</v>
      </c>
      <c r="F112" s="269">
        <v>0</v>
      </c>
      <c r="G112" s="270">
        <f t="shared" si="5"/>
        <v>0</v>
      </c>
      <c r="I112" s="132"/>
    </row>
    <row r="113" spans="2:9" ht="36" x14ac:dyDescent="0.2">
      <c r="B113" s="131" t="s">
        <v>480</v>
      </c>
      <c r="C113" s="206" t="s">
        <v>481</v>
      </c>
      <c r="D113" s="207" t="s">
        <v>117</v>
      </c>
      <c r="E113" s="199">
        <f>5.26*4.26</f>
        <v>22.407599999999999</v>
      </c>
      <c r="F113" s="269">
        <v>0</v>
      </c>
      <c r="G113" s="270">
        <f t="shared" si="5"/>
        <v>0</v>
      </c>
      <c r="I113" s="132"/>
    </row>
    <row r="114" spans="2:9" ht="40.5" customHeight="1" x14ac:dyDescent="0.2">
      <c r="B114" s="131" t="s">
        <v>482</v>
      </c>
      <c r="C114" s="206" t="s">
        <v>483</v>
      </c>
      <c r="D114" s="207" t="s">
        <v>123</v>
      </c>
      <c r="E114" s="199">
        <v>1</v>
      </c>
      <c r="F114" s="269">
        <v>0</v>
      </c>
      <c r="G114" s="270">
        <f t="shared" si="5"/>
        <v>0</v>
      </c>
      <c r="I114" s="132"/>
    </row>
    <row r="115" spans="2:9" ht="36" x14ac:dyDescent="0.2">
      <c r="B115" s="131" t="s">
        <v>484</v>
      </c>
      <c r="C115" s="206" t="s">
        <v>485</v>
      </c>
      <c r="D115" s="207" t="s">
        <v>95</v>
      </c>
      <c r="E115" s="199">
        <f>6.36*2</f>
        <v>12.72</v>
      </c>
      <c r="F115" s="269">
        <v>0</v>
      </c>
      <c r="G115" s="270">
        <f t="shared" si="5"/>
        <v>0</v>
      </c>
      <c r="I115" s="132"/>
    </row>
    <row r="116" spans="2:9" ht="36" x14ac:dyDescent="0.2">
      <c r="B116" s="131" t="s">
        <v>486</v>
      </c>
      <c r="C116" s="206" t="s">
        <v>487</v>
      </c>
      <c r="D116" s="207" t="s">
        <v>95</v>
      </c>
      <c r="E116" s="199">
        <v>6</v>
      </c>
      <c r="F116" s="269">
        <v>0</v>
      </c>
      <c r="G116" s="270">
        <f t="shared" si="5"/>
        <v>0</v>
      </c>
      <c r="I116" s="132"/>
    </row>
    <row r="117" spans="2:9" ht="24" x14ac:dyDescent="0.2">
      <c r="B117" s="131" t="s">
        <v>488</v>
      </c>
      <c r="C117" s="206" t="s">
        <v>489</v>
      </c>
      <c r="D117" s="207" t="s">
        <v>149</v>
      </c>
      <c r="E117" s="199">
        <v>2</v>
      </c>
      <c r="F117" s="269">
        <v>0</v>
      </c>
      <c r="G117" s="270">
        <f t="shared" si="5"/>
        <v>0</v>
      </c>
      <c r="I117" s="132"/>
    </row>
    <row r="118" spans="2:9" ht="48" x14ac:dyDescent="0.2">
      <c r="B118" s="131" t="s">
        <v>490</v>
      </c>
      <c r="C118" s="206" t="s">
        <v>491</v>
      </c>
      <c r="D118" s="207" t="s">
        <v>95</v>
      </c>
      <c r="E118" s="199">
        <f>6.26*2+3.1*4</f>
        <v>24.92</v>
      </c>
      <c r="F118" s="269">
        <v>0</v>
      </c>
      <c r="G118" s="270">
        <f t="shared" si="5"/>
        <v>0</v>
      </c>
      <c r="I118" s="132"/>
    </row>
    <row r="119" spans="2:9" ht="36" x14ac:dyDescent="0.2">
      <c r="B119" s="131" t="s">
        <v>492</v>
      </c>
      <c r="C119" s="206" t="s">
        <v>493</v>
      </c>
      <c r="D119" s="207" t="s">
        <v>149</v>
      </c>
      <c r="E119" s="199">
        <v>4</v>
      </c>
      <c r="F119" s="269">
        <v>0</v>
      </c>
      <c r="G119" s="270">
        <f t="shared" si="5"/>
        <v>0</v>
      </c>
      <c r="I119" s="132"/>
    </row>
    <row r="120" spans="2:9" ht="36" x14ac:dyDescent="0.2">
      <c r="B120" s="131" t="s">
        <v>494</v>
      </c>
      <c r="C120" s="206" t="s">
        <v>1438</v>
      </c>
      <c r="D120" s="207" t="s">
        <v>95</v>
      </c>
      <c r="E120" s="199">
        <v>6</v>
      </c>
      <c r="F120" s="269">
        <v>0</v>
      </c>
      <c r="G120" s="270">
        <f t="shared" si="5"/>
        <v>0</v>
      </c>
      <c r="I120" s="132"/>
    </row>
    <row r="121" spans="2:9" ht="36" x14ac:dyDescent="0.2">
      <c r="B121" s="131" t="s">
        <v>496</v>
      </c>
      <c r="C121" s="206" t="s">
        <v>2564</v>
      </c>
      <c r="D121" s="207" t="s">
        <v>149</v>
      </c>
      <c r="E121" s="199">
        <v>1</v>
      </c>
      <c r="F121" s="269">
        <v>0</v>
      </c>
      <c r="G121" s="270">
        <f t="shared" si="5"/>
        <v>0</v>
      </c>
      <c r="I121" s="132"/>
    </row>
    <row r="122" spans="2:9" x14ac:dyDescent="0.2">
      <c r="B122" s="131" t="s">
        <v>498</v>
      </c>
      <c r="C122" s="206" t="s">
        <v>499</v>
      </c>
      <c r="D122" s="207" t="s">
        <v>149</v>
      </c>
      <c r="E122" s="199">
        <v>1</v>
      </c>
      <c r="F122" s="269">
        <v>0</v>
      </c>
      <c r="G122" s="270">
        <f t="shared" si="5"/>
        <v>0</v>
      </c>
      <c r="I122" s="132"/>
    </row>
    <row r="123" spans="2:9" ht="24" x14ac:dyDescent="0.2">
      <c r="B123" s="131" t="s">
        <v>500</v>
      </c>
      <c r="C123" s="206" t="s">
        <v>501</v>
      </c>
      <c r="D123" s="207" t="s">
        <v>149</v>
      </c>
      <c r="E123" s="199">
        <v>1</v>
      </c>
      <c r="F123" s="269">
        <v>0</v>
      </c>
      <c r="G123" s="270">
        <f t="shared" si="5"/>
        <v>0</v>
      </c>
      <c r="I123" s="132"/>
    </row>
    <row r="124" spans="2:9" ht="36" x14ac:dyDescent="0.2">
      <c r="B124" s="131" t="s">
        <v>502</v>
      </c>
      <c r="C124" s="206" t="s">
        <v>2575</v>
      </c>
      <c r="D124" s="207" t="s">
        <v>95</v>
      </c>
      <c r="E124" s="199">
        <v>50</v>
      </c>
      <c r="F124" s="269">
        <v>0</v>
      </c>
      <c r="G124" s="270">
        <f t="shared" si="5"/>
        <v>0</v>
      </c>
      <c r="I124" s="132"/>
    </row>
    <row r="125" spans="2:9" ht="36" x14ac:dyDescent="0.2">
      <c r="B125" s="131" t="s">
        <v>504</v>
      </c>
      <c r="C125" s="206" t="s">
        <v>2563</v>
      </c>
      <c r="D125" s="207" t="s">
        <v>149</v>
      </c>
      <c r="E125" s="199">
        <v>1</v>
      </c>
      <c r="F125" s="269">
        <v>0</v>
      </c>
      <c r="G125" s="270">
        <f t="shared" si="5"/>
        <v>0</v>
      </c>
      <c r="I125" s="132"/>
    </row>
    <row r="126" spans="2:9" x14ac:dyDescent="0.2">
      <c r="B126" s="3020" t="s">
        <v>365</v>
      </c>
      <c r="C126" s="3021" t="s">
        <v>506</v>
      </c>
      <c r="D126" s="3024"/>
      <c r="E126" s="3022"/>
      <c r="F126" s="3023"/>
      <c r="G126" s="274">
        <f>SUM(G107:G125)</f>
        <v>0</v>
      </c>
    </row>
    <row r="127" spans="2:9" x14ac:dyDescent="0.2">
      <c r="B127" s="3015"/>
      <c r="C127" s="3016"/>
      <c r="D127" s="3017"/>
      <c r="E127" s="359"/>
      <c r="F127" s="3018"/>
      <c r="G127" s="3019"/>
    </row>
    <row r="128" spans="2:9" s="3013" customFormat="1" ht="15" customHeight="1" x14ac:dyDescent="0.2">
      <c r="B128" s="3025" t="s">
        <v>12</v>
      </c>
      <c r="C128" s="3026" t="s">
        <v>157</v>
      </c>
      <c r="D128" s="3027"/>
      <c r="E128" s="3028"/>
      <c r="F128" s="3029"/>
      <c r="G128" s="3030">
        <f>G126+G101+G82+G65+G51</f>
        <v>0</v>
      </c>
      <c r="H128" s="3014"/>
    </row>
    <row r="129" spans="2:8" ht="15" customHeight="1" x14ac:dyDescent="0.2">
      <c r="B129" s="129"/>
      <c r="C129" s="197"/>
      <c r="D129" s="198"/>
      <c r="E129" s="199"/>
      <c r="F129" s="200"/>
      <c r="G129" s="201"/>
    </row>
    <row r="130" spans="2:8" s="295" customFormat="1" ht="20.25" x14ac:dyDescent="0.3">
      <c r="B130" s="3007" t="s">
        <v>17</v>
      </c>
      <c r="C130" s="3008" t="s">
        <v>87</v>
      </c>
      <c r="D130" s="3009"/>
      <c r="E130" s="3010"/>
      <c r="F130" s="3011"/>
      <c r="G130" s="3012"/>
      <c r="H130" s="302"/>
    </row>
    <row r="131" spans="2:8" ht="24" x14ac:dyDescent="0.2">
      <c r="B131" s="51" t="s">
        <v>368</v>
      </c>
      <c r="C131" s="50" t="s">
        <v>89</v>
      </c>
      <c r="D131" s="50" t="s">
        <v>90</v>
      </c>
      <c r="E131" s="419" t="s">
        <v>91</v>
      </c>
      <c r="F131" s="3125" t="s">
        <v>92</v>
      </c>
      <c r="G131" s="3105" t="s">
        <v>93</v>
      </c>
    </row>
    <row r="132" spans="2:8" x14ac:dyDescent="0.2">
      <c r="B132" s="129"/>
      <c r="C132" s="197"/>
      <c r="D132" s="207"/>
      <c r="E132" s="199"/>
      <c r="F132" s="200"/>
      <c r="G132" s="201"/>
    </row>
    <row r="133" spans="2:8" ht="30" customHeight="1" x14ac:dyDescent="0.2">
      <c r="B133" s="153">
        <v>1</v>
      </c>
      <c r="C133" s="412" t="s">
        <v>507</v>
      </c>
      <c r="D133" s="226"/>
      <c r="E133" s="199"/>
      <c r="F133" s="200"/>
      <c r="G133" s="201"/>
    </row>
    <row r="134" spans="2:8" s="136" customFormat="1" ht="95.25" customHeight="1" x14ac:dyDescent="0.2">
      <c r="B134" s="2731"/>
      <c r="C134" s="2732"/>
      <c r="D134" s="2733"/>
      <c r="E134" s="2734"/>
      <c r="F134" s="2747"/>
      <c r="G134" s="2736"/>
      <c r="H134" s="122"/>
    </row>
    <row r="135" spans="2:8" s="136" customFormat="1" ht="97.5" customHeight="1" x14ac:dyDescent="0.2">
      <c r="B135" s="2737"/>
      <c r="C135" s="2738"/>
      <c r="D135" s="2733"/>
      <c r="E135" s="2734"/>
      <c r="F135" s="2747"/>
      <c r="G135" s="2736"/>
      <c r="H135" s="122"/>
    </row>
    <row r="136" spans="2:8" s="136" customFormat="1" ht="108.75" customHeight="1" x14ac:dyDescent="0.2">
      <c r="B136" s="2737"/>
      <c r="C136" s="2738"/>
      <c r="D136" s="2733"/>
      <c r="E136" s="2734"/>
      <c r="F136" s="2747"/>
      <c r="G136" s="2736"/>
      <c r="H136" s="122"/>
    </row>
    <row r="137" spans="2:8" s="136" customFormat="1" ht="108.75" customHeight="1" x14ac:dyDescent="0.2">
      <c r="B137" s="2737"/>
      <c r="C137" s="2738"/>
      <c r="D137" s="2733"/>
      <c r="E137" s="2734"/>
      <c r="F137" s="2747"/>
      <c r="G137" s="2736"/>
      <c r="H137" s="122"/>
    </row>
    <row r="138" spans="2:8" s="136" customFormat="1" ht="99" customHeight="1" x14ac:dyDescent="0.2">
      <c r="B138" s="2737"/>
      <c r="C138" s="2738"/>
      <c r="D138" s="2733"/>
      <c r="E138" s="2734"/>
      <c r="F138" s="2747"/>
      <c r="G138" s="2736"/>
      <c r="H138" s="122"/>
    </row>
    <row r="139" spans="2:8" s="136" customFormat="1" ht="108.75" customHeight="1" x14ac:dyDescent="0.2">
      <c r="B139" s="2737"/>
      <c r="C139" s="2738"/>
      <c r="D139" s="2733"/>
      <c r="E139" s="2734"/>
      <c r="F139" s="2747"/>
      <c r="G139" s="2736"/>
      <c r="H139" s="122"/>
    </row>
    <row r="140" spans="2:8" s="136" customFormat="1" ht="52.5" customHeight="1" x14ac:dyDescent="0.2">
      <c r="B140" s="2737"/>
      <c r="C140" s="2738"/>
      <c r="D140" s="2733"/>
      <c r="E140" s="2734"/>
      <c r="F140" s="2747"/>
      <c r="G140" s="2736"/>
      <c r="H140" s="122"/>
    </row>
    <row r="141" spans="2:8" s="136" customFormat="1" ht="18" customHeight="1" x14ac:dyDescent="0.2">
      <c r="B141" s="2737"/>
      <c r="C141" s="2732" t="s">
        <v>2464</v>
      </c>
      <c r="D141" s="2739" t="s">
        <v>98</v>
      </c>
      <c r="E141" s="2740">
        <v>1</v>
      </c>
      <c r="F141" s="3126">
        <v>0</v>
      </c>
      <c r="G141" s="2742">
        <f t="shared" ref="G141" si="6">E141*F141</f>
        <v>0</v>
      </c>
      <c r="H141" s="122"/>
    </row>
    <row r="142" spans="2:8" s="147" customFormat="1" ht="132" x14ac:dyDescent="0.25">
      <c r="B142" s="699">
        <v>2</v>
      </c>
      <c r="C142" s="413" t="s">
        <v>508</v>
      </c>
      <c r="D142" s="226" t="s">
        <v>149</v>
      </c>
      <c r="E142" s="199">
        <v>1</v>
      </c>
      <c r="F142" s="269">
        <v>0</v>
      </c>
      <c r="G142" s="270">
        <f>E142*F142</f>
        <v>0</v>
      </c>
      <c r="H142" s="150"/>
    </row>
    <row r="143" spans="2:8" ht="24" x14ac:dyDescent="0.2">
      <c r="B143" s="153">
        <v>2</v>
      </c>
      <c r="C143" s="229" t="s">
        <v>179</v>
      </c>
      <c r="D143" s="198"/>
      <c r="E143" s="199"/>
      <c r="F143" s="200"/>
      <c r="G143" s="201"/>
    </row>
    <row r="144" spans="2:8" s="147" customFormat="1" ht="18" customHeight="1" x14ac:dyDescent="0.25">
      <c r="B144" s="699">
        <v>1</v>
      </c>
      <c r="C144" s="658" t="s">
        <v>2254</v>
      </c>
      <c r="D144" s="207" t="s">
        <v>149</v>
      </c>
      <c r="E144" s="199">
        <v>2</v>
      </c>
      <c r="F144" s="269">
        <v>0</v>
      </c>
      <c r="G144" s="270">
        <f t="shared" ref="G144:G170" si="7">E144*F144</f>
        <v>0</v>
      </c>
      <c r="H144" s="150"/>
    </row>
    <row r="145" spans="2:8" s="147" customFormat="1" ht="18" customHeight="1" x14ac:dyDescent="0.25">
      <c r="B145" s="699">
        <v>2</v>
      </c>
      <c r="C145" s="649" t="s">
        <v>2255</v>
      </c>
      <c r="D145" s="198" t="s">
        <v>149</v>
      </c>
      <c r="E145" s="228">
        <v>2</v>
      </c>
      <c r="F145" s="269">
        <v>0</v>
      </c>
      <c r="G145" s="270">
        <f t="shared" si="7"/>
        <v>0</v>
      </c>
      <c r="H145" s="150"/>
    </row>
    <row r="146" spans="2:8" s="147" customFormat="1" ht="18" customHeight="1" x14ac:dyDescent="0.25">
      <c r="B146" s="699">
        <v>3</v>
      </c>
      <c r="C146" s="197" t="s">
        <v>2256</v>
      </c>
      <c r="D146" s="198" t="s">
        <v>149</v>
      </c>
      <c r="E146" s="228">
        <v>6</v>
      </c>
      <c r="F146" s="269">
        <v>0</v>
      </c>
      <c r="G146" s="270">
        <f t="shared" si="7"/>
        <v>0</v>
      </c>
      <c r="H146" s="150"/>
    </row>
    <row r="147" spans="2:8" s="147" customFormat="1" ht="18" customHeight="1" x14ac:dyDescent="0.25">
      <c r="B147" s="699">
        <v>4</v>
      </c>
      <c r="C147" s="197" t="s">
        <v>2257</v>
      </c>
      <c r="D147" s="198" t="s">
        <v>149</v>
      </c>
      <c r="E147" s="228">
        <v>4</v>
      </c>
      <c r="F147" s="269">
        <v>0</v>
      </c>
      <c r="G147" s="270">
        <f t="shared" si="7"/>
        <v>0</v>
      </c>
      <c r="H147" s="150"/>
    </row>
    <row r="148" spans="2:8" s="147" customFormat="1" ht="18" customHeight="1" x14ac:dyDescent="0.25">
      <c r="B148" s="699">
        <v>5</v>
      </c>
      <c r="C148" s="197" t="s">
        <v>2258</v>
      </c>
      <c r="D148" s="198" t="s">
        <v>149</v>
      </c>
      <c r="E148" s="228">
        <v>4</v>
      </c>
      <c r="F148" s="269">
        <v>0</v>
      </c>
      <c r="G148" s="270">
        <f t="shared" si="7"/>
        <v>0</v>
      </c>
      <c r="H148" s="150"/>
    </row>
    <row r="149" spans="2:8" s="147" customFormat="1" ht="48" x14ac:dyDescent="0.25">
      <c r="B149" s="699">
        <v>6</v>
      </c>
      <c r="C149" s="418" t="s">
        <v>2259</v>
      </c>
      <c r="D149" s="207" t="s">
        <v>149</v>
      </c>
      <c r="E149" s="199">
        <v>1</v>
      </c>
      <c r="F149" s="269">
        <v>0</v>
      </c>
      <c r="G149" s="270">
        <f t="shared" si="7"/>
        <v>0</v>
      </c>
      <c r="H149" s="150"/>
    </row>
    <row r="150" spans="2:8" s="147" customFormat="1" ht="18" customHeight="1" x14ac:dyDescent="0.25">
      <c r="B150" s="699">
        <v>7</v>
      </c>
      <c r="C150" s="197" t="s">
        <v>2260</v>
      </c>
      <c r="D150" s="198" t="s">
        <v>149</v>
      </c>
      <c r="E150" s="228">
        <v>2</v>
      </c>
      <c r="F150" s="269">
        <v>0</v>
      </c>
      <c r="G150" s="270">
        <f t="shared" si="7"/>
        <v>0</v>
      </c>
      <c r="H150" s="150"/>
    </row>
    <row r="151" spans="2:8" s="147" customFormat="1" ht="18" customHeight="1" x14ac:dyDescent="0.25">
      <c r="B151" s="699">
        <v>8</v>
      </c>
      <c r="C151" s="197" t="s">
        <v>2261</v>
      </c>
      <c r="D151" s="198" t="s">
        <v>149</v>
      </c>
      <c r="E151" s="228">
        <v>3</v>
      </c>
      <c r="F151" s="269">
        <v>0</v>
      </c>
      <c r="G151" s="270">
        <f t="shared" si="7"/>
        <v>0</v>
      </c>
      <c r="H151" s="150"/>
    </row>
    <row r="152" spans="2:8" s="147" customFormat="1" ht="18" customHeight="1" x14ac:dyDescent="0.25">
      <c r="B152" s="699">
        <v>9</v>
      </c>
      <c r="C152" s="197" t="s">
        <v>2262</v>
      </c>
      <c r="D152" s="198" t="s">
        <v>149</v>
      </c>
      <c r="E152" s="228">
        <v>5</v>
      </c>
      <c r="F152" s="269">
        <v>0</v>
      </c>
      <c r="G152" s="270">
        <f t="shared" si="7"/>
        <v>0</v>
      </c>
      <c r="H152" s="150"/>
    </row>
    <row r="153" spans="2:8" ht="18" customHeight="1" x14ac:dyDescent="0.2">
      <c r="B153" s="699">
        <v>10</v>
      </c>
      <c r="C153" s="649" t="s">
        <v>2263</v>
      </c>
      <c r="D153" s="198" t="s">
        <v>149</v>
      </c>
      <c r="E153" s="228">
        <v>2</v>
      </c>
      <c r="F153" s="269">
        <v>0</v>
      </c>
      <c r="G153" s="270">
        <f t="shared" si="7"/>
        <v>0</v>
      </c>
    </row>
    <row r="154" spans="2:8" ht="18" customHeight="1" x14ac:dyDescent="0.2">
      <c r="B154" s="699">
        <v>11</v>
      </c>
      <c r="C154" s="197" t="s">
        <v>514</v>
      </c>
      <c r="D154" s="198" t="s">
        <v>149</v>
      </c>
      <c r="E154" s="228">
        <v>6</v>
      </c>
      <c r="F154" s="269">
        <v>0</v>
      </c>
      <c r="G154" s="270">
        <f t="shared" si="7"/>
        <v>0</v>
      </c>
    </row>
    <row r="155" spans="2:8" ht="18" customHeight="1" x14ac:dyDescent="0.2">
      <c r="B155" s="699">
        <v>12</v>
      </c>
      <c r="C155" s="197" t="s">
        <v>286</v>
      </c>
      <c r="D155" s="198" t="s">
        <v>149</v>
      </c>
      <c r="E155" s="228">
        <v>4</v>
      </c>
      <c r="F155" s="269">
        <v>0</v>
      </c>
      <c r="G155" s="270">
        <f t="shared" si="7"/>
        <v>0</v>
      </c>
    </row>
    <row r="156" spans="2:8" ht="18" customHeight="1" x14ac:dyDescent="0.2">
      <c r="B156" s="699">
        <v>13</v>
      </c>
      <c r="C156" s="197" t="s">
        <v>515</v>
      </c>
      <c r="D156" s="198" t="s">
        <v>149</v>
      </c>
      <c r="E156" s="228">
        <v>2</v>
      </c>
      <c r="F156" s="269">
        <v>0</v>
      </c>
      <c r="G156" s="270">
        <f t="shared" si="7"/>
        <v>0</v>
      </c>
    </row>
    <row r="157" spans="2:8" ht="18" customHeight="1" x14ac:dyDescent="0.2">
      <c r="B157" s="699">
        <v>14</v>
      </c>
      <c r="C157" s="217" t="s">
        <v>2264</v>
      </c>
      <c r="D157" s="198" t="s">
        <v>149</v>
      </c>
      <c r="E157" s="228">
        <v>4</v>
      </c>
      <c r="F157" s="269">
        <v>0</v>
      </c>
      <c r="G157" s="270">
        <f t="shared" si="7"/>
        <v>0</v>
      </c>
    </row>
    <row r="158" spans="2:8" ht="18" customHeight="1" x14ac:dyDescent="0.2">
      <c r="B158" s="699">
        <v>15</v>
      </c>
      <c r="C158" s="217" t="s">
        <v>2265</v>
      </c>
      <c r="D158" s="198" t="s">
        <v>149</v>
      </c>
      <c r="E158" s="228">
        <v>4</v>
      </c>
      <c r="F158" s="269">
        <v>0</v>
      </c>
      <c r="G158" s="270">
        <f t="shared" si="7"/>
        <v>0</v>
      </c>
    </row>
    <row r="159" spans="2:8" s="147" customFormat="1" ht="18" customHeight="1" x14ac:dyDescent="0.2">
      <c r="B159" s="699">
        <v>16</v>
      </c>
      <c r="C159" s="217" t="s">
        <v>2266</v>
      </c>
      <c r="D159" s="198" t="s">
        <v>149</v>
      </c>
      <c r="E159" s="228">
        <v>1</v>
      </c>
      <c r="F159" s="269">
        <v>0</v>
      </c>
      <c r="G159" s="270">
        <f t="shared" si="7"/>
        <v>0</v>
      </c>
      <c r="H159" s="150"/>
    </row>
    <row r="160" spans="2:8" ht="18" customHeight="1" x14ac:dyDescent="0.2">
      <c r="B160" s="699">
        <v>17</v>
      </c>
      <c r="C160" s="217" t="s">
        <v>2267</v>
      </c>
      <c r="D160" s="198" t="s">
        <v>149</v>
      </c>
      <c r="E160" s="228">
        <v>1</v>
      </c>
      <c r="F160" s="269">
        <v>0</v>
      </c>
      <c r="G160" s="270">
        <f t="shared" si="7"/>
        <v>0</v>
      </c>
    </row>
    <row r="161" spans="2:11" ht="18" customHeight="1" x14ac:dyDescent="0.2">
      <c r="B161" s="699">
        <v>18</v>
      </c>
      <c r="C161" s="649" t="s">
        <v>2268</v>
      </c>
      <c r="D161" s="198" t="s">
        <v>149</v>
      </c>
      <c r="E161" s="228">
        <v>2</v>
      </c>
      <c r="F161" s="269">
        <v>0</v>
      </c>
      <c r="G161" s="270">
        <f t="shared" si="7"/>
        <v>0</v>
      </c>
    </row>
    <row r="162" spans="2:11" ht="18" customHeight="1" x14ac:dyDescent="0.2">
      <c r="B162" s="699">
        <v>19</v>
      </c>
      <c r="C162" s="649" t="s">
        <v>2269</v>
      </c>
      <c r="D162" s="198" t="s">
        <v>149</v>
      </c>
      <c r="E162" s="228">
        <v>4</v>
      </c>
      <c r="F162" s="269">
        <v>0</v>
      </c>
      <c r="G162" s="270">
        <f t="shared" si="7"/>
        <v>0</v>
      </c>
    </row>
    <row r="163" spans="2:11" ht="18" customHeight="1" x14ac:dyDescent="0.2">
      <c r="B163" s="699">
        <v>20</v>
      </c>
      <c r="C163" s="217" t="s">
        <v>2270</v>
      </c>
      <c r="D163" s="198" t="s">
        <v>149</v>
      </c>
      <c r="E163" s="228">
        <v>2</v>
      </c>
      <c r="F163" s="269">
        <v>0</v>
      </c>
      <c r="G163" s="270">
        <f t="shared" si="7"/>
        <v>0</v>
      </c>
    </row>
    <row r="164" spans="2:11" s="147" customFormat="1" ht="29.25" customHeight="1" x14ac:dyDescent="0.25">
      <c r="B164" s="699">
        <v>21</v>
      </c>
      <c r="C164" s="658" t="s">
        <v>2271</v>
      </c>
      <c r="D164" s="198" t="s">
        <v>149</v>
      </c>
      <c r="E164" s="228">
        <v>2</v>
      </c>
      <c r="F164" s="269">
        <v>0</v>
      </c>
      <c r="G164" s="270">
        <f t="shared" si="7"/>
        <v>0</v>
      </c>
      <c r="H164" s="150"/>
    </row>
    <row r="165" spans="2:11" ht="18" customHeight="1" x14ac:dyDescent="0.2">
      <c r="B165" s="699">
        <v>22</v>
      </c>
      <c r="C165" s="658" t="s">
        <v>2272</v>
      </c>
      <c r="D165" s="198" t="s">
        <v>149</v>
      </c>
      <c r="E165" s="228">
        <v>7</v>
      </c>
      <c r="F165" s="269">
        <v>0</v>
      </c>
      <c r="G165" s="270">
        <f t="shared" si="7"/>
        <v>0</v>
      </c>
    </row>
    <row r="166" spans="2:11" ht="18" customHeight="1" x14ac:dyDescent="0.2">
      <c r="B166" s="699">
        <v>23</v>
      </c>
      <c r="C166" s="197" t="s">
        <v>2243</v>
      </c>
      <c r="D166" s="198" t="s">
        <v>149</v>
      </c>
      <c r="E166" s="228">
        <v>416</v>
      </c>
      <c r="F166" s="269">
        <v>0</v>
      </c>
      <c r="G166" s="270">
        <f t="shared" si="7"/>
        <v>0</v>
      </c>
    </row>
    <row r="167" spans="2:11" ht="18" customHeight="1" x14ac:dyDescent="0.2">
      <c r="B167" s="699">
        <v>24</v>
      </c>
      <c r="C167" s="658" t="s">
        <v>2249</v>
      </c>
      <c r="D167" s="198" t="s">
        <v>149</v>
      </c>
      <c r="E167" s="228">
        <v>35</v>
      </c>
      <c r="F167" s="269">
        <v>0</v>
      </c>
      <c r="G167" s="270">
        <f t="shared" si="7"/>
        <v>0</v>
      </c>
    </row>
    <row r="168" spans="2:11" ht="18" customHeight="1" x14ac:dyDescent="0.2">
      <c r="B168" s="699">
        <v>25</v>
      </c>
      <c r="C168" s="658" t="s">
        <v>2236</v>
      </c>
      <c r="D168" s="198" t="s">
        <v>149</v>
      </c>
      <c r="E168" s="228">
        <v>2</v>
      </c>
      <c r="F168" s="269">
        <v>0</v>
      </c>
      <c r="G168" s="270">
        <f t="shared" si="7"/>
        <v>0</v>
      </c>
    </row>
    <row r="169" spans="2:11" ht="18" customHeight="1" x14ac:dyDescent="0.2">
      <c r="B169" s="699">
        <v>26</v>
      </c>
      <c r="C169" s="658" t="s">
        <v>2273</v>
      </c>
      <c r="D169" s="198" t="s">
        <v>149</v>
      </c>
      <c r="E169" s="228">
        <v>30</v>
      </c>
      <c r="F169" s="269">
        <v>0</v>
      </c>
      <c r="G169" s="270">
        <f t="shared" si="7"/>
        <v>0</v>
      </c>
    </row>
    <row r="170" spans="2:11" s="147" customFormat="1" ht="72" x14ac:dyDescent="0.25">
      <c r="B170" s="699">
        <v>27</v>
      </c>
      <c r="C170" s="418" t="s">
        <v>2274</v>
      </c>
      <c r="D170" s="207" t="s">
        <v>149</v>
      </c>
      <c r="E170" s="199">
        <v>1</v>
      </c>
      <c r="F170" s="269">
        <v>0</v>
      </c>
      <c r="G170" s="700">
        <f t="shared" si="7"/>
        <v>0</v>
      </c>
      <c r="H170" s="701"/>
    </row>
    <row r="171" spans="2:11" s="147" customFormat="1" ht="16.5" customHeight="1" x14ac:dyDescent="0.25">
      <c r="B171" s="702" t="s">
        <v>17</v>
      </c>
      <c r="C171" s="703" t="s">
        <v>302</v>
      </c>
      <c r="D171" s="704"/>
      <c r="E171" s="705"/>
      <c r="F171" s="706"/>
      <c r="G171" s="707">
        <f>SUM(G133:G170)</f>
        <v>0</v>
      </c>
      <c r="H171" s="150"/>
      <c r="I171" s="708"/>
    </row>
    <row r="173" spans="2:11" s="709" customFormat="1" ht="23.25" customHeight="1" x14ac:dyDescent="0.25">
      <c r="B173" s="3084" t="s">
        <v>18</v>
      </c>
      <c r="C173" s="3085" t="s">
        <v>2275</v>
      </c>
      <c r="D173" s="3086"/>
      <c r="E173" s="3087"/>
      <c r="F173" s="3088"/>
      <c r="G173" s="479"/>
    </row>
    <row r="174" spans="2:11" s="709" customFormat="1" ht="14.25" customHeight="1" x14ac:dyDescent="0.25">
      <c r="B174" s="3318" t="s">
        <v>539</v>
      </c>
      <c r="C174" s="3319"/>
      <c r="D174" s="3319"/>
      <c r="E174" s="3319"/>
      <c r="F174" s="3319"/>
      <c r="G174" s="3320"/>
    </row>
    <row r="175" spans="2:11" s="709" customFormat="1" ht="28.5" customHeight="1" x14ac:dyDescent="0.25">
      <c r="B175" s="3321" t="s">
        <v>540</v>
      </c>
      <c r="C175" s="3322"/>
      <c r="D175" s="3322"/>
      <c r="E175" s="3322"/>
      <c r="F175" s="3322"/>
      <c r="G175" s="3323"/>
      <c r="K175" s="710"/>
    </row>
    <row r="176" spans="2:11" s="709" customFormat="1" ht="17.25" customHeight="1" x14ac:dyDescent="0.3">
      <c r="B176" s="3321" t="s">
        <v>541</v>
      </c>
      <c r="C176" s="3322"/>
      <c r="D176" s="3322"/>
      <c r="E176" s="3322"/>
      <c r="F176" s="3322"/>
      <c r="G176" s="3323"/>
      <c r="K176" s="711"/>
    </row>
    <row r="177" spans="2:7" s="709" customFormat="1" ht="29.25" customHeight="1" x14ac:dyDescent="0.25">
      <c r="B177" s="3321" t="s">
        <v>542</v>
      </c>
      <c r="C177" s="3322"/>
      <c r="D177" s="3322"/>
      <c r="E177" s="3322"/>
      <c r="F177" s="3322"/>
      <c r="G177" s="3323"/>
    </row>
    <row r="178" spans="2:7" s="709" customFormat="1" ht="27" customHeight="1" x14ac:dyDescent="0.25">
      <c r="B178" s="3321" t="s">
        <v>543</v>
      </c>
      <c r="C178" s="3322"/>
      <c r="D178" s="3322"/>
      <c r="E178" s="3322"/>
      <c r="F178" s="3322"/>
      <c r="G178" s="3323"/>
    </row>
    <row r="179" spans="2:7" s="709" customFormat="1" ht="42.75" customHeight="1" x14ac:dyDescent="0.25">
      <c r="B179" s="3324" t="s">
        <v>544</v>
      </c>
      <c r="C179" s="3325"/>
      <c r="D179" s="3325"/>
      <c r="E179" s="3325"/>
      <c r="F179" s="3325"/>
      <c r="G179" s="3326"/>
    </row>
    <row r="180" spans="2:7" s="709" customFormat="1" ht="16.5" customHeight="1" x14ac:dyDescent="0.25">
      <c r="B180" s="3312" t="s">
        <v>545</v>
      </c>
      <c r="C180" s="3313"/>
      <c r="D180" s="3313"/>
      <c r="E180" s="3313"/>
      <c r="F180" s="3313"/>
      <c r="G180" s="3314"/>
    </row>
    <row r="181" spans="2:7" s="563" customFormat="1" ht="12" x14ac:dyDescent="0.2">
      <c r="B181" s="520"/>
      <c r="C181" s="521"/>
      <c r="D181" s="522"/>
      <c r="E181" s="523"/>
      <c r="F181" s="3127"/>
      <c r="G181" s="3106"/>
    </row>
    <row r="182" spans="2:7" ht="24" x14ac:dyDescent="0.2">
      <c r="B182" s="51" t="s">
        <v>368</v>
      </c>
      <c r="C182" s="50" t="s">
        <v>89</v>
      </c>
      <c r="D182" s="50" t="s">
        <v>90</v>
      </c>
      <c r="E182" s="419" t="s">
        <v>91</v>
      </c>
      <c r="F182" s="3125" t="s">
        <v>92</v>
      </c>
      <c r="G182" s="3105" t="s">
        <v>93</v>
      </c>
    </row>
    <row r="183" spans="2:7" s="563" customFormat="1" ht="12" x14ac:dyDescent="0.2">
      <c r="B183" s="2129"/>
      <c r="C183" s="2270"/>
      <c r="D183" s="2262"/>
      <c r="E183" s="2263"/>
      <c r="F183" s="3062"/>
      <c r="G183" s="3107"/>
    </row>
    <row r="184" spans="2:7" s="563" customFormat="1" ht="12" x14ac:dyDescent="0.2">
      <c r="B184" s="3136" t="s">
        <v>167</v>
      </c>
      <c r="C184" s="3137" t="s">
        <v>550</v>
      </c>
      <c r="D184" s="3138" t="s">
        <v>551</v>
      </c>
      <c r="E184" s="3139" t="s">
        <v>551</v>
      </c>
      <c r="F184" s="3112"/>
      <c r="G184" s="3112"/>
    </row>
    <row r="185" spans="2:7" s="563" customFormat="1" ht="12" x14ac:dyDescent="0.2">
      <c r="B185" s="2261"/>
      <c r="C185" s="3037"/>
      <c r="D185" s="3038"/>
      <c r="E185" s="3039"/>
      <c r="F185" s="3062"/>
      <c r="G185" s="3062"/>
    </row>
    <row r="186" spans="2:7" s="563" customFormat="1" ht="84" x14ac:dyDescent="0.2">
      <c r="B186" s="2261" t="s">
        <v>8</v>
      </c>
      <c r="C186" s="3040" t="s">
        <v>2276</v>
      </c>
      <c r="D186" s="2262" t="s">
        <v>553</v>
      </c>
      <c r="E186" s="2263">
        <v>1</v>
      </c>
      <c r="F186" s="269">
        <v>0</v>
      </c>
      <c r="G186" s="270">
        <f t="shared" ref="G186" si="8">E186*F186</f>
        <v>0</v>
      </c>
    </row>
    <row r="187" spans="2:7" s="563" customFormat="1" ht="12" x14ac:dyDescent="0.2">
      <c r="B187" s="2261"/>
      <c r="C187" s="3037"/>
      <c r="D187" s="2262"/>
      <c r="E187" s="2263"/>
      <c r="F187" s="3128"/>
      <c r="G187" s="3107"/>
    </row>
    <row r="188" spans="2:7" s="563" customFormat="1" ht="48" x14ac:dyDescent="0.2">
      <c r="B188" s="2261" t="s">
        <v>15</v>
      </c>
      <c r="C188" s="3040" t="s">
        <v>554</v>
      </c>
      <c r="D188" s="2262" t="s">
        <v>123</v>
      </c>
      <c r="E188" s="2263">
        <v>1</v>
      </c>
      <c r="F188" s="269">
        <v>0</v>
      </c>
      <c r="G188" s="270">
        <f t="shared" ref="G188" si="9">E188*F188</f>
        <v>0</v>
      </c>
    </row>
    <row r="189" spans="2:7" s="563" customFormat="1" ht="12" x14ac:dyDescent="0.2">
      <c r="B189" s="2261"/>
      <c r="C189" s="3037"/>
      <c r="D189" s="2262"/>
      <c r="E189" s="2263"/>
      <c r="F189" s="3128"/>
      <c r="G189" s="3107"/>
    </row>
    <row r="190" spans="2:7" s="714" customFormat="1" ht="24" x14ac:dyDescent="0.2">
      <c r="B190" s="3041" t="s">
        <v>20</v>
      </c>
      <c r="C190" s="3042" t="s">
        <v>555</v>
      </c>
      <c r="D190" s="2262" t="s">
        <v>553</v>
      </c>
      <c r="E190" s="3043">
        <v>1</v>
      </c>
      <c r="F190" s="269">
        <v>0</v>
      </c>
      <c r="G190" s="270">
        <f t="shared" ref="G190" si="10">E190*F190</f>
        <v>0</v>
      </c>
    </row>
    <row r="191" spans="2:7" s="563" customFormat="1" ht="12" x14ac:dyDescent="0.2">
      <c r="B191" s="2261"/>
      <c r="C191" s="3037"/>
      <c r="D191" s="2262"/>
      <c r="E191" s="2263"/>
      <c r="F191" s="3128"/>
      <c r="G191" s="3107"/>
    </row>
    <row r="192" spans="2:7" s="563" customFormat="1" ht="12" x14ac:dyDescent="0.2">
      <c r="B192" s="2261"/>
      <c r="C192" s="3037"/>
      <c r="D192" s="2262"/>
      <c r="E192" s="2263"/>
      <c r="F192" s="3128"/>
      <c r="G192" s="3107"/>
    </row>
    <row r="193" spans="2:8" s="563" customFormat="1" ht="24" x14ac:dyDescent="0.2">
      <c r="B193" s="2261" t="s">
        <v>24</v>
      </c>
      <c r="C193" s="3037" t="s">
        <v>556</v>
      </c>
      <c r="D193" s="2262" t="s">
        <v>123</v>
      </c>
      <c r="E193" s="2263">
        <v>2</v>
      </c>
      <c r="F193" s="269">
        <v>0</v>
      </c>
      <c r="G193" s="270">
        <f t="shared" ref="G193" si="11">E193*F193</f>
        <v>0</v>
      </c>
    </row>
    <row r="194" spans="2:8" s="563" customFormat="1" ht="12" x14ac:dyDescent="0.2">
      <c r="B194" s="2261"/>
      <c r="C194" s="3037"/>
      <c r="D194" s="2262"/>
      <c r="E194" s="2263"/>
      <c r="F194" s="3128"/>
      <c r="G194" s="3107"/>
    </row>
    <row r="195" spans="2:8" s="563" customFormat="1" ht="24" x14ac:dyDescent="0.2">
      <c r="B195" s="2261" t="s">
        <v>29</v>
      </c>
      <c r="C195" s="3037" t="s">
        <v>557</v>
      </c>
      <c r="D195" s="2262" t="s">
        <v>123</v>
      </c>
      <c r="E195" s="2263">
        <v>1</v>
      </c>
      <c r="F195" s="269">
        <v>0</v>
      </c>
      <c r="G195" s="270">
        <f t="shared" ref="G195" si="12">E195*F195</f>
        <v>0</v>
      </c>
    </row>
    <row r="196" spans="2:8" s="563" customFormat="1" ht="12" customHeight="1" x14ac:dyDescent="0.2">
      <c r="B196" s="2261"/>
      <c r="C196" s="3037"/>
      <c r="D196" s="2262"/>
      <c r="E196" s="2263"/>
      <c r="F196" s="3128"/>
      <c r="G196" s="3107"/>
    </row>
    <row r="197" spans="2:8" s="563" customFormat="1" ht="12" x14ac:dyDescent="0.2">
      <c r="B197" s="2261" t="s">
        <v>33</v>
      </c>
      <c r="C197" s="3037" t="s">
        <v>558</v>
      </c>
      <c r="D197" s="2262" t="s">
        <v>123</v>
      </c>
      <c r="E197" s="2263">
        <v>1</v>
      </c>
      <c r="F197" s="269">
        <v>0</v>
      </c>
      <c r="G197" s="270">
        <f t="shared" ref="G197" si="13">E197*F197</f>
        <v>0</v>
      </c>
    </row>
    <row r="198" spans="2:8" s="563" customFormat="1" ht="12" x14ac:dyDescent="0.2">
      <c r="B198" s="2261"/>
      <c r="C198" s="3037"/>
      <c r="D198" s="2262"/>
      <c r="E198" s="2263"/>
      <c r="F198" s="3128"/>
      <c r="G198" s="3107"/>
    </row>
    <row r="199" spans="2:8" s="563" customFormat="1" ht="58.5" customHeight="1" x14ac:dyDescent="0.2">
      <c r="B199" s="2261" t="s">
        <v>38</v>
      </c>
      <c r="C199" s="3037" t="s">
        <v>559</v>
      </c>
      <c r="D199" s="2262" t="s">
        <v>560</v>
      </c>
      <c r="E199" s="2263">
        <v>1</v>
      </c>
      <c r="F199" s="269">
        <v>0</v>
      </c>
      <c r="G199" s="270">
        <f t="shared" ref="G199" si="14">E199*F199</f>
        <v>0</v>
      </c>
    </row>
    <row r="200" spans="2:8" s="563" customFormat="1" ht="12" x14ac:dyDescent="0.2">
      <c r="B200" s="2261"/>
      <c r="C200" s="3037"/>
      <c r="D200" s="2262"/>
      <c r="E200" s="2263"/>
      <c r="F200" s="3128"/>
      <c r="G200" s="3107"/>
    </row>
    <row r="201" spans="2:8" s="563" customFormat="1" ht="36" x14ac:dyDescent="0.2">
      <c r="B201" s="2261" t="s">
        <v>43</v>
      </c>
      <c r="C201" s="3037" t="s">
        <v>561</v>
      </c>
      <c r="D201" s="2262" t="s">
        <v>123</v>
      </c>
      <c r="E201" s="2263">
        <v>1</v>
      </c>
      <c r="F201" s="269">
        <v>0</v>
      </c>
      <c r="G201" s="270">
        <f t="shared" ref="G201" si="15">E201*F201</f>
        <v>0</v>
      </c>
    </row>
    <row r="202" spans="2:8" s="563" customFormat="1" ht="12" x14ac:dyDescent="0.2">
      <c r="B202" s="2261"/>
      <c r="C202" s="3037"/>
      <c r="D202" s="2262"/>
      <c r="E202" s="2263"/>
      <c r="F202" s="3128"/>
      <c r="G202" s="3107"/>
    </row>
    <row r="203" spans="2:8" s="563" customFormat="1" ht="24" x14ac:dyDescent="0.2">
      <c r="B203" s="2261" t="s">
        <v>562</v>
      </c>
      <c r="C203" s="3037" t="s">
        <v>563</v>
      </c>
      <c r="D203" s="2262" t="s">
        <v>123</v>
      </c>
      <c r="E203" s="2263">
        <v>1</v>
      </c>
      <c r="F203" s="269">
        <v>0</v>
      </c>
      <c r="G203" s="270">
        <f t="shared" ref="G203" si="16">E203*F203</f>
        <v>0</v>
      </c>
    </row>
    <row r="204" spans="2:8" s="563" customFormat="1" ht="12" x14ac:dyDescent="0.2">
      <c r="B204" s="2261"/>
      <c r="C204" s="3037"/>
      <c r="D204" s="2262"/>
      <c r="E204" s="2263"/>
      <c r="F204" s="3128"/>
      <c r="G204" s="3107"/>
    </row>
    <row r="205" spans="2:8" s="563" customFormat="1" ht="36" x14ac:dyDescent="0.2">
      <c r="B205" s="2261" t="s">
        <v>564</v>
      </c>
      <c r="C205" s="3037" t="s">
        <v>565</v>
      </c>
      <c r="D205" s="2262" t="s">
        <v>149</v>
      </c>
      <c r="E205" s="2263">
        <v>1</v>
      </c>
      <c r="F205" s="269">
        <v>0</v>
      </c>
      <c r="G205" s="270">
        <f t="shared" ref="G205" si="17">E205*F205</f>
        <v>0</v>
      </c>
    </row>
    <row r="206" spans="2:8" s="563" customFormat="1" ht="12" x14ac:dyDescent="0.2">
      <c r="B206" s="2261"/>
      <c r="C206" s="3037"/>
      <c r="D206" s="2262"/>
      <c r="E206" s="2263"/>
      <c r="F206" s="3128"/>
      <c r="G206" s="3107"/>
    </row>
    <row r="207" spans="2:8" s="550" customFormat="1" ht="168" x14ac:dyDescent="0.25">
      <c r="B207" s="3044" t="s">
        <v>566</v>
      </c>
      <c r="C207" s="3045" t="s">
        <v>567</v>
      </c>
      <c r="D207" s="2262" t="s">
        <v>123</v>
      </c>
      <c r="E207" s="2263">
        <v>1</v>
      </c>
      <c r="F207" s="269">
        <v>0</v>
      </c>
      <c r="G207" s="270">
        <f t="shared" ref="G207" si="18">E207*F207</f>
        <v>0</v>
      </c>
      <c r="H207" s="715"/>
    </row>
    <row r="208" spans="2:8" s="716" customFormat="1" ht="12" x14ac:dyDescent="0.25">
      <c r="B208" s="3046"/>
      <c r="C208" s="3047"/>
      <c r="D208" s="3048"/>
      <c r="E208" s="3043"/>
      <c r="F208" s="3129"/>
      <c r="G208" s="3108"/>
    </row>
    <row r="209" spans="2:7" s="714" customFormat="1" ht="24" x14ac:dyDescent="0.2">
      <c r="B209" s="3041" t="s">
        <v>568</v>
      </c>
      <c r="C209" s="3049" t="s">
        <v>569</v>
      </c>
      <c r="D209" s="3048" t="s">
        <v>123</v>
      </c>
      <c r="E209" s="3043">
        <v>7</v>
      </c>
      <c r="F209" s="269">
        <v>0</v>
      </c>
      <c r="G209" s="270">
        <f t="shared" ref="G209" si="19">E209*F209</f>
        <v>0</v>
      </c>
    </row>
    <row r="210" spans="2:7" s="714" customFormat="1" ht="12" x14ac:dyDescent="0.2">
      <c r="B210" s="3041"/>
      <c r="C210" s="3049"/>
      <c r="D210" s="3048"/>
      <c r="E210" s="3043"/>
      <c r="F210" s="3128"/>
      <c r="G210" s="3108"/>
    </row>
    <row r="211" spans="2:7" s="563" customFormat="1" ht="12" x14ac:dyDescent="0.2">
      <c r="B211" s="2261"/>
      <c r="C211" s="3037"/>
      <c r="D211" s="2262"/>
      <c r="E211" s="2263"/>
      <c r="F211" s="3128"/>
      <c r="G211" s="3107"/>
    </row>
    <row r="212" spans="2:7" s="563" customFormat="1" ht="12" x14ac:dyDescent="0.2">
      <c r="B212" s="2261"/>
      <c r="C212" s="3037"/>
      <c r="D212" s="2262"/>
      <c r="E212" s="2263"/>
      <c r="F212" s="3128"/>
      <c r="G212" s="3107"/>
    </row>
    <row r="213" spans="2:7" s="563" customFormat="1" ht="24" x14ac:dyDescent="0.2">
      <c r="B213" s="2261" t="s">
        <v>570</v>
      </c>
      <c r="C213" s="3037" t="s">
        <v>1340</v>
      </c>
      <c r="D213" s="2262" t="s">
        <v>123</v>
      </c>
      <c r="E213" s="2263">
        <v>1</v>
      </c>
      <c r="F213" s="269">
        <v>0</v>
      </c>
      <c r="G213" s="270">
        <f t="shared" ref="G213" si="20">E213*F213</f>
        <v>0</v>
      </c>
    </row>
    <row r="214" spans="2:7" s="563" customFormat="1" ht="12" x14ac:dyDescent="0.2">
      <c r="B214" s="2261"/>
      <c r="C214" s="3037"/>
      <c r="D214" s="2262"/>
      <c r="E214" s="2263"/>
      <c r="F214" s="3128"/>
      <c r="G214" s="3107"/>
    </row>
    <row r="215" spans="2:7" s="563" customFormat="1" ht="24" x14ac:dyDescent="0.2">
      <c r="B215" s="2261" t="s">
        <v>572</v>
      </c>
      <c r="C215" s="3037" t="s">
        <v>573</v>
      </c>
      <c r="D215" s="2262" t="s">
        <v>123</v>
      </c>
      <c r="E215" s="2263">
        <v>4</v>
      </c>
      <c r="F215" s="269">
        <v>0</v>
      </c>
      <c r="G215" s="270">
        <f t="shared" ref="G215" si="21">E215*F215</f>
        <v>0</v>
      </c>
    </row>
    <row r="216" spans="2:7" s="563" customFormat="1" ht="12" x14ac:dyDescent="0.2">
      <c r="B216" s="2261"/>
      <c r="C216" s="3037"/>
      <c r="D216" s="2262"/>
      <c r="E216" s="2263"/>
      <c r="F216" s="3128"/>
      <c r="G216" s="3107"/>
    </row>
    <row r="217" spans="2:7" s="563" customFormat="1" ht="24" x14ac:dyDescent="0.2">
      <c r="B217" s="2261" t="s">
        <v>574</v>
      </c>
      <c r="C217" s="3037" t="s">
        <v>575</v>
      </c>
      <c r="D217" s="2262" t="s">
        <v>123</v>
      </c>
      <c r="E217" s="2263">
        <v>2</v>
      </c>
      <c r="F217" s="269">
        <v>0</v>
      </c>
      <c r="G217" s="270">
        <f t="shared" ref="G217" si="22">E217*F217</f>
        <v>0</v>
      </c>
    </row>
    <row r="218" spans="2:7" s="563" customFormat="1" ht="12" x14ac:dyDescent="0.2">
      <c r="B218" s="2261"/>
      <c r="C218" s="3037"/>
      <c r="D218" s="2262"/>
      <c r="E218" s="2263"/>
      <c r="F218" s="3128"/>
      <c r="G218" s="3107"/>
    </row>
    <row r="219" spans="2:7" s="563" customFormat="1" ht="24" x14ac:dyDescent="0.2">
      <c r="B219" s="2261" t="s">
        <v>576</v>
      </c>
      <c r="C219" s="3037" t="s">
        <v>577</v>
      </c>
      <c r="D219" s="2262" t="s">
        <v>123</v>
      </c>
      <c r="E219" s="2263">
        <v>1</v>
      </c>
      <c r="F219" s="269">
        <v>0</v>
      </c>
      <c r="G219" s="270">
        <f t="shared" ref="G219" si="23">E219*F219</f>
        <v>0</v>
      </c>
    </row>
    <row r="220" spans="2:7" s="563" customFormat="1" ht="12" x14ac:dyDescent="0.2">
      <c r="B220" s="2261"/>
      <c r="C220" s="3037"/>
      <c r="D220" s="2262"/>
      <c r="E220" s="2263"/>
      <c r="F220" s="3128"/>
      <c r="G220" s="3107"/>
    </row>
    <row r="221" spans="2:7" s="563" customFormat="1" ht="24" x14ac:dyDescent="0.2">
      <c r="B221" s="2261" t="s">
        <v>578</v>
      </c>
      <c r="C221" s="3037" t="s">
        <v>579</v>
      </c>
      <c r="D221" s="2262" t="s">
        <v>123</v>
      </c>
      <c r="E221" s="2263">
        <v>1</v>
      </c>
      <c r="F221" s="269">
        <v>0</v>
      </c>
      <c r="G221" s="270">
        <f t="shared" ref="G221" si="24">E221*F221</f>
        <v>0</v>
      </c>
    </row>
    <row r="222" spans="2:7" s="563" customFormat="1" ht="12" x14ac:dyDescent="0.2">
      <c r="B222" s="2261"/>
      <c r="C222" s="3037"/>
      <c r="D222" s="2262"/>
      <c r="E222" s="2263"/>
      <c r="F222" s="3128"/>
      <c r="G222" s="3107"/>
    </row>
    <row r="223" spans="2:7" s="563" customFormat="1" ht="24" x14ac:dyDescent="0.2">
      <c r="B223" s="2261" t="s">
        <v>580</v>
      </c>
      <c r="C223" s="3037" t="s">
        <v>581</v>
      </c>
      <c r="D223" s="2262" t="s">
        <v>123</v>
      </c>
      <c r="E223" s="2263">
        <v>2</v>
      </c>
      <c r="F223" s="269">
        <v>0</v>
      </c>
      <c r="G223" s="270">
        <f t="shared" ref="G223" si="25">E223*F223</f>
        <v>0</v>
      </c>
    </row>
    <row r="224" spans="2:7" s="563" customFormat="1" ht="12" x14ac:dyDescent="0.2">
      <c r="B224" s="2261"/>
      <c r="C224" s="3037"/>
      <c r="D224" s="2262"/>
      <c r="E224" s="2263"/>
      <c r="F224" s="3128"/>
      <c r="G224" s="3107"/>
    </row>
    <row r="225" spans="2:7" s="563" customFormat="1" ht="24" x14ac:dyDescent="0.2">
      <c r="B225" s="2261" t="s">
        <v>582</v>
      </c>
      <c r="C225" s="3037" t="s">
        <v>583</v>
      </c>
      <c r="D225" s="2262" t="s">
        <v>123</v>
      </c>
      <c r="E225" s="2263">
        <v>1</v>
      </c>
      <c r="F225" s="269">
        <v>0</v>
      </c>
      <c r="G225" s="270">
        <f t="shared" ref="G225" si="26">E225*F225</f>
        <v>0</v>
      </c>
    </row>
    <row r="226" spans="2:7" s="563" customFormat="1" ht="12" x14ac:dyDescent="0.2">
      <c r="B226" s="2261"/>
      <c r="C226" s="3037"/>
      <c r="D226" s="2262"/>
      <c r="E226" s="2263"/>
      <c r="F226" s="3128"/>
      <c r="G226" s="3107"/>
    </row>
    <row r="227" spans="2:7" s="563" customFormat="1" ht="24" x14ac:dyDescent="0.2">
      <c r="B227" s="2261" t="s">
        <v>584</v>
      </c>
      <c r="C227" s="3037" t="s">
        <v>585</v>
      </c>
      <c r="D227" s="2262" t="s">
        <v>123</v>
      </c>
      <c r="E227" s="2263">
        <v>1</v>
      </c>
      <c r="F227" s="269">
        <v>0</v>
      </c>
      <c r="G227" s="270">
        <f t="shared" ref="G227" si="27">E227*F227</f>
        <v>0</v>
      </c>
    </row>
    <row r="228" spans="2:7" s="563" customFormat="1" ht="12" x14ac:dyDescent="0.2">
      <c r="B228" s="2261"/>
      <c r="C228" s="3037"/>
      <c r="D228" s="2262"/>
      <c r="E228" s="2263"/>
      <c r="F228" s="3128"/>
      <c r="G228" s="3107"/>
    </row>
    <row r="229" spans="2:7" s="563" customFormat="1" ht="24" x14ac:dyDescent="0.2">
      <c r="B229" s="2261" t="s">
        <v>586</v>
      </c>
      <c r="C229" s="3037" t="s">
        <v>587</v>
      </c>
      <c r="D229" s="2262" t="s">
        <v>123</v>
      </c>
      <c r="E229" s="2263">
        <v>6</v>
      </c>
      <c r="F229" s="269">
        <v>0</v>
      </c>
      <c r="G229" s="270">
        <f t="shared" ref="G229" si="28">E229*F229</f>
        <v>0</v>
      </c>
    </row>
    <row r="230" spans="2:7" s="563" customFormat="1" ht="12" x14ac:dyDescent="0.2">
      <c r="B230" s="2261"/>
      <c r="C230" s="3037"/>
      <c r="D230" s="2262"/>
      <c r="E230" s="2263"/>
      <c r="F230" s="3128"/>
      <c r="G230" s="3107"/>
    </row>
    <row r="231" spans="2:7" s="563" customFormat="1" ht="24" x14ac:dyDescent="0.2">
      <c r="B231" s="2261" t="s">
        <v>588</v>
      </c>
      <c r="C231" s="3037" t="s">
        <v>589</v>
      </c>
      <c r="D231" s="2262" t="s">
        <v>123</v>
      </c>
      <c r="E231" s="2263">
        <v>4</v>
      </c>
      <c r="F231" s="269">
        <v>0</v>
      </c>
      <c r="G231" s="270">
        <f t="shared" ref="G231" si="29">E231*F231</f>
        <v>0</v>
      </c>
    </row>
    <row r="232" spans="2:7" s="563" customFormat="1" ht="12" x14ac:dyDescent="0.2">
      <c r="B232" s="2261"/>
      <c r="C232" s="3037"/>
      <c r="D232" s="2262"/>
      <c r="E232" s="2263"/>
      <c r="F232" s="3128"/>
      <c r="G232" s="3107"/>
    </row>
    <row r="233" spans="2:7" s="563" customFormat="1" ht="54" customHeight="1" x14ac:dyDescent="0.2">
      <c r="B233" s="2261" t="s">
        <v>590</v>
      </c>
      <c r="C233" s="3037" t="s">
        <v>591</v>
      </c>
      <c r="D233" s="2262" t="s">
        <v>123</v>
      </c>
      <c r="E233" s="2263">
        <v>10</v>
      </c>
      <c r="F233" s="269">
        <v>0</v>
      </c>
      <c r="G233" s="270">
        <f t="shared" ref="G233" si="30">E233*F233</f>
        <v>0</v>
      </c>
    </row>
    <row r="234" spans="2:7" s="563" customFormat="1" ht="12" x14ac:dyDescent="0.2">
      <c r="B234" s="2261"/>
      <c r="C234" s="3037"/>
      <c r="D234" s="2262"/>
      <c r="E234" s="2263"/>
      <c r="F234" s="3128"/>
      <c r="G234" s="3107"/>
    </row>
    <row r="235" spans="2:7" s="563" customFormat="1" ht="48" x14ac:dyDescent="0.2">
      <c r="B235" s="2261" t="s">
        <v>592</v>
      </c>
      <c r="C235" s="3037" t="s">
        <v>593</v>
      </c>
      <c r="D235" s="2262" t="s">
        <v>123</v>
      </c>
      <c r="E235" s="2263">
        <v>4</v>
      </c>
      <c r="F235" s="269">
        <v>0</v>
      </c>
      <c r="G235" s="270">
        <f t="shared" ref="G235" si="31">E235*F235</f>
        <v>0</v>
      </c>
    </row>
    <row r="236" spans="2:7" s="563" customFormat="1" ht="12" x14ac:dyDescent="0.2">
      <c r="B236" s="2261"/>
      <c r="C236" s="3037"/>
      <c r="D236" s="2262"/>
      <c r="E236" s="2263"/>
      <c r="F236" s="3128"/>
      <c r="G236" s="3107"/>
    </row>
    <row r="237" spans="2:7" s="563" customFormat="1" ht="48" x14ac:dyDescent="0.2">
      <c r="B237" s="2261" t="s">
        <v>594</v>
      </c>
      <c r="C237" s="3037" t="s">
        <v>595</v>
      </c>
      <c r="D237" s="2262" t="s">
        <v>123</v>
      </c>
      <c r="E237" s="2263">
        <v>2</v>
      </c>
      <c r="F237" s="269">
        <v>0</v>
      </c>
      <c r="G237" s="270">
        <f t="shared" ref="G237" si="32">E237*F237</f>
        <v>0</v>
      </c>
    </row>
    <row r="238" spans="2:7" s="563" customFormat="1" ht="12" x14ac:dyDescent="0.2">
      <c r="B238" s="2261"/>
      <c r="C238" s="3037"/>
      <c r="D238" s="2262"/>
      <c r="E238" s="2263"/>
      <c r="F238" s="3128"/>
      <c r="G238" s="3107"/>
    </row>
    <row r="239" spans="2:7" s="563" customFormat="1" ht="36" x14ac:dyDescent="0.2">
      <c r="B239" s="2261" t="s">
        <v>596</v>
      </c>
      <c r="C239" s="3037" t="s">
        <v>597</v>
      </c>
      <c r="D239" s="2262" t="s">
        <v>123</v>
      </c>
      <c r="E239" s="2263">
        <v>3</v>
      </c>
      <c r="F239" s="269">
        <v>0</v>
      </c>
      <c r="G239" s="270">
        <f t="shared" ref="G239" si="33">E239*F239</f>
        <v>0</v>
      </c>
    </row>
    <row r="240" spans="2:7" s="563" customFormat="1" ht="12" x14ac:dyDescent="0.2">
      <c r="B240" s="2261"/>
      <c r="C240" s="3037"/>
      <c r="D240" s="2262"/>
      <c r="E240" s="2263"/>
      <c r="F240" s="3128"/>
      <c r="G240" s="3107"/>
    </row>
    <row r="241" spans="2:8" s="563" customFormat="1" ht="36" x14ac:dyDescent="0.2">
      <c r="B241" s="2261" t="s">
        <v>598</v>
      </c>
      <c r="C241" s="3037" t="s">
        <v>599</v>
      </c>
      <c r="D241" s="2262" t="s">
        <v>123</v>
      </c>
      <c r="E241" s="2263">
        <v>1</v>
      </c>
      <c r="F241" s="269">
        <v>0</v>
      </c>
      <c r="G241" s="270">
        <f t="shared" ref="G241" si="34">E241*F241</f>
        <v>0</v>
      </c>
    </row>
    <row r="242" spans="2:8" s="563" customFormat="1" ht="12" x14ac:dyDescent="0.2">
      <c r="B242" s="2261"/>
      <c r="C242" s="3037"/>
      <c r="D242" s="2262"/>
      <c r="E242" s="2263"/>
      <c r="F242" s="3128"/>
      <c r="G242" s="3107"/>
    </row>
    <row r="243" spans="2:8" s="563" customFormat="1" ht="24" x14ac:dyDescent="0.2">
      <c r="B243" s="2261" t="s">
        <v>600</v>
      </c>
      <c r="C243" s="3049" t="s">
        <v>601</v>
      </c>
      <c r="D243" s="2262" t="s">
        <v>123</v>
      </c>
      <c r="E243" s="2263">
        <v>2</v>
      </c>
      <c r="F243" s="269">
        <v>0</v>
      </c>
      <c r="G243" s="270">
        <f t="shared" ref="G243" si="35">E243*F243</f>
        <v>0</v>
      </c>
    </row>
    <row r="244" spans="2:8" s="563" customFormat="1" ht="12" x14ac:dyDescent="0.2">
      <c r="B244" s="2261"/>
      <c r="C244" s="3037"/>
      <c r="D244" s="2262"/>
      <c r="E244" s="2263"/>
      <c r="F244" s="3128"/>
      <c r="G244" s="3107"/>
    </row>
    <row r="245" spans="2:8" s="563" customFormat="1" ht="12" x14ac:dyDescent="0.2">
      <c r="B245" s="2261" t="s">
        <v>602</v>
      </c>
      <c r="C245" s="3037"/>
      <c r="D245" s="2262"/>
      <c r="E245" s="2263"/>
      <c r="F245" s="3128"/>
      <c r="G245" s="3107"/>
    </row>
    <row r="246" spans="2:8" s="563" customFormat="1" ht="48" x14ac:dyDescent="0.2">
      <c r="B246" s="2261" t="s">
        <v>604</v>
      </c>
      <c r="C246" s="3050" t="s">
        <v>603</v>
      </c>
      <c r="D246" s="2262" t="s">
        <v>553</v>
      </c>
      <c r="E246" s="2263">
        <v>1</v>
      </c>
      <c r="F246" s="269">
        <v>0</v>
      </c>
      <c r="G246" s="270">
        <f t="shared" ref="G246" si="36">E246*F246</f>
        <v>0</v>
      </c>
    </row>
    <row r="247" spans="2:8" s="563" customFormat="1" ht="12" x14ac:dyDescent="0.2">
      <c r="B247" s="2261"/>
      <c r="C247" s="3051"/>
      <c r="D247" s="2262"/>
      <c r="E247" s="2263"/>
      <c r="F247" s="3128"/>
      <c r="G247" s="3107"/>
    </row>
    <row r="248" spans="2:8" s="563" customFormat="1" ht="36" x14ac:dyDescent="0.2">
      <c r="B248" s="2261" t="s">
        <v>606</v>
      </c>
      <c r="C248" s="3051" t="s">
        <v>605</v>
      </c>
      <c r="D248" s="2262" t="s">
        <v>553</v>
      </c>
      <c r="E248" s="2263">
        <v>1</v>
      </c>
      <c r="F248" s="269">
        <v>0</v>
      </c>
      <c r="G248" s="270">
        <f t="shared" ref="G248" si="37">E248*F248</f>
        <v>0</v>
      </c>
    </row>
    <row r="249" spans="2:8" s="563" customFormat="1" ht="12" x14ac:dyDescent="0.2">
      <c r="B249" s="2261"/>
      <c r="C249" s="3051"/>
      <c r="D249" s="2262"/>
      <c r="E249" s="2263"/>
      <c r="F249" s="3128"/>
      <c r="G249" s="3107"/>
    </row>
    <row r="250" spans="2:8" s="563" customFormat="1" ht="96" x14ac:dyDescent="0.2">
      <c r="B250" s="2261" t="s">
        <v>608</v>
      </c>
      <c r="C250" s="3040" t="s">
        <v>607</v>
      </c>
      <c r="D250" s="2262" t="s">
        <v>123</v>
      </c>
      <c r="E250" s="2263">
        <v>1</v>
      </c>
      <c r="F250" s="269">
        <v>0</v>
      </c>
      <c r="G250" s="270">
        <f t="shared" ref="G250" si="38">E250*F250</f>
        <v>0</v>
      </c>
    </row>
    <row r="251" spans="2:8" s="563" customFormat="1" ht="12" x14ac:dyDescent="0.2">
      <c r="B251" s="2261"/>
      <c r="C251" s="3037"/>
      <c r="D251" s="2262"/>
      <c r="E251" s="2263"/>
      <c r="F251" s="3128"/>
      <c r="G251" s="3107"/>
    </row>
    <row r="252" spans="2:8" s="563" customFormat="1" ht="96" x14ac:dyDescent="0.2">
      <c r="B252" s="2261" t="s">
        <v>610</v>
      </c>
      <c r="C252" s="3040" t="s">
        <v>609</v>
      </c>
      <c r="D252" s="2262" t="s">
        <v>123</v>
      </c>
      <c r="E252" s="2263">
        <v>1</v>
      </c>
      <c r="F252" s="269">
        <v>0</v>
      </c>
      <c r="G252" s="270">
        <f t="shared" ref="G252" si="39">E252*F252</f>
        <v>0</v>
      </c>
    </row>
    <row r="253" spans="2:8" s="563" customFormat="1" ht="12" x14ac:dyDescent="0.2">
      <c r="B253" s="2261"/>
      <c r="C253" s="3037"/>
      <c r="D253" s="2262"/>
      <c r="E253" s="2263"/>
      <c r="F253" s="3128"/>
      <c r="G253" s="3107"/>
    </row>
    <row r="254" spans="2:8" s="563" customFormat="1" ht="36" x14ac:dyDescent="0.2">
      <c r="B254" s="2261" t="s">
        <v>612</v>
      </c>
      <c r="C254" s="3037" t="s">
        <v>2277</v>
      </c>
      <c r="D254" s="2262" t="s">
        <v>123</v>
      </c>
      <c r="E254" s="2263">
        <v>3</v>
      </c>
      <c r="F254" s="269">
        <v>0</v>
      </c>
      <c r="G254" s="270">
        <f t="shared" ref="G254" si="40">E254*F254</f>
        <v>0</v>
      </c>
      <c r="H254" s="717"/>
    </row>
    <row r="255" spans="2:8" s="563" customFormat="1" ht="12" x14ac:dyDescent="0.2">
      <c r="B255" s="2261"/>
      <c r="C255" s="3037"/>
      <c r="D255" s="2262"/>
      <c r="E255" s="2263"/>
      <c r="F255" s="3128"/>
      <c r="G255" s="3107"/>
    </row>
    <row r="256" spans="2:8" s="563" customFormat="1" ht="48" x14ac:dyDescent="0.2">
      <c r="B256" s="2261" t="s">
        <v>614</v>
      </c>
      <c r="C256" s="3037" t="s">
        <v>613</v>
      </c>
      <c r="D256" s="2262" t="s">
        <v>123</v>
      </c>
      <c r="E256" s="2263">
        <v>2</v>
      </c>
      <c r="F256" s="269">
        <v>0</v>
      </c>
      <c r="G256" s="270">
        <f t="shared" ref="G256" si="41">E256*F256</f>
        <v>0</v>
      </c>
    </row>
    <row r="257" spans="2:8" s="563" customFormat="1" ht="12" x14ac:dyDescent="0.2">
      <c r="B257" s="2261"/>
      <c r="C257" s="3037"/>
      <c r="D257" s="2262"/>
      <c r="E257" s="2263"/>
      <c r="F257" s="3128"/>
      <c r="G257" s="3107"/>
    </row>
    <row r="258" spans="2:8" s="563" customFormat="1" ht="36" x14ac:dyDescent="0.2">
      <c r="B258" s="2261" t="s">
        <v>616</v>
      </c>
      <c r="C258" s="3037" t="s">
        <v>615</v>
      </c>
      <c r="D258" s="2262" t="s">
        <v>123</v>
      </c>
      <c r="E258" s="2263">
        <v>100</v>
      </c>
      <c r="F258" s="269">
        <v>0</v>
      </c>
      <c r="G258" s="270">
        <f t="shared" ref="G258" si="42">E258*F258</f>
        <v>0</v>
      </c>
    </row>
    <row r="259" spans="2:8" s="563" customFormat="1" ht="12" x14ac:dyDescent="0.2">
      <c r="B259" s="2261"/>
      <c r="C259" s="3037"/>
      <c r="D259" s="2262"/>
      <c r="E259" s="2263"/>
      <c r="F259" s="3128"/>
      <c r="G259" s="3107"/>
    </row>
    <row r="260" spans="2:8" s="563" customFormat="1" ht="48" x14ac:dyDescent="0.2">
      <c r="B260" s="2261" t="s">
        <v>618</v>
      </c>
      <c r="C260" s="3037" t="s">
        <v>617</v>
      </c>
      <c r="D260" s="2262" t="s">
        <v>560</v>
      </c>
      <c r="E260" s="2263">
        <v>1</v>
      </c>
      <c r="F260" s="269">
        <v>0</v>
      </c>
      <c r="G260" s="270">
        <f t="shared" ref="G260" si="43">E260*F260</f>
        <v>0</v>
      </c>
    </row>
    <row r="261" spans="2:8" s="563" customFormat="1" ht="12" x14ac:dyDescent="0.2">
      <c r="B261" s="2261"/>
      <c r="C261" s="98"/>
      <c r="D261" s="2266"/>
      <c r="E261" s="2267"/>
      <c r="F261" s="3062"/>
      <c r="G261" s="3062"/>
    </row>
    <row r="262" spans="2:8" s="550" customFormat="1" ht="120" x14ac:dyDescent="0.25">
      <c r="B262" s="2261" t="s">
        <v>1458</v>
      </c>
      <c r="C262" s="3052" t="s">
        <v>619</v>
      </c>
      <c r="D262" s="2266" t="s">
        <v>123</v>
      </c>
      <c r="E262" s="2267">
        <v>1</v>
      </c>
      <c r="F262" s="269">
        <v>0</v>
      </c>
      <c r="G262" s="270">
        <f t="shared" ref="G262" si="44">E262*F262</f>
        <v>0</v>
      </c>
      <c r="H262" s="717"/>
    </row>
    <row r="263" spans="2:8" s="550" customFormat="1" x14ac:dyDescent="0.25">
      <c r="B263" s="3044"/>
      <c r="C263" s="3052"/>
      <c r="D263" s="2266"/>
      <c r="E263" s="2267"/>
      <c r="F263" s="3062"/>
      <c r="G263" s="3107"/>
      <c r="H263" s="717"/>
    </row>
    <row r="264" spans="2:8" s="550" customFormat="1" ht="84" x14ac:dyDescent="0.25">
      <c r="B264" s="2261" t="s">
        <v>1459</v>
      </c>
      <c r="C264" s="3052" t="s">
        <v>620</v>
      </c>
      <c r="D264" s="2266" t="s">
        <v>123</v>
      </c>
      <c r="E264" s="2267">
        <v>1</v>
      </c>
      <c r="F264" s="269">
        <v>0</v>
      </c>
      <c r="G264" s="270">
        <f t="shared" ref="G264" si="45">E264*F264</f>
        <v>0</v>
      </c>
      <c r="H264" s="717"/>
    </row>
    <row r="265" spans="2:8" s="563" customFormat="1" ht="12" x14ac:dyDescent="0.2">
      <c r="B265" s="2152"/>
      <c r="C265" s="2270"/>
      <c r="D265" s="2271"/>
      <c r="E265" s="2272"/>
      <c r="F265" s="3115"/>
      <c r="G265" s="3109"/>
    </row>
    <row r="266" spans="2:8" s="563" customFormat="1" ht="12" x14ac:dyDescent="0.2">
      <c r="B266" s="3053" t="s">
        <v>622</v>
      </c>
      <c r="C266" s="2270" t="s">
        <v>623</v>
      </c>
      <c r="D266" s="2266"/>
      <c r="E266" s="2267"/>
      <c r="F266" s="3062"/>
      <c r="G266" s="3062"/>
    </row>
    <row r="267" spans="2:8" s="563" customFormat="1" ht="12" x14ac:dyDescent="0.2">
      <c r="B267" s="2261"/>
      <c r="C267" s="98"/>
      <c r="D267" s="2266"/>
      <c r="E267" s="2267"/>
      <c r="F267" s="3062"/>
      <c r="G267" s="3062"/>
    </row>
    <row r="268" spans="2:8" ht="387.75" customHeight="1" x14ac:dyDescent="0.2">
      <c r="B268" s="2743"/>
      <c r="C268" s="2744"/>
      <c r="D268" s="2745"/>
      <c r="E268" s="2746"/>
      <c r="F268" s="2747"/>
      <c r="G268" s="2736"/>
    </row>
    <row r="269" spans="2:8" ht="24.75" customHeight="1" x14ac:dyDescent="0.2">
      <c r="B269" s="3054"/>
      <c r="C269" s="2744" t="s">
        <v>2465</v>
      </c>
      <c r="D269" s="2748" t="s">
        <v>98</v>
      </c>
      <c r="E269" s="2746">
        <v>1</v>
      </c>
      <c r="F269" s="2747">
        <v>0</v>
      </c>
      <c r="G269" s="2736">
        <f t="shared" ref="G269" si="46">E269*F269</f>
        <v>0</v>
      </c>
    </row>
    <row r="270" spans="2:8" s="563" customFormat="1" ht="12" x14ac:dyDescent="0.2">
      <c r="B270" s="2261"/>
      <c r="C270" s="3055"/>
      <c r="D270" s="2266"/>
      <c r="E270" s="2267"/>
      <c r="F270" s="3062"/>
      <c r="G270" s="3062"/>
    </row>
    <row r="271" spans="2:8" s="563" customFormat="1" ht="48" x14ac:dyDescent="0.2">
      <c r="B271" s="2261" t="s">
        <v>15</v>
      </c>
      <c r="C271" s="3056" t="s">
        <v>771</v>
      </c>
      <c r="D271" s="2262" t="s">
        <v>123</v>
      </c>
      <c r="E271" s="2263">
        <v>2</v>
      </c>
      <c r="F271" s="3130">
        <v>0</v>
      </c>
      <c r="G271" s="3110">
        <f>E271*F271</f>
        <v>0</v>
      </c>
      <c r="H271" s="3032"/>
    </row>
    <row r="272" spans="2:8" s="563" customFormat="1" ht="12" x14ac:dyDescent="0.2">
      <c r="B272" s="2261"/>
      <c r="C272" s="548"/>
      <c r="D272" s="2266"/>
      <c r="E272" s="2267"/>
      <c r="F272" s="3062"/>
      <c r="G272" s="3062"/>
    </row>
    <row r="273" spans="2:8" s="563" customFormat="1" ht="48" x14ac:dyDescent="0.2">
      <c r="B273" s="2261" t="s">
        <v>20</v>
      </c>
      <c r="C273" s="3056" t="s">
        <v>625</v>
      </c>
      <c r="D273" s="2262" t="s">
        <v>123</v>
      </c>
      <c r="E273" s="2263">
        <v>2</v>
      </c>
      <c r="F273" s="3130">
        <v>0</v>
      </c>
      <c r="G273" s="3110">
        <f>E273*F273</f>
        <v>0</v>
      </c>
      <c r="H273" s="3032"/>
    </row>
    <row r="274" spans="2:8" s="563" customFormat="1" ht="12" x14ac:dyDescent="0.2">
      <c r="B274" s="2261"/>
      <c r="C274" s="3056"/>
      <c r="D274" s="2262"/>
      <c r="E274" s="2263"/>
      <c r="F274" s="3128"/>
      <c r="G274" s="3107"/>
    </row>
    <row r="275" spans="2:8" s="550" customFormat="1" ht="60" x14ac:dyDescent="0.25">
      <c r="B275" s="2261" t="s">
        <v>24</v>
      </c>
      <c r="C275" s="3057" t="s">
        <v>772</v>
      </c>
      <c r="D275" s="2262" t="s">
        <v>123</v>
      </c>
      <c r="E275" s="2263">
        <v>1</v>
      </c>
      <c r="F275" s="3130">
        <v>0</v>
      </c>
      <c r="G275" s="3110">
        <f>E275*F275</f>
        <v>0</v>
      </c>
      <c r="H275" s="3033"/>
    </row>
    <row r="276" spans="2:8" s="563" customFormat="1" ht="12" x14ac:dyDescent="0.2">
      <c r="B276" s="2261"/>
      <c r="C276" s="548"/>
      <c r="D276" s="2266"/>
      <c r="E276" s="2267"/>
      <c r="F276" s="3062"/>
      <c r="G276" s="3062"/>
    </row>
    <row r="277" spans="2:8" s="550" customFormat="1" ht="300" customHeight="1" x14ac:dyDescent="0.25">
      <c r="B277" s="2261" t="s">
        <v>29</v>
      </c>
      <c r="C277" s="3058" t="s">
        <v>816</v>
      </c>
      <c r="D277" s="2262" t="s">
        <v>553</v>
      </c>
      <c r="E277" s="2263">
        <v>1</v>
      </c>
      <c r="F277" s="3130">
        <v>0</v>
      </c>
      <c r="G277" s="3110">
        <f>E277*F277</f>
        <v>0</v>
      </c>
    </row>
    <row r="278" spans="2:8" s="563" customFormat="1" ht="12" x14ac:dyDescent="0.2">
      <c r="B278" s="2261"/>
      <c r="C278" s="548"/>
      <c r="D278" s="2266"/>
      <c r="E278" s="2267"/>
      <c r="F278" s="3062"/>
      <c r="G278" s="3062"/>
    </row>
    <row r="279" spans="2:8" s="563" customFormat="1" ht="12" x14ac:dyDescent="0.2">
      <c r="B279" s="2261"/>
      <c r="C279" s="3050"/>
      <c r="D279" s="2262"/>
      <c r="E279" s="2263"/>
      <c r="F279" s="3128"/>
      <c r="G279" s="3107"/>
    </row>
    <row r="280" spans="2:8" s="714" customFormat="1" ht="12" x14ac:dyDescent="0.2">
      <c r="B280" s="3041"/>
      <c r="C280" s="3059" t="s">
        <v>628</v>
      </c>
      <c r="D280" s="3060"/>
      <c r="E280" s="3061"/>
      <c r="F280" s="3111"/>
      <c r="G280" s="3111"/>
    </row>
    <row r="281" spans="2:8" s="714" customFormat="1" ht="12" x14ac:dyDescent="0.2">
      <c r="B281" s="3041"/>
      <c r="C281" s="3042"/>
      <c r="D281" s="3060"/>
      <c r="E281" s="3061"/>
      <c r="F281" s="3111"/>
      <c r="G281" s="3111"/>
    </row>
    <row r="282" spans="2:8" s="550" customFormat="1" ht="204" x14ac:dyDescent="0.25">
      <c r="B282" s="2261" t="s">
        <v>33</v>
      </c>
      <c r="C282" s="3062" t="s">
        <v>773</v>
      </c>
      <c r="D282" s="2266" t="s">
        <v>123</v>
      </c>
      <c r="E282" s="2267">
        <v>1</v>
      </c>
      <c r="F282" s="3130">
        <v>0</v>
      </c>
      <c r="G282" s="3110">
        <f>E282*F282</f>
        <v>0</v>
      </c>
      <c r="H282" s="3034"/>
    </row>
    <row r="283" spans="2:8" s="563" customFormat="1" ht="12" x14ac:dyDescent="0.2">
      <c r="B283" s="2261"/>
      <c r="C283" s="3063"/>
      <c r="D283" s="2262"/>
      <c r="E283" s="2263"/>
      <c r="F283" s="3128"/>
      <c r="G283" s="3107"/>
    </row>
    <row r="284" spans="2:8" s="550" customFormat="1" ht="72" x14ac:dyDescent="0.25">
      <c r="B284" s="2261" t="s">
        <v>38</v>
      </c>
      <c r="C284" s="3062" t="s">
        <v>944</v>
      </c>
      <c r="D284" s="2262" t="s">
        <v>123</v>
      </c>
      <c r="E284" s="2263">
        <v>1</v>
      </c>
      <c r="F284" s="3130">
        <v>0</v>
      </c>
      <c r="G284" s="3110">
        <f>E284*F284</f>
        <v>0</v>
      </c>
      <c r="H284" s="3034"/>
    </row>
    <row r="285" spans="2:8" s="563" customFormat="1" ht="12" x14ac:dyDescent="0.2">
      <c r="B285" s="2261"/>
      <c r="C285" s="548"/>
      <c r="D285" s="2266"/>
      <c r="E285" s="2267"/>
      <c r="F285" s="3062"/>
      <c r="G285" s="3062"/>
    </row>
    <row r="286" spans="2:8" s="550" customFormat="1" ht="309" customHeight="1" x14ac:dyDescent="0.25">
      <c r="B286" s="2261" t="s">
        <v>43</v>
      </c>
      <c r="C286" s="3064" t="s">
        <v>630</v>
      </c>
      <c r="D286" s="2266" t="s">
        <v>98</v>
      </c>
      <c r="E286" s="2267">
        <v>2</v>
      </c>
      <c r="F286" s="3130">
        <v>0</v>
      </c>
      <c r="G286" s="3110">
        <f>E286*F286</f>
        <v>0</v>
      </c>
    </row>
    <row r="287" spans="2:8" s="563" customFormat="1" ht="12" x14ac:dyDescent="0.2">
      <c r="B287" s="2261"/>
      <c r="C287" s="548"/>
      <c r="D287" s="2266"/>
      <c r="E287" s="2267"/>
      <c r="F287" s="3062"/>
      <c r="G287" s="3062"/>
    </row>
    <row r="288" spans="2:8" s="563" customFormat="1" ht="12" x14ac:dyDescent="0.2">
      <c r="B288" s="2261" t="s">
        <v>562</v>
      </c>
      <c r="C288" s="3065" t="s">
        <v>632</v>
      </c>
      <c r="D288" s="2262" t="s">
        <v>553</v>
      </c>
      <c r="E288" s="2263">
        <v>1</v>
      </c>
      <c r="F288" s="3130">
        <v>0</v>
      </c>
      <c r="G288" s="3110">
        <f>E288*F288</f>
        <v>0</v>
      </c>
    </row>
    <row r="289" spans="2:8" s="563" customFormat="1" ht="12" x14ac:dyDescent="0.2">
      <c r="B289" s="2261"/>
      <c r="C289" s="98"/>
      <c r="D289" s="2266"/>
      <c r="E289" s="2267"/>
      <c r="F289" s="3062"/>
      <c r="G289" s="3062"/>
    </row>
    <row r="290" spans="2:8" s="563" customFormat="1" ht="12" x14ac:dyDescent="0.2">
      <c r="B290" s="2152"/>
      <c r="C290" s="2270"/>
      <c r="D290" s="2271"/>
      <c r="E290" s="2272"/>
      <c r="F290" s="3115"/>
      <c r="G290" s="3109"/>
    </row>
    <row r="291" spans="2:8" s="563" customFormat="1" ht="12" x14ac:dyDescent="0.2">
      <c r="B291" s="3053" t="s">
        <v>633</v>
      </c>
      <c r="C291" s="2270" t="s">
        <v>779</v>
      </c>
      <c r="D291" s="2266"/>
      <c r="E291" s="2267"/>
      <c r="F291" s="3062"/>
      <c r="G291" s="3062"/>
    </row>
    <row r="292" spans="2:8" s="563" customFormat="1" ht="12" x14ac:dyDescent="0.2">
      <c r="B292" s="2261"/>
      <c r="C292" s="98"/>
      <c r="D292" s="2266"/>
      <c r="E292" s="2267"/>
      <c r="F292" s="3062"/>
      <c r="G292" s="3062"/>
    </row>
    <row r="293" spans="2:8" s="563" customFormat="1" ht="60" x14ac:dyDescent="0.2">
      <c r="B293" s="2261" t="s">
        <v>8</v>
      </c>
      <c r="C293" s="548" t="s">
        <v>781</v>
      </c>
      <c r="D293" s="2262" t="s">
        <v>123</v>
      </c>
      <c r="E293" s="2263">
        <v>2</v>
      </c>
      <c r="F293" s="3130">
        <v>0</v>
      </c>
      <c r="G293" s="3110">
        <f>E293*F293</f>
        <v>0</v>
      </c>
      <c r="H293" s="3035"/>
    </row>
    <row r="294" spans="2:8" s="563" customFormat="1" ht="12" x14ac:dyDescent="0.2">
      <c r="B294" s="2261"/>
      <c r="C294" s="548"/>
      <c r="D294" s="2266"/>
      <c r="E294" s="2267"/>
      <c r="F294" s="3062"/>
      <c r="G294" s="3062"/>
    </row>
    <row r="295" spans="2:8" s="563" customFormat="1" ht="72" x14ac:dyDescent="0.2">
      <c r="B295" s="2261" t="s">
        <v>15</v>
      </c>
      <c r="C295" s="548" t="s">
        <v>780</v>
      </c>
      <c r="D295" s="2266" t="s">
        <v>123</v>
      </c>
      <c r="E295" s="2267">
        <v>2</v>
      </c>
      <c r="F295" s="3130">
        <v>0</v>
      </c>
      <c r="G295" s="3110">
        <f>E295*F295</f>
        <v>0</v>
      </c>
    </row>
    <row r="296" spans="2:8" s="563" customFormat="1" ht="12" x14ac:dyDescent="0.2">
      <c r="B296" s="2261"/>
      <c r="C296" s="548"/>
      <c r="D296" s="2266"/>
      <c r="E296" s="2267"/>
      <c r="F296" s="3062"/>
      <c r="G296" s="3062"/>
    </row>
    <row r="297" spans="2:8" s="563" customFormat="1" ht="24" x14ac:dyDescent="0.2">
      <c r="B297" s="2261" t="s">
        <v>20</v>
      </c>
      <c r="C297" s="548" t="s">
        <v>637</v>
      </c>
      <c r="D297" s="2262" t="s">
        <v>123</v>
      </c>
      <c r="E297" s="2263">
        <v>1</v>
      </c>
      <c r="F297" s="3130">
        <v>0</v>
      </c>
      <c r="G297" s="3110">
        <f>E297*F297</f>
        <v>0</v>
      </c>
    </row>
    <row r="298" spans="2:8" s="563" customFormat="1" ht="12" x14ac:dyDescent="0.2">
      <c r="B298" s="2261"/>
      <c r="C298" s="548"/>
      <c r="D298" s="2262"/>
      <c r="E298" s="2263"/>
      <c r="F298" s="3128"/>
      <c r="G298" s="3107"/>
    </row>
    <row r="299" spans="2:8" s="563" customFormat="1" ht="24" x14ac:dyDescent="0.2">
      <c r="B299" s="2261" t="s">
        <v>24</v>
      </c>
      <c r="C299" s="548" t="s">
        <v>638</v>
      </c>
      <c r="D299" s="2262" t="s">
        <v>123</v>
      </c>
      <c r="E299" s="2263">
        <v>1</v>
      </c>
      <c r="F299" s="3130">
        <v>0</v>
      </c>
      <c r="G299" s="3110">
        <f>E299*F299</f>
        <v>0</v>
      </c>
    </row>
    <row r="300" spans="2:8" s="563" customFormat="1" ht="12" x14ac:dyDescent="0.2">
      <c r="B300" s="2261"/>
      <c r="C300" s="548"/>
      <c r="D300" s="2266"/>
      <c r="E300" s="2267"/>
      <c r="F300" s="3062"/>
      <c r="G300" s="3062"/>
    </row>
    <row r="301" spans="2:8" s="563" customFormat="1" ht="24" x14ac:dyDescent="0.2">
      <c r="B301" s="2261" t="s">
        <v>29</v>
      </c>
      <c r="C301" s="548" t="s">
        <v>639</v>
      </c>
      <c r="D301" s="2262" t="s">
        <v>123</v>
      </c>
      <c r="E301" s="2263">
        <v>1</v>
      </c>
      <c r="F301" s="3130">
        <v>0</v>
      </c>
      <c r="G301" s="3110">
        <f>E301*F301</f>
        <v>0</v>
      </c>
    </row>
    <row r="302" spans="2:8" s="563" customFormat="1" ht="12" x14ac:dyDescent="0.2">
      <c r="B302" s="2261"/>
      <c r="C302" s="548"/>
      <c r="D302" s="2262"/>
      <c r="E302" s="2263"/>
      <c r="F302" s="3128"/>
      <c r="G302" s="3107"/>
    </row>
    <row r="303" spans="2:8" s="563" customFormat="1" ht="23.25" customHeight="1" x14ac:dyDescent="0.2">
      <c r="B303" s="2261" t="s">
        <v>33</v>
      </c>
      <c r="C303" s="548" t="s">
        <v>640</v>
      </c>
      <c r="D303" s="2262" t="s">
        <v>123</v>
      </c>
      <c r="E303" s="2263">
        <v>1</v>
      </c>
      <c r="F303" s="3130">
        <v>0</v>
      </c>
      <c r="G303" s="3110">
        <f>E303*F303</f>
        <v>0</v>
      </c>
    </row>
    <row r="304" spans="2:8" s="563" customFormat="1" ht="12" x14ac:dyDescent="0.2">
      <c r="B304" s="2261"/>
      <c r="C304" s="548"/>
      <c r="D304" s="2262"/>
      <c r="E304" s="2263"/>
      <c r="F304" s="3128"/>
      <c r="G304" s="3107"/>
    </row>
    <row r="305" spans="2:7" s="563" customFormat="1" ht="12" x14ac:dyDescent="0.2">
      <c r="B305" s="2261" t="s">
        <v>38</v>
      </c>
      <c r="C305" s="3065" t="s">
        <v>632</v>
      </c>
      <c r="D305" s="2262" t="s">
        <v>553</v>
      </c>
      <c r="E305" s="2263">
        <v>1</v>
      </c>
      <c r="F305" s="3130">
        <v>0</v>
      </c>
      <c r="G305" s="3110">
        <f>E305*F305</f>
        <v>0</v>
      </c>
    </row>
    <row r="306" spans="2:7" s="563" customFormat="1" ht="12" x14ac:dyDescent="0.2">
      <c r="B306" s="2261"/>
      <c r="C306" s="98"/>
      <c r="D306" s="2266"/>
      <c r="E306" s="2267"/>
      <c r="F306" s="3062"/>
      <c r="G306" s="3062"/>
    </row>
    <row r="307" spans="2:7" s="563" customFormat="1" ht="12" x14ac:dyDescent="0.2">
      <c r="B307" s="2261"/>
      <c r="C307" s="98"/>
      <c r="D307" s="2266"/>
      <c r="E307" s="2267"/>
      <c r="F307" s="3062"/>
      <c r="G307" s="3062"/>
    </row>
    <row r="308" spans="2:7" s="563" customFormat="1" ht="12" x14ac:dyDescent="0.2">
      <c r="B308" s="3053" t="s">
        <v>641</v>
      </c>
      <c r="C308" s="2270" t="s">
        <v>642</v>
      </c>
      <c r="D308" s="2266"/>
      <c r="E308" s="2267"/>
      <c r="F308" s="3062"/>
      <c r="G308" s="3062"/>
    </row>
    <row r="309" spans="2:7" s="3031" customFormat="1" ht="12" x14ac:dyDescent="0.2">
      <c r="B309" s="3066"/>
      <c r="C309" s="3067"/>
      <c r="D309" s="3068"/>
      <c r="E309" s="3069"/>
      <c r="F309" s="3112"/>
      <c r="G309" s="3112"/>
    </row>
    <row r="310" spans="2:7" s="3031" customFormat="1" ht="12" x14ac:dyDescent="0.2">
      <c r="B310" s="3066" t="s">
        <v>8</v>
      </c>
      <c r="C310" s="3070" t="s">
        <v>2278</v>
      </c>
      <c r="D310" s="3071" t="s">
        <v>644</v>
      </c>
      <c r="E310" s="3072">
        <v>20</v>
      </c>
      <c r="F310" s="3131">
        <v>0</v>
      </c>
      <c r="G310" s="3113">
        <f>E310*F310</f>
        <v>0</v>
      </c>
    </row>
    <row r="311" spans="2:7" s="3031" customFormat="1" ht="12" x14ac:dyDescent="0.2">
      <c r="B311" s="3066"/>
      <c r="C311" s="3070"/>
      <c r="D311" s="3071"/>
      <c r="E311" s="3072"/>
      <c r="F311" s="3132"/>
      <c r="G311" s="3114"/>
    </row>
    <row r="312" spans="2:7" s="3031" customFormat="1" ht="12" x14ac:dyDescent="0.2">
      <c r="B312" s="3066" t="s">
        <v>15</v>
      </c>
      <c r="C312" s="3070" t="s">
        <v>645</v>
      </c>
      <c r="D312" s="3071" t="s">
        <v>644</v>
      </c>
      <c r="E312" s="3072">
        <v>20</v>
      </c>
      <c r="F312" s="3131">
        <v>0</v>
      </c>
      <c r="G312" s="3113">
        <f>E312*F312</f>
        <v>0</v>
      </c>
    </row>
    <row r="313" spans="2:7" s="3031" customFormat="1" ht="12" x14ac:dyDescent="0.2">
      <c r="B313" s="3066"/>
      <c r="C313" s="3070"/>
      <c r="D313" s="3071"/>
      <c r="E313" s="3072"/>
      <c r="F313" s="3132"/>
      <c r="G313" s="3114"/>
    </row>
    <row r="314" spans="2:7" s="3031" customFormat="1" ht="12" x14ac:dyDescent="0.2">
      <c r="B314" s="3066" t="s">
        <v>20</v>
      </c>
      <c r="C314" s="3070" t="s">
        <v>646</v>
      </c>
      <c r="D314" s="3071" t="s">
        <v>644</v>
      </c>
      <c r="E314" s="3072">
        <v>160</v>
      </c>
      <c r="F314" s="3131">
        <v>0</v>
      </c>
      <c r="G314" s="3113">
        <f>E314*F314</f>
        <v>0</v>
      </c>
    </row>
    <row r="315" spans="2:7" s="3031" customFormat="1" ht="12" x14ac:dyDescent="0.2">
      <c r="B315" s="3066"/>
      <c r="C315" s="3070"/>
      <c r="D315" s="3071"/>
      <c r="E315" s="3072"/>
      <c r="F315" s="3132"/>
      <c r="G315" s="3114"/>
    </row>
    <row r="316" spans="2:7" s="3031" customFormat="1" ht="12" x14ac:dyDescent="0.2">
      <c r="B316" s="3066" t="s">
        <v>24</v>
      </c>
      <c r="C316" s="3070" t="s">
        <v>647</v>
      </c>
      <c r="D316" s="3071" t="s">
        <v>644</v>
      </c>
      <c r="E316" s="3072">
        <v>100</v>
      </c>
      <c r="F316" s="3131">
        <v>0</v>
      </c>
      <c r="G316" s="3113">
        <f>E316*F316</f>
        <v>0</v>
      </c>
    </row>
    <row r="317" spans="2:7" s="3031" customFormat="1" ht="12" x14ac:dyDescent="0.2">
      <c r="B317" s="3066"/>
      <c r="C317" s="3070"/>
      <c r="D317" s="3071"/>
      <c r="E317" s="3072"/>
      <c r="F317" s="3132"/>
      <c r="G317" s="3114"/>
    </row>
    <row r="318" spans="2:7" s="3031" customFormat="1" ht="12" x14ac:dyDescent="0.2">
      <c r="B318" s="3066" t="s">
        <v>29</v>
      </c>
      <c r="C318" s="3070" t="s">
        <v>648</v>
      </c>
      <c r="D318" s="3071" t="s">
        <v>644</v>
      </c>
      <c r="E318" s="3072">
        <v>50</v>
      </c>
      <c r="F318" s="3131">
        <v>0</v>
      </c>
      <c r="G318" s="3113">
        <f>E318*F318</f>
        <v>0</v>
      </c>
    </row>
    <row r="319" spans="2:7" s="3031" customFormat="1" ht="12" x14ac:dyDescent="0.2">
      <c r="B319" s="3066"/>
      <c r="C319" s="3070"/>
      <c r="D319" s="3071"/>
      <c r="E319" s="3072"/>
      <c r="F319" s="3132"/>
      <c r="G319" s="3114"/>
    </row>
    <row r="320" spans="2:7" s="3031" customFormat="1" ht="12" x14ac:dyDescent="0.2">
      <c r="B320" s="3066" t="s">
        <v>33</v>
      </c>
      <c r="C320" s="3070" t="s">
        <v>649</v>
      </c>
      <c r="D320" s="3071" t="s">
        <v>644</v>
      </c>
      <c r="E320" s="3072">
        <v>4</v>
      </c>
      <c r="F320" s="3131">
        <v>0</v>
      </c>
      <c r="G320" s="3113">
        <f>E320*F320</f>
        <v>0</v>
      </c>
    </row>
    <row r="321" spans="2:7" s="3031" customFormat="1" ht="12" x14ac:dyDescent="0.2">
      <c r="B321" s="3066"/>
      <c r="C321" s="3070"/>
      <c r="D321" s="3071"/>
      <c r="E321" s="3072"/>
      <c r="F321" s="3132"/>
      <c r="G321" s="3114"/>
    </row>
    <row r="322" spans="2:7" s="3031" customFormat="1" ht="12" x14ac:dyDescent="0.2">
      <c r="B322" s="3066" t="s">
        <v>38</v>
      </c>
      <c r="C322" s="3070" t="s">
        <v>650</v>
      </c>
      <c r="D322" s="3071" t="s">
        <v>149</v>
      </c>
      <c r="E322" s="3072">
        <v>2</v>
      </c>
      <c r="F322" s="3131">
        <v>0</v>
      </c>
      <c r="G322" s="3113">
        <f>E322*F322</f>
        <v>0</v>
      </c>
    </row>
    <row r="323" spans="2:7" s="3031" customFormat="1" ht="12" x14ac:dyDescent="0.2">
      <c r="B323" s="3066"/>
      <c r="C323" s="3070"/>
      <c r="D323" s="3071"/>
      <c r="E323" s="3072"/>
      <c r="F323" s="3132"/>
      <c r="G323" s="3114"/>
    </row>
    <row r="324" spans="2:7" s="3031" customFormat="1" ht="12" x14ac:dyDescent="0.2">
      <c r="B324" s="3066" t="s">
        <v>43</v>
      </c>
      <c r="C324" s="3070" t="s">
        <v>651</v>
      </c>
      <c r="D324" s="3071" t="s">
        <v>644</v>
      </c>
      <c r="E324" s="3072">
        <v>50</v>
      </c>
      <c r="F324" s="3131">
        <v>0</v>
      </c>
      <c r="G324" s="3113">
        <f>E324*F324</f>
        <v>0</v>
      </c>
    </row>
    <row r="325" spans="2:7" s="3031" customFormat="1" ht="12" x14ac:dyDescent="0.2">
      <c r="B325" s="3066"/>
      <c r="C325" s="3070"/>
      <c r="D325" s="3071"/>
      <c r="E325" s="3072"/>
      <c r="F325" s="3132"/>
      <c r="G325" s="3114"/>
    </row>
    <row r="326" spans="2:7" s="563" customFormat="1" ht="12" x14ac:dyDescent="0.2">
      <c r="B326" s="2261" t="s">
        <v>562</v>
      </c>
      <c r="C326" s="3065" t="s">
        <v>652</v>
      </c>
      <c r="D326" s="2262" t="s">
        <v>644</v>
      </c>
      <c r="E326" s="2263">
        <v>50</v>
      </c>
      <c r="F326" s="3130">
        <v>0</v>
      </c>
      <c r="G326" s="3110">
        <f>E326*F326</f>
        <v>0</v>
      </c>
    </row>
    <row r="327" spans="2:7" s="563" customFormat="1" ht="12" x14ac:dyDescent="0.2">
      <c r="B327" s="2261"/>
      <c r="C327" s="3065"/>
      <c r="D327" s="2262"/>
      <c r="E327" s="2263"/>
      <c r="F327" s="3128"/>
      <c r="G327" s="3107"/>
    </row>
    <row r="328" spans="2:7" s="563" customFormat="1" ht="12" x14ac:dyDescent="0.2">
      <c r="B328" s="2261" t="s">
        <v>564</v>
      </c>
      <c r="C328" s="3065" t="s">
        <v>632</v>
      </c>
      <c r="D328" s="2262" t="s">
        <v>553</v>
      </c>
      <c r="E328" s="2263">
        <v>1</v>
      </c>
      <c r="F328" s="3130">
        <v>0</v>
      </c>
      <c r="G328" s="3110">
        <f>E328*F328</f>
        <v>0</v>
      </c>
    </row>
    <row r="329" spans="2:7" s="563" customFormat="1" ht="12" x14ac:dyDescent="0.2">
      <c r="B329" s="2261"/>
      <c r="C329" s="98"/>
      <c r="D329" s="2266"/>
      <c r="E329" s="2267"/>
      <c r="F329" s="3062"/>
      <c r="G329" s="3062"/>
    </row>
    <row r="330" spans="2:7" s="563" customFormat="1" ht="12" x14ac:dyDescent="0.2">
      <c r="B330" s="2261"/>
      <c r="C330" s="98"/>
      <c r="D330" s="2266"/>
      <c r="E330" s="2267"/>
      <c r="F330" s="3062"/>
      <c r="G330" s="3062"/>
    </row>
    <row r="331" spans="2:7" s="563" customFormat="1" ht="12" x14ac:dyDescent="0.2">
      <c r="B331" s="3053" t="s">
        <v>653</v>
      </c>
      <c r="C331" s="2270" t="s">
        <v>654</v>
      </c>
      <c r="D331" s="2266"/>
      <c r="E331" s="2267"/>
      <c r="F331" s="3062"/>
      <c r="G331" s="3062"/>
    </row>
    <row r="332" spans="2:7" s="563" customFormat="1" ht="12" x14ac:dyDescent="0.2">
      <c r="B332" s="2261"/>
      <c r="C332" s="3065"/>
      <c r="D332" s="2262"/>
      <c r="E332" s="2263"/>
      <c r="F332" s="3128"/>
      <c r="G332" s="3107"/>
    </row>
    <row r="333" spans="2:7" s="563" customFormat="1" ht="12" x14ac:dyDescent="0.2">
      <c r="B333" s="2261" t="s">
        <v>8</v>
      </c>
      <c r="C333" s="3065" t="s">
        <v>655</v>
      </c>
      <c r="D333" s="2262" t="s">
        <v>644</v>
      </c>
      <c r="E333" s="2263">
        <v>60</v>
      </c>
      <c r="F333" s="3130">
        <v>0</v>
      </c>
      <c r="G333" s="3110">
        <f>E333*F333</f>
        <v>0</v>
      </c>
    </row>
    <row r="334" spans="2:7" s="563" customFormat="1" ht="12" x14ac:dyDescent="0.2">
      <c r="B334" s="2261"/>
      <c r="C334" s="3065"/>
      <c r="D334" s="2262"/>
      <c r="E334" s="2263"/>
      <c r="F334" s="3128"/>
      <c r="G334" s="3107"/>
    </row>
    <row r="335" spans="2:7" s="563" customFormat="1" ht="36" x14ac:dyDescent="0.2">
      <c r="B335" s="2261" t="s">
        <v>15</v>
      </c>
      <c r="C335" s="3065" t="s">
        <v>656</v>
      </c>
      <c r="D335" s="2262" t="s">
        <v>553</v>
      </c>
      <c r="E335" s="2263">
        <v>1</v>
      </c>
      <c r="F335" s="3130">
        <v>0</v>
      </c>
      <c r="G335" s="3110">
        <f>E335*F335</f>
        <v>0</v>
      </c>
    </row>
    <row r="336" spans="2:7" s="563" customFormat="1" ht="12" x14ac:dyDescent="0.2">
      <c r="B336" s="2261"/>
      <c r="C336" s="3065"/>
      <c r="D336" s="2262"/>
      <c r="E336" s="2263"/>
      <c r="F336" s="3128"/>
      <c r="G336" s="3107"/>
    </row>
    <row r="337" spans="2:7" s="563" customFormat="1" ht="36" x14ac:dyDescent="0.2">
      <c r="B337" s="2261" t="s">
        <v>20</v>
      </c>
      <c r="C337" s="3065" t="s">
        <v>657</v>
      </c>
      <c r="D337" s="2262" t="s">
        <v>553</v>
      </c>
      <c r="E337" s="2263">
        <v>1</v>
      </c>
      <c r="F337" s="3130">
        <v>0</v>
      </c>
      <c r="G337" s="3110">
        <f>E337*F337</f>
        <v>0</v>
      </c>
    </row>
    <row r="338" spans="2:7" s="563" customFormat="1" ht="12" x14ac:dyDescent="0.2">
      <c r="B338" s="2261"/>
      <c r="C338" s="3065"/>
      <c r="D338" s="2262"/>
      <c r="E338" s="2263"/>
      <c r="F338" s="3128"/>
      <c r="G338" s="3107"/>
    </row>
    <row r="339" spans="2:7" s="563" customFormat="1" ht="24" x14ac:dyDescent="0.2">
      <c r="B339" s="2261" t="s">
        <v>24</v>
      </c>
      <c r="C339" s="3065" t="s">
        <v>658</v>
      </c>
      <c r="D339" s="2262" t="s">
        <v>644</v>
      </c>
      <c r="E339" s="2263">
        <f>2*5.36+6.36+4*3+4*5</f>
        <v>49.08</v>
      </c>
      <c r="F339" s="3130">
        <v>0</v>
      </c>
      <c r="G339" s="3110">
        <f>E339*F339</f>
        <v>0</v>
      </c>
    </row>
    <row r="340" spans="2:7" s="563" customFormat="1" ht="12" x14ac:dyDescent="0.2">
      <c r="B340" s="2261"/>
      <c r="C340" s="3065"/>
      <c r="D340" s="2262"/>
      <c r="E340" s="2263"/>
      <c r="F340" s="3128"/>
      <c r="G340" s="3107"/>
    </row>
    <row r="341" spans="2:7" s="563" customFormat="1" ht="12" x14ac:dyDescent="0.2">
      <c r="B341" s="2261" t="s">
        <v>29</v>
      </c>
      <c r="C341" s="3065" t="s">
        <v>659</v>
      </c>
      <c r="D341" s="2262" t="s">
        <v>553</v>
      </c>
      <c r="E341" s="2263">
        <v>1</v>
      </c>
      <c r="F341" s="3130">
        <v>0</v>
      </c>
      <c r="G341" s="3110">
        <f>E341*F341</f>
        <v>0</v>
      </c>
    </row>
    <row r="342" spans="2:7" s="563" customFormat="1" ht="12" x14ac:dyDescent="0.2">
      <c r="B342" s="2261"/>
      <c r="C342" s="3065"/>
      <c r="D342" s="2262"/>
      <c r="E342" s="2263"/>
      <c r="F342" s="3128"/>
      <c r="G342" s="3107"/>
    </row>
    <row r="343" spans="2:7" s="563" customFormat="1" ht="12" x14ac:dyDescent="0.2">
      <c r="B343" s="2261" t="s">
        <v>33</v>
      </c>
      <c r="C343" s="3065" t="s">
        <v>660</v>
      </c>
      <c r="D343" s="2262" t="s">
        <v>123</v>
      </c>
      <c r="E343" s="2263">
        <v>16</v>
      </c>
      <c r="F343" s="3130">
        <v>0</v>
      </c>
      <c r="G343" s="3110">
        <f>E343*F343</f>
        <v>0</v>
      </c>
    </row>
    <row r="344" spans="2:7" s="563" customFormat="1" ht="12" x14ac:dyDescent="0.2">
      <c r="B344" s="2261"/>
      <c r="C344" s="3065"/>
      <c r="D344" s="2262"/>
      <c r="E344" s="2263"/>
      <c r="F344" s="3128"/>
      <c r="G344" s="3107"/>
    </row>
    <row r="345" spans="2:7" s="563" customFormat="1" ht="24" x14ac:dyDescent="0.2">
      <c r="B345" s="2261" t="s">
        <v>38</v>
      </c>
      <c r="C345" s="3065" t="s">
        <v>661</v>
      </c>
      <c r="D345" s="2262" t="s">
        <v>553</v>
      </c>
      <c r="E345" s="2263">
        <v>10</v>
      </c>
      <c r="F345" s="3130">
        <v>0</v>
      </c>
      <c r="G345" s="3110">
        <f>E345*F345</f>
        <v>0</v>
      </c>
    </row>
    <row r="346" spans="2:7" s="563" customFormat="1" ht="12" x14ac:dyDescent="0.2">
      <c r="B346" s="2261"/>
      <c r="C346" s="3065"/>
      <c r="D346" s="2262"/>
      <c r="E346" s="2263"/>
      <c r="F346" s="3128"/>
      <c r="G346" s="3107"/>
    </row>
    <row r="347" spans="2:7" s="563" customFormat="1" ht="12" x14ac:dyDescent="0.2">
      <c r="B347" s="2261" t="s">
        <v>43</v>
      </c>
      <c r="C347" s="3065" t="s">
        <v>662</v>
      </c>
      <c r="D347" s="2262" t="s">
        <v>553</v>
      </c>
      <c r="E347" s="2263">
        <v>2</v>
      </c>
      <c r="F347" s="3130">
        <v>0</v>
      </c>
      <c r="G347" s="3110">
        <f>E347*F347</f>
        <v>0</v>
      </c>
    </row>
    <row r="348" spans="2:7" s="563" customFormat="1" ht="12" x14ac:dyDescent="0.2">
      <c r="B348" s="2261"/>
      <c r="C348" s="3065"/>
      <c r="D348" s="2262"/>
      <c r="E348" s="2263"/>
      <c r="F348" s="3128"/>
      <c r="G348" s="3107"/>
    </row>
    <row r="349" spans="2:7" s="563" customFormat="1" ht="12" x14ac:dyDescent="0.2">
      <c r="B349" s="2261" t="s">
        <v>562</v>
      </c>
      <c r="C349" s="3065" t="s">
        <v>663</v>
      </c>
      <c r="D349" s="2262" t="s">
        <v>553</v>
      </c>
      <c r="E349" s="2263">
        <v>1</v>
      </c>
      <c r="F349" s="3130">
        <v>0</v>
      </c>
      <c r="G349" s="3110">
        <f>E349*F349</f>
        <v>0</v>
      </c>
    </row>
    <row r="350" spans="2:7" s="563" customFormat="1" ht="12" x14ac:dyDescent="0.2">
      <c r="B350" s="2261"/>
      <c r="C350" s="3065"/>
      <c r="D350" s="2262"/>
      <c r="E350" s="2263"/>
      <c r="F350" s="3128"/>
      <c r="G350" s="3107"/>
    </row>
    <row r="351" spans="2:7" s="563" customFormat="1" ht="12" x14ac:dyDescent="0.2">
      <c r="B351" s="2261"/>
      <c r="C351" s="98"/>
      <c r="D351" s="2266"/>
      <c r="E351" s="2267"/>
      <c r="F351" s="3062"/>
      <c r="G351" s="3062"/>
    </row>
    <row r="352" spans="2:7" s="563" customFormat="1" ht="12" x14ac:dyDescent="0.2">
      <c r="B352" s="2261"/>
      <c r="C352" s="98"/>
      <c r="D352" s="2266"/>
      <c r="E352" s="2267"/>
      <c r="F352" s="3062"/>
      <c r="G352" s="3062"/>
    </row>
    <row r="353" spans="2:7" s="563" customFormat="1" ht="12" x14ac:dyDescent="0.2">
      <c r="B353" s="3053" t="s">
        <v>664</v>
      </c>
      <c r="C353" s="2270" t="s">
        <v>665</v>
      </c>
      <c r="D353" s="2266"/>
      <c r="E353" s="2267"/>
      <c r="F353" s="3062"/>
      <c r="G353" s="3062"/>
    </row>
    <row r="354" spans="2:7" s="563" customFormat="1" ht="12" x14ac:dyDescent="0.2">
      <c r="B354" s="2261"/>
      <c r="C354" s="98"/>
      <c r="D354" s="2266"/>
      <c r="E354" s="2267"/>
      <c r="F354" s="3062"/>
      <c r="G354" s="3062"/>
    </row>
    <row r="355" spans="2:7" s="563" customFormat="1" ht="36" x14ac:dyDescent="0.2">
      <c r="B355" s="2261" t="s">
        <v>8</v>
      </c>
      <c r="C355" s="3065" t="s">
        <v>666</v>
      </c>
      <c r="D355" s="2262" t="s">
        <v>644</v>
      </c>
      <c r="E355" s="2263">
        <v>21</v>
      </c>
      <c r="F355" s="3133">
        <v>0</v>
      </c>
      <c r="G355" s="3110">
        <f>E355*F355</f>
        <v>0</v>
      </c>
    </row>
    <row r="356" spans="2:7" s="563" customFormat="1" ht="12" x14ac:dyDescent="0.2">
      <c r="B356" s="2261"/>
      <c r="C356" s="3065"/>
      <c r="D356" s="2262"/>
      <c r="E356" s="2263"/>
      <c r="F356" s="3128"/>
      <c r="G356" s="3107"/>
    </row>
    <row r="357" spans="2:7" s="563" customFormat="1" ht="12" x14ac:dyDescent="0.2">
      <c r="B357" s="2261" t="s">
        <v>15</v>
      </c>
      <c r="C357" s="3065" t="s">
        <v>667</v>
      </c>
      <c r="D357" s="2262" t="s">
        <v>644</v>
      </c>
      <c r="E357" s="2263">
        <v>60</v>
      </c>
      <c r="F357" s="3133">
        <v>0</v>
      </c>
      <c r="G357" s="3110">
        <f>E357*F357</f>
        <v>0</v>
      </c>
    </row>
    <row r="358" spans="2:7" s="563" customFormat="1" ht="12" x14ac:dyDescent="0.2">
      <c r="B358" s="2261"/>
      <c r="C358" s="3065"/>
      <c r="D358" s="2262"/>
      <c r="E358" s="2263"/>
      <c r="F358" s="3128"/>
      <c r="G358" s="3107"/>
    </row>
    <row r="359" spans="2:7" s="563" customFormat="1" ht="12" x14ac:dyDescent="0.2">
      <c r="B359" s="2261" t="s">
        <v>20</v>
      </c>
      <c r="C359" s="3065" t="s">
        <v>668</v>
      </c>
      <c r="D359" s="2262" t="s">
        <v>644</v>
      </c>
      <c r="E359" s="2263">
        <v>30</v>
      </c>
      <c r="F359" s="3133">
        <v>0</v>
      </c>
      <c r="G359" s="3110">
        <f>E359*F359</f>
        <v>0</v>
      </c>
    </row>
    <row r="360" spans="2:7" s="563" customFormat="1" ht="12" x14ac:dyDescent="0.2">
      <c r="B360" s="2261"/>
      <c r="C360" s="3065"/>
      <c r="D360" s="2262"/>
      <c r="E360" s="2263"/>
      <c r="F360" s="3128"/>
      <c r="G360" s="3107"/>
    </row>
    <row r="361" spans="2:7" s="563" customFormat="1" ht="12" x14ac:dyDescent="0.2">
      <c r="B361" s="2261" t="s">
        <v>24</v>
      </c>
      <c r="C361" s="3065" t="s">
        <v>669</v>
      </c>
      <c r="D361" s="2262" t="s">
        <v>123</v>
      </c>
      <c r="E361" s="2263">
        <v>1</v>
      </c>
      <c r="F361" s="3133">
        <v>0</v>
      </c>
      <c r="G361" s="3110">
        <f>E361*F361</f>
        <v>0</v>
      </c>
    </row>
    <row r="362" spans="2:7" s="563" customFormat="1" ht="12" x14ac:dyDescent="0.2">
      <c r="B362" s="2261"/>
      <c r="C362" s="3065"/>
      <c r="D362" s="2262"/>
      <c r="E362" s="2263"/>
      <c r="F362" s="3128"/>
      <c r="G362" s="3107"/>
    </row>
    <row r="363" spans="2:7" s="563" customFormat="1" ht="51" customHeight="1" x14ac:dyDescent="0.2">
      <c r="B363" s="2261" t="s">
        <v>29</v>
      </c>
      <c r="C363" s="3037" t="s">
        <v>670</v>
      </c>
      <c r="D363" s="2262" t="s">
        <v>123</v>
      </c>
      <c r="E363" s="2263">
        <v>1</v>
      </c>
      <c r="F363" s="3133">
        <v>0</v>
      </c>
      <c r="G363" s="3110">
        <f>E363*F363</f>
        <v>0</v>
      </c>
    </row>
    <row r="364" spans="2:7" s="563" customFormat="1" ht="12" x14ac:dyDescent="0.2">
      <c r="B364" s="2261"/>
      <c r="C364" s="3037"/>
      <c r="D364" s="2262"/>
      <c r="E364" s="2263"/>
      <c r="F364" s="3128"/>
      <c r="G364" s="3107"/>
    </row>
    <row r="365" spans="2:7" s="563" customFormat="1" ht="12" x14ac:dyDescent="0.2">
      <c r="B365" s="2261" t="s">
        <v>33</v>
      </c>
      <c r="C365" s="3037" t="s">
        <v>671</v>
      </c>
      <c r="D365" s="2262" t="s">
        <v>123</v>
      </c>
      <c r="E365" s="2263">
        <v>1</v>
      </c>
      <c r="F365" s="3133">
        <v>0</v>
      </c>
      <c r="G365" s="3110">
        <f>E365*F365</f>
        <v>0</v>
      </c>
    </row>
    <row r="366" spans="2:7" s="563" customFormat="1" ht="12" x14ac:dyDescent="0.2">
      <c r="B366" s="2261"/>
      <c r="C366" s="3037"/>
      <c r="D366" s="2262"/>
      <c r="E366" s="2263"/>
      <c r="F366" s="3128"/>
      <c r="G366" s="3107"/>
    </row>
    <row r="367" spans="2:7" s="563" customFormat="1" ht="12" x14ac:dyDescent="0.2">
      <c r="B367" s="2261" t="s">
        <v>38</v>
      </c>
      <c r="C367" s="3037" t="s">
        <v>672</v>
      </c>
      <c r="D367" s="2262" t="s">
        <v>123</v>
      </c>
      <c r="E367" s="2263">
        <v>1</v>
      </c>
      <c r="F367" s="3133">
        <v>0</v>
      </c>
      <c r="G367" s="3110">
        <f>E367*F367</f>
        <v>0</v>
      </c>
    </row>
    <row r="368" spans="2:7" s="563" customFormat="1" ht="12" x14ac:dyDescent="0.2">
      <c r="B368" s="2261"/>
      <c r="C368" s="3065"/>
      <c r="D368" s="2262"/>
      <c r="E368" s="2263"/>
      <c r="F368" s="3128"/>
      <c r="G368" s="3107"/>
    </row>
    <row r="369" spans="2:7" s="563" customFormat="1" ht="24" x14ac:dyDescent="0.2">
      <c r="B369" s="2261" t="s">
        <v>43</v>
      </c>
      <c r="C369" s="3065" t="s">
        <v>673</v>
      </c>
      <c r="D369" s="2262" t="s">
        <v>123</v>
      </c>
      <c r="E369" s="2263">
        <v>4</v>
      </c>
      <c r="F369" s="3133">
        <v>0</v>
      </c>
      <c r="G369" s="3110">
        <f>E369*F369</f>
        <v>0</v>
      </c>
    </row>
    <row r="370" spans="2:7" s="563" customFormat="1" ht="12" x14ac:dyDescent="0.2">
      <c r="B370" s="2261"/>
      <c r="C370" s="3065"/>
      <c r="D370" s="2262"/>
      <c r="E370" s="2263"/>
      <c r="F370" s="3128"/>
      <c r="G370" s="3107"/>
    </row>
    <row r="371" spans="2:7" s="563" customFormat="1" ht="12" x14ac:dyDescent="0.2">
      <c r="B371" s="2261" t="s">
        <v>562</v>
      </c>
      <c r="C371" s="3065" t="s">
        <v>674</v>
      </c>
      <c r="D371" s="2262" t="s">
        <v>123</v>
      </c>
      <c r="E371" s="2263">
        <v>1</v>
      </c>
      <c r="F371" s="3133">
        <v>0</v>
      </c>
      <c r="G371" s="3110">
        <f>E371*F371</f>
        <v>0</v>
      </c>
    </row>
    <row r="372" spans="2:7" s="563" customFormat="1" ht="12" x14ac:dyDescent="0.2">
      <c r="B372" s="2261"/>
      <c r="C372" s="3065"/>
      <c r="D372" s="2262"/>
      <c r="E372" s="2263"/>
      <c r="F372" s="3128"/>
      <c r="G372" s="3107"/>
    </row>
    <row r="373" spans="2:7" s="563" customFormat="1" ht="12" x14ac:dyDescent="0.2">
      <c r="B373" s="2261" t="s">
        <v>564</v>
      </c>
      <c r="C373" s="3065" t="s">
        <v>675</v>
      </c>
      <c r="D373" s="2262" t="s">
        <v>123</v>
      </c>
      <c r="E373" s="2263">
        <v>2</v>
      </c>
      <c r="F373" s="3133">
        <v>0</v>
      </c>
      <c r="G373" s="3110">
        <f>E373*F373</f>
        <v>0</v>
      </c>
    </row>
    <row r="374" spans="2:7" s="563" customFormat="1" ht="12" x14ac:dyDescent="0.2">
      <c r="B374" s="2261"/>
      <c r="C374" s="3065"/>
      <c r="D374" s="2262"/>
      <c r="E374" s="2263"/>
      <c r="F374" s="3128"/>
      <c r="G374" s="3107"/>
    </row>
    <row r="375" spans="2:7" s="563" customFormat="1" ht="12" x14ac:dyDescent="0.2">
      <c r="B375" s="2261" t="s">
        <v>566</v>
      </c>
      <c r="C375" s="3065" t="s">
        <v>676</v>
      </c>
      <c r="D375" s="2262" t="s">
        <v>123</v>
      </c>
      <c r="E375" s="2263">
        <v>2</v>
      </c>
      <c r="F375" s="3133">
        <v>0</v>
      </c>
      <c r="G375" s="3110">
        <f>E375*F375</f>
        <v>0</v>
      </c>
    </row>
    <row r="376" spans="2:7" s="563" customFormat="1" ht="12" x14ac:dyDescent="0.2">
      <c r="B376" s="2261"/>
      <c r="C376" s="3065"/>
      <c r="D376" s="2262"/>
      <c r="E376" s="2263"/>
      <c r="F376" s="3128"/>
      <c r="G376" s="3107"/>
    </row>
    <row r="377" spans="2:7" s="563" customFormat="1" ht="30" customHeight="1" x14ac:dyDescent="0.2">
      <c r="B377" s="2261" t="s">
        <v>568</v>
      </c>
      <c r="C377" s="3065" t="s">
        <v>677</v>
      </c>
      <c r="D377" s="2262" t="s">
        <v>123</v>
      </c>
      <c r="E377" s="2263">
        <v>1</v>
      </c>
      <c r="F377" s="3133">
        <v>0</v>
      </c>
      <c r="G377" s="3110">
        <f>E377*F377</f>
        <v>0</v>
      </c>
    </row>
    <row r="378" spans="2:7" s="563" customFormat="1" ht="12" x14ac:dyDescent="0.2">
      <c r="B378" s="2261"/>
      <c r="C378" s="3065"/>
      <c r="D378" s="2262"/>
      <c r="E378" s="2263"/>
      <c r="F378" s="3128"/>
      <c r="G378" s="3107"/>
    </row>
    <row r="379" spans="2:7" s="563" customFormat="1" ht="12" x14ac:dyDescent="0.2">
      <c r="B379" s="2261"/>
      <c r="C379" s="98"/>
      <c r="D379" s="2266"/>
      <c r="E379" s="2267"/>
      <c r="F379" s="3062"/>
      <c r="G379" s="3062"/>
    </row>
    <row r="380" spans="2:7" s="563" customFormat="1" ht="12" x14ac:dyDescent="0.2">
      <c r="B380" s="3053" t="s">
        <v>678</v>
      </c>
      <c r="C380" s="2270" t="s">
        <v>679</v>
      </c>
      <c r="D380" s="2266"/>
      <c r="E380" s="2267"/>
      <c r="F380" s="3062"/>
      <c r="G380" s="3062"/>
    </row>
    <row r="381" spans="2:7" s="563" customFormat="1" ht="12" x14ac:dyDescent="0.2">
      <c r="B381" s="2261"/>
      <c r="C381" s="98"/>
      <c r="D381" s="2266"/>
      <c r="E381" s="2267"/>
      <c r="F381" s="3062"/>
      <c r="G381" s="3062"/>
    </row>
    <row r="382" spans="2:7" s="563" customFormat="1" ht="12" x14ac:dyDescent="0.2">
      <c r="B382" s="2261" t="s">
        <v>8</v>
      </c>
      <c r="C382" s="3073" t="s">
        <v>680</v>
      </c>
      <c r="D382" s="2262" t="s">
        <v>553</v>
      </c>
      <c r="E382" s="2263">
        <v>12</v>
      </c>
      <c r="F382" s="3133">
        <v>0</v>
      </c>
      <c r="G382" s="3110">
        <f>E382*F382</f>
        <v>0</v>
      </c>
    </row>
    <row r="383" spans="2:7" s="563" customFormat="1" ht="12" x14ac:dyDescent="0.2">
      <c r="B383" s="2261"/>
      <c r="C383" s="548"/>
      <c r="D383" s="2262"/>
      <c r="E383" s="2263"/>
      <c r="F383" s="3128"/>
      <c r="G383" s="3107"/>
    </row>
    <row r="384" spans="2:7" s="563" customFormat="1" ht="12" x14ac:dyDescent="0.2">
      <c r="B384" s="2261" t="s">
        <v>15</v>
      </c>
      <c r="C384" s="3073" t="s">
        <v>681</v>
      </c>
      <c r="D384" s="2262" t="s">
        <v>553</v>
      </c>
      <c r="E384" s="2263">
        <v>1</v>
      </c>
      <c r="F384" s="3133">
        <v>0</v>
      </c>
      <c r="G384" s="3110">
        <f>E384*F384</f>
        <v>0</v>
      </c>
    </row>
    <row r="385" spans="2:8" s="563" customFormat="1" ht="12" x14ac:dyDescent="0.2">
      <c r="B385" s="2261"/>
      <c r="C385" s="548"/>
      <c r="D385" s="2262"/>
      <c r="E385" s="2263"/>
      <c r="F385" s="3128"/>
      <c r="G385" s="3107"/>
    </row>
    <row r="386" spans="2:8" s="563" customFormat="1" ht="72" x14ac:dyDescent="0.2">
      <c r="B386" s="2261" t="s">
        <v>20</v>
      </c>
      <c r="C386" s="548" t="s">
        <v>777</v>
      </c>
      <c r="D386" s="2262" t="s">
        <v>553</v>
      </c>
      <c r="E386" s="2263">
        <v>1</v>
      </c>
      <c r="F386" s="3133">
        <v>0</v>
      </c>
      <c r="G386" s="3110">
        <f>E386*F386</f>
        <v>0</v>
      </c>
      <c r="H386" s="3036"/>
    </row>
    <row r="387" spans="2:8" s="563" customFormat="1" ht="12" x14ac:dyDescent="0.2">
      <c r="B387" s="2261"/>
      <c r="C387" s="548"/>
      <c r="D387" s="2262"/>
      <c r="E387" s="2263"/>
      <c r="F387" s="3128"/>
      <c r="G387" s="3107"/>
      <c r="H387" s="3032"/>
    </row>
    <row r="388" spans="2:8" s="719" customFormat="1" ht="84" x14ac:dyDescent="0.2">
      <c r="B388" s="3074" t="s">
        <v>24</v>
      </c>
      <c r="C388" s="3075" t="s">
        <v>778</v>
      </c>
      <c r="D388" s="3076" t="s">
        <v>553</v>
      </c>
      <c r="E388" s="3077">
        <v>1</v>
      </c>
      <c r="F388" s="3133">
        <v>0</v>
      </c>
      <c r="G388" s="3110">
        <f>E388*F388</f>
        <v>0</v>
      </c>
      <c r="H388" s="3036"/>
    </row>
    <row r="389" spans="2:8" s="563" customFormat="1" ht="12" x14ac:dyDescent="0.2">
      <c r="B389" s="2261"/>
      <c r="C389" s="548"/>
      <c r="D389" s="2262"/>
      <c r="E389" s="2263"/>
      <c r="F389" s="3128"/>
      <c r="G389" s="3107"/>
      <c r="H389" s="3032"/>
    </row>
    <row r="390" spans="2:8" s="563" customFormat="1" ht="48" x14ac:dyDescent="0.2">
      <c r="B390" s="2261" t="s">
        <v>29</v>
      </c>
      <c r="C390" s="548" t="s">
        <v>817</v>
      </c>
      <c r="D390" s="2262" t="s">
        <v>553</v>
      </c>
      <c r="E390" s="2263">
        <v>1</v>
      </c>
      <c r="F390" s="3133">
        <v>0</v>
      </c>
      <c r="G390" s="3110">
        <f>E390*F390</f>
        <v>0</v>
      </c>
      <c r="H390" s="3036"/>
    </row>
    <row r="391" spans="2:8" s="563" customFormat="1" ht="12" x14ac:dyDescent="0.2">
      <c r="B391" s="2261"/>
      <c r="C391" s="548"/>
      <c r="D391" s="2262"/>
      <c r="E391" s="2263"/>
      <c r="F391" s="3128"/>
      <c r="G391" s="3107"/>
      <c r="H391" s="3032"/>
    </row>
    <row r="392" spans="2:8" s="563" customFormat="1" ht="36" x14ac:dyDescent="0.2">
      <c r="B392" s="2261" t="s">
        <v>33</v>
      </c>
      <c r="C392" s="548" t="s">
        <v>790</v>
      </c>
      <c r="D392" s="2262" t="s">
        <v>553</v>
      </c>
      <c r="E392" s="2263">
        <v>1</v>
      </c>
      <c r="F392" s="3133">
        <v>0</v>
      </c>
      <c r="G392" s="3110">
        <f>E392*F392</f>
        <v>0</v>
      </c>
      <c r="H392" s="3036"/>
    </row>
    <row r="393" spans="2:8" s="563" customFormat="1" ht="12" x14ac:dyDescent="0.2">
      <c r="B393" s="2261"/>
      <c r="C393" s="548"/>
      <c r="D393" s="2262"/>
      <c r="E393" s="2263"/>
      <c r="F393" s="3128"/>
      <c r="G393" s="3107"/>
      <c r="H393" s="3035"/>
    </row>
    <row r="394" spans="2:8" s="563" customFormat="1" ht="36" x14ac:dyDescent="0.2">
      <c r="B394" s="2261" t="s">
        <v>38</v>
      </c>
      <c r="C394" s="3078" t="s">
        <v>791</v>
      </c>
      <c r="D394" s="2262" t="s">
        <v>553</v>
      </c>
      <c r="E394" s="2263">
        <v>1</v>
      </c>
      <c r="F394" s="3133">
        <v>0</v>
      </c>
      <c r="G394" s="3110">
        <f>E394*F394</f>
        <v>0</v>
      </c>
      <c r="H394" s="3036"/>
    </row>
    <row r="395" spans="2:8" s="563" customFormat="1" ht="12" x14ac:dyDescent="0.2">
      <c r="B395" s="2261"/>
      <c r="C395" s="548"/>
      <c r="D395" s="2262"/>
      <c r="E395" s="2263"/>
      <c r="F395" s="3128"/>
      <c r="G395" s="3107"/>
    </row>
    <row r="396" spans="2:8" s="563" customFormat="1" ht="48" x14ac:dyDescent="0.2">
      <c r="B396" s="2261" t="s">
        <v>43</v>
      </c>
      <c r="C396" s="548" t="s">
        <v>792</v>
      </c>
      <c r="D396" s="2262" t="s">
        <v>553</v>
      </c>
      <c r="E396" s="2263">
        <v>1</v>
      </c>
      <c r="F396" s="3133">
        <v>0</v>
      </c>
      <c r="G396" s="3110">
        <f>E396*F396</f>
        <v>0</v>
      </c>
      <c r="H396" s="3036"/>
    </row>
    <row r="397" spans="2:8" s="563" customFormat="1" ht="12" x14ac:dyDescent="0.2">
      <c r="B397" s="2261"/>
      <c r="C397" s="3065"/>
      <c r="D397" s="2262"/>
      <c r="E397" s="2263"/>
      <c r="F397" s="3128"/>
      <c r="G397" s="3107"/>
    </row>
    <row r="398" spans="2:8" s="563" customFormat="1" ht="12" x14ac:dyDescent="0.2">
      <c r="B398" s="2261"/>
      <c r="C398" s="3065"/>
      <c r="D398" s="2262"/>
      <c r="E398" s="2263"/>
      <c r="F398" s="3128"/>
      <c r="G398" s="3107"/>
      <c r="H398" s="720"/>
    </row>
    <row r="399" spans="2:8" s="563" customFormat="1" ht="12" x14ac:dyDescent="0.2">
      <c r="B399" s="2261"/>
      <c r="C399" s="98"/>
      <c r="D399" s="2266"/>
      <c r="E399" s="2267"/>
      <c r="F399" s="3062"/>
      <c r="G399" s="3062"/>
    </row>
    <row r="400" spans="2:8" s="563" customFormat="1" ht="12" x14ac:dyDescent="0.2">
      <c r="B400" s="2152"/>
      <c r="C400" s="2270"/>
      <c r="D400" s="2271"/>
      <c r="E400" s="2272"/>
      <c r="F400" s="3115"/>
      <c r="G400" s="3109"/>
    </row>
    <row r="401" spans="2:7" s="563" customFormat="1" ht="12" x14ac:dyDescent="0.2">
      <c r="B401" s="2261"/>
      <c r="C401" s="548"/>
      <c r="D401" s="2262"/>
      <c r="E401" s="2263"/>
      <c r="F401" s="3128"/>
      <c r="G401" s="3107"/>
    </row>
    <row r="402" spans="2:7" s="563" customFormat="1" ht="12" x14ac:dyDescent="0.2">
      <c r="B402" s="3053" t="s">
        <v>688</v>
      </c>
      <c r="C402" s="2270" t="s">
        <v>689</v>
      </c>
      <c r="D402" s="2266"/>
      <c r="E402" s="2267"/>
      <c r="F402" s="3062"/>
      <c r="G402" s="3062"/>
    </row>
    <row r="403" spans="2:7" s="563" customFormat="1" ht="12" x14ac:dyDescent="0.2">
      <c r="B403" s="3079"/>
      <c r="C403" s="97"/>
      <c r="D403" s="3080"/>
      <c r="E403" s="3081"/>
      <c r="F403" s="3115"/>
      <c r="G403" s="3115"/>
    </row>
    <row r="404" spans="2:7" s="563" customFormat="1" ht="132" x14ac:dyDescent="0.2">
      <c r="B404" s="2261" t="s">
        <v>8</v>
      </c>
      <c r="C404" s="3082" t="s">
        <v>2279</v>
      </c>
      <c r="D404" s="2262" t="s">
        <v>553</v>
      </c>
      <c r="E404" s="2263">
        <v>1</v>
      </c>
      <c r="F404" s="3133">
        <v>0</v>
      </c>
      <c r="G404" s="3110">
        <f>E404*F404</f>
        <v>0</v>
      </c>
    </row>
    <row r="405" spans="2:7" s="563" customFormat="1" ht="12" x14ac:dyDescent="0.2">
      <c r="B405" s="2261"/>
      <c r="C405" s="548"/>
      <c r="D405" s="2262"/>
      <c r="E405" s="2263"/>
      <c r="F405" s="3128"/>
      <c r="G405" s="3107"/>
    </row>
    <row r="406" spans="2:7" s="563" customFormat="1" ht="24" x14ac:dyDescent="0.2">
      <c r="B406" s="2261" t="s">
        <v>15</v>
      </c>
      <c r="C406" s="99" t="s">
        <v>2280</v>
      </c>
      <c r="D406" s="2262" t="s">
        <v>553</v>
      </c>
      <c r="E406" s="2263">
        <v>2</v>
      </c>
      <c r="F406" s="3133">
        <v>0</v>
      </c>
      <c r="G406" s="3110">
        <f>E406*F406</f>
        <v>0</v>
      </c>
    </row>
    <row r="407" spans="2:7" s="563" customFormat="1" ht="12" x14ac:dyDescent="0.2">
      <c r="B407" s="2261"/>
      <c r="C407" s="3073"/>
      <c r="D407" s="2262"/>
      <c r="E407" s="2263"/>
      <c r="F407" s="3128"/>
      <c r="G407" s="3107"/>
    </row>
    <row r="408" spans="2:7" s="563" customFormat="1" ht="24" x14ac:dyDescent="0.2">
      <c r="B408" s="2261" t="s">
        <v>20</v>
      </c>
      <c r="C408" s="3083" t="s">
        <v>2281</v>
      </c>
      <c r="D408" s="2262" t="s">
        <v>553</v>
      </c>
      <c r="E408" s="2263">
        <v>1</v>
      </c>
      <c r="F408" s="3133">
        <v>0</v>
      </c>
      <c r="G408" s="3110">
        <f>E408*F408</f>
        <v>0</v>
      </c>
    </row>
    <row r="409" spans="2:7" s="563" customFormat="1" ht="12" x14ac:dyDescent="0.2">
      <c r="B409" s="2261"/>
      <c r="C409" s="3073"/>
      <c r="D409" s="2262"/>
      <c r="E409" s="2263"/>
      <c r="F409" s="3128"/>
      <c r="G409" s="3107"/>
    </row>
    <row r="410" spans="2:7" s="563" customFormat="1" ht="108" x14ac:dyDescent="0.2">
      <c r="B410" s="2261" t="s">
        <v>24</v>
      </c>
      <c r="C410" s="98" t="s">
        <v>693</v>
      </c>
      <c r="D410" s="2266" t="s">
        <v>644</v>
      </c>
      <c r="E410" s="2267">
        <v>75</v>
      </c>
      <c r="F410" s="3133">
        <v>0</v>
      </c>
      <c r="G410" s="3110">
        <f>E410*F410</f>
        <v>0</v>
      </c>
    </row>
    <row r="411" spans="2:7" s="563" customFormat="1" ht="12" x14ac:dyDescent="0.2">
      <c r="B411" s="2261"/>
      <c r="C411" s="98"/>
      <c r="D411" s="2266"/>
      <c r="E411" s="2267"/>
      <c r="F411" s="3062"/>
      <c r="G411" s="3107"/>
    </row>
    <row r="412" spans="2:7" s="563" customFormat="1" ht="12" x14ac:dyDescent="0.2">
      <c r="B412" s="2261" t="s">
        <v>29</v>
      </c>
      <c r="C412" s="3083" t="s">
        <v>691</v>
      </c>
      <c r="D412" s="2262" t="s">
        <v>644</v>
      </c>
      <c r="E412" s="2263">
        <v>95</v>
      </c>
      <c r="F412" s="3133">
        <v>0</v>
      </c>
      <c r="G412" s="3110">
        <f>E412*F412</f>
        <v>0</v>
      </c>
    </row>
    <row r="413" spans="2:7" s="563" customFormat="1" ht="12" x14ac:dyDescent="0.2">
      <c r="B413" s="2261"/>
      <c r="C413" s="3073"/>
      <c r="D413" s="2262"/>
      <c r="E413" s="2263"/>
      <c r="F413" s="3128"/>
      <c r="G413" s="3107"/>
    </row>
    <row r="414" spans="2:7" s="563" customFormat="1" ht="24.75" customHeight="1" x14ac:dyDescent="0.2">
      <c r="B414" s="2261" t="s">
        <v>33</v>
      </c>
      <c r="C414" s="97" t="s">
        <v>2282</v>
      </c>
      <c r="D414" s="2262" t="s">
        <v>553</v>
      </c>
      <c r="E414" s="2263">
        <v>1</v>
      </c>
      <c r="F414" s="3133">
        <v>0</v>
      </c>
      <c r="G414" s="3110">
        <f>E414*F414</f>
        <v>0</v>
      </c>
    </row>
    <row r="415" spans="2:7" s="563" customFormat="1" ht="12" x14ac:dyDescent="0.2">
      <c r="B415" s="2261"/>
      <c r="C415" s="548"/>
      <c r="D415" s="2262"/>
      <c r="E415" s="2263"/>
      <c r="F415" s="3128"/>
      <c r="G415" s="3107"/>
    </row>
    <row r="416" spans="2:7" s="563" customFormat="1" ht="24" x14ac:dyDescent="0.2">
      <c r="B416" s="2261" t="s">
        <v>38</v>
      </c>
      <c r="C416" s="548" t="s">
        <v>695</v>
      </c>
      <c r="D416" s="2262" t="s">
        <v>553</v>
      </c>
      <c r="E416" s="2263">
        <v>1</v>
      </c>
      <c r="F416" s="3133">
        <v>0</v>
      </c>
      <c r="G416" s="3110">
        <f>E416*F416</f>
        <v>0</v>
      </c>
    </row>
    <row r="417" spans="2:7" s="563" customFormat="1" ht="12" x14ac:dyDescent="0.2">
      <c r="B417" s="2261"/>
      <c r="C417" s="548"/>
      <c r="D417" s="2262"/>
      <c r="E417" s="2263"/>
      <c r="F417" s="3128"/>
      <c r="G417" s="3107"/>
    </row>
    <row r="418" spans="2:7" s="563" customFormat="1" ht="12" x14ac:dyDescent="0.2">
      <c r="B418" s="2261" t="s">
        <v>43</v>
      </c>
      <c r="C418" s="548" t="s">
        <v>696</v>
      </c>
      <c r="D418" s="2262" t="s">
        <v>644</v>
      </c>
      <c r="E418" s="2263">
        <v>60</v>
      </c>
      <c r="F418" s="3133">
        <v>0</v>
      </c>
      <c r="G418" s="3110">
        <f>E418*F418</f>
        <v>0</v>
      </c>
    </row>
    <row r="419" spans="2:7" s="563" customFormat="1" ht="12" x14ac:dyDescent="0.2">
      <c r="B419" s="2261"/>
      <c r="C419" s="548"/>
      <c r="D419" s="2262"/>
      <c r="E419" s="2263"/>
      <c r="F419" s="3128"/>
      <c r="G419" s="3107"/>
    </row>
    <row r="420" spans="2:7" s="563" customFormat="1" ht="12" x14ac:dyDescent="0.2">
      <c r="B420" s="2261" t="s">
        <v>562</v>
      </c>
      <c r="C420" s="548" t="s">
        <v>697</v>
      </c>
      <c r="D420" s="2262" t="s">
        <v>553</v>
      </c>
      <c r="E420" s="2263">
        <v>1</v>
      </c>
      <c r="F420" s="3133">
        <v>0</v>
      </c>
      <c r="G420" s="3110">
        <f>E420*F420</f>
        <v>0</v>
      </c>
    </row>
    <row r="421" spans="2:7" s="563" customFormat="1" ht="12" x14ac:dyDescent="0.2">
      <c r="B421" s="2261"/>
      <c r="C421" s="548"/>
      <c r="D421" s="2262"/>
      <c r="E421" s="2263"/>
      <c r="F421" s="3128"/>
      <c r="G421" s="3107"/>
    </row>
    <row r="422" spans="2:7" s="563" customFormat="1" ht="12" x14ac:dyDescent="0.2">
      <c r="B422" s="2261" t="s">
        <v>564</v>
      </c>
      <c r="C422" s="548" t="s">
        <v>698</v>
      </c>
      <c r="D422" s="2262" t="s">
        <v>553</v>
      </c>
      <c r="E422" s="2263">
        <v>1</v>
      </c>
      <c r="F422" s="3133">
        <v>0</v>
      </c>
      <c r="G422" s="3110">
        <f>E422*F422</f>
        <v>0</v>
      </c>
    </row>
    <row r="423" spans="2:7" s="563" customFormat="1" ht="12" x14ac:dyDescent="0.2">
      <c r="B423" s="2261"/>
      <c r="C423" s="548"/>
      <c r="D423" s="2262"/>
      <c r="E423" s="2263"/>
      <c r="F423" s="3128"/>
      <c r="G423" s="3107"/>
    </row>
    <row r="424" spans="2:7" s="563" customFormat="1" ht="24" x14ac:dyDescent="0.2">
      <c r="B424" s="2261" t="s">
        <v>566</v>
      </c>
      <c r="C424" s="548" t="s">
        <v>699</v>
      </c>
      <c r="D424" s="2262" t="s">
        <v>553</v>
      </c>
      <c r="E424" s="2263">
        <v>1</v>
      </c>
      <c r="F424" s="3133">
        <v>0</v>
      </c>
      <c r="G424" s="3110">
        <f>E424*F424</f>
        <v>0</v>
      </c>
    </row>
    <row r="425" spans="2:7" s="563" customFormat="1" ht="12" x14ac:dyDescent="0.2">
      <c r="B425" s="2261"/>
      <c r="C425" s="548"/>
      <c r="D425" s="2262"/>
      <c r="E425" s="2263"/>
      <c r="F425" s="3128"/>
      <c r="G425" s="3107"/>
    </row>
    <row r="426" spans="2:7" s="563" customFormat="1" ht="12" x14ac:dyDescent="0.2">
      <c r="B426" s="564"/>
      <c r="C426" s="547"/>
      <c r="D426" s="551"/>
      <c r="E426" s="552"/>
      <c r="F426" s="718"/>
      <c r="G426" s="718"/>
    </row>
    <row r="427" spans="2:7" s="563" customFormat="1" ht="12" x14ac:dyDescent="0.2">
      <c r="B427" s="3094" t="s">
        <v>18</v>
      </c>
      <c r="C427" s="3095" t="s">
        <v>2283</v>
      </c>
      <c r="D427" s="3096"/>
      <c r="E427" s="3097"/>
      <c r="F427" s="3134"/>
      <c r="G427" s="3116">
        <f>SUM(G186:G425)</f>
        <v>0</v>
      </c>
    </row>
    <row r="428" spans="2:7" s="3089" customFormat="1" ht="18" customHeight="1" x14ac:dyDescent="0.2">
      <c r="B428" s="3090"/>
      <c r="C428" s="3091"/>
      <c r="D428" s="3092"/>
      <c r="E428" s="3093"/>
      <c r="F428" s="3135"/>
      <c r="G428" s="3117"/>
    </row>
  </sheetData>
  <mergeCells count="12">
    <mergeCell ref="B180:G180"/>
    <mergeCell ref="B39:G39"/>
    <mergeCell ref="B56:G56"/>
    <mergeCell ref="B70:G70"/>
    <mergeCell ref="B87:G87"/>
    <mergeCell ref="B106:G106"/>
    <mergeCell ref="B174:G174"/>
    <mergeCell ref="B175:G175"/>
    <mergeCell ref="B176:G176"/>
    <mergeCell ref="B177:G177"/>
    <mergeCell ref="B178:G178"/>
    <mergeCell ref="B179:G179"/>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20" max="16383" man="1"/>
    <brk id="34"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B246-4EA4-4AB2-BCF1-22479C77C81E}">
  <sheetPr codeName="Sheet22">
    <tabColor rgb="FF7030A0"/>
  </sheetPr>
  <dimension ref="A2:L1134"/>
  <sheetViews>
    <sheetView showZeros="0" topLeftCell="A13" zoomScale="110" zoomScaleNormal="110" workbookViewId="0">
      <selection activeCell="E27" sqref="E27"/>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425781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2217</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2284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10</v>
      </c>
      <c r="C15" s="340" t="s">
        <v>85</v>
      </c>
      <c r="D15" s="341"/>
      <c r="E15" s="342"/>
      <c r="F15" s="343"/>
      <c r="G15" s="20">
        <f>G29</f>
        <v>0</v>
      </c>
      <c r="H15" s="18"/>
      <c r="I15" s="331"/>
      <c r="J15" s="331"/>
      <c r="K15" s="331"/>
      <c r="L15" s="331"/>
    </row>
    <row r="16" spans="1:12" s="17" customFormat="1" ht="18.75" customHeight="1" x14ac:dyDescent="0.25">
      <c r="A16" s="331"/>
      <c r="B16" s="332" t="s">
        <v>12</v>
      </c>
      <c r="C16" s="340" t="s">
        <v>86</v>
      </c>
      <c r="D16" s="341"/>
      <c r="E16" s="342"/>
      <c r="F16" s="343"/>
      <c r="G16" s="20">
        <f>G38</f>
        <v>0</v>
      </c>
      <c r="H16" s="18"/>
      <c r="I16" s="331"/>
      <c r="J16" s="331"/>
      <c r="K16" s="331"/>
      <c r="L16" s="331"/>
    </row>
    <row r="17" spans="1:12" s="17" customFormat="1" ht="18.75" customHeight="1" x14ac:dyDescent="0.25">
      <c r="A17" s="331"/>
      <c r="B17" s="332" t="s">
        <v>17</v>
      </c>
      <c r="C17" s="340" t="s">
        <v>87</v>
      </c>
      <c r="D17" s="341"/>
      <c r="E17" s="342"/>
      <c r="F17" s="343"/>
      <c r="G17" s="20">
        <f>G1134</f>
        <v>0</v>
      </c>
      <c r="H17" s="18"/>
      <c r="I17" s="331"/>
      <c r="J17" s="331"/>
      <c r="K17" s="331"/>
      <c r="L17" s="331"/>
    </row>
    <row r="18" spans="1:12" s="17" customFormat="1" ht="18.75" customHeight="1" x14ac:dyDescent="0.25">
      <c r="A18" s="331"/>
      <c r="B18" s="333"/>
      <c r="C18" s="344" t="s">
        <v>88</v>
      </c>
      <c r="D18" s="345"/>
      <c r="E18" s="346"/>
      <c r="F18" s="347"/>
      <c r="G18" s="19">
        <f>SUM(G15:G17)</f>
        <v>0</v>
      </c>
      <c r="H18" s="18"/>
      <c r="I18" s="331"/>
      <c r="J18" s="331"/>
      <c r="K18" s="331"/>
      <c r="L18" s="331"/>
    </row>
    <row r="19" spans="1:12" x14ac:dyDescent="0.2">
      <c r="A19" s="121"/>
      <c r="B19" s="127"/>
      <c r="C19" s="183"/>
      <c r="D19" s="184"/>
      <c r="E19" s="185"/>
      <c r="F19" s="186"/>
      <c r="G19" s="187"/>
      <c r="H19" s="122"/>
      <c r="I19" s="121"/>
      <c r="J19" s="121"/>
      <c r="K19" s="121"/>
      <c r="L19" s="121"/>
    </row>
    <row r="21" spans="1:12" ht="24" x14ac:dyDescent="0.2">
      <c r="A21" s="121"/>
      <c r="B21" s="128" t="s">
        <v>83</v>
      </c>
      <c r="C21" s="192" t="s">
        <v>89</v>
      </c>
      <c r="D21" s="193" t="s">
        <v>90</v>
      </c>
      <c r="E21" s="194" t="s">
        <v>91</v>
      </c>
      <c r="F21" s="195" t="s">
        <v>92</v>
      </c>
      <c r="G21" s="196" t="s">
        <v>93</v>
      </c>
      <c r="H21" s="122"/>
      <c r="I21" s="121"/>
      <c r="J21" s="121"/>
      <c r="K21" s="121"/>
      <c r="L21" s="121"/>
    </row>
    <row r="22" spans="1:12" x14ac:dyDescent="0.2">
      <c r="A22" s="121"/>
      <c r="B22" s="129"/>
      <c r="C22" s="197"/>
      <c r="D22" s="198"/>
      <c r="E22" s="199"/>
      <c r="F22" s="200"/>
      <c r="G22" s="201"/>
      <c r="H22" s="122"/>
      <c r="I22" s="121"/>
      <c r="J22" s="121"/>
      <c r="K22" s="121"/>
      <c r="L22" s="121"/>
    </row>
    <row r="23" spans="1:12" s="16" customFormat="1" ht="20.25" x14ac:dyDescent="0.3">
      <c r="A23" s="295"/>
      <c r="B23" s="303" t="s">
        <v>10</v>
      </c>
      <c r="C23" s="306" t="s">
        <v>85</v>
      </c>
      <c r="D23" s="305"/>
      <c r="E23" s="299"/>
      <c r="F23" s="300"/>
      <c r="G23" s="301"/>
      <c r="H23" s="302"/>
      <c r="I23" s="295"/>
      <c r="J23" s="295"/>
      <c r="K23" s="295"/>
      <c r="L23" s="295"/>
    </row>
    <row r="24" spans="1:12" ht="27.75" customHeight="1" x14ac:dyDescent="0.2">
      <c r="A24" s="74"/>
      <c r="B24" s="96">
        <v>1</v>
      </c>
      <c r="C24" s="95" t="s">
        <v>1719</v>
      </c>
      <c r="D24" s="94" t="s">
        <v>98</v>
      </c>
      <c r="E24" s="85">
        <v>1</v>
      </c>
      <c r="F24" s="84">
        <v>0</v>
      </c>
      <c r="G24" s="89">
        <f>E24*F24</f>
        <v>0</v>
      </c>
      <c r="H24" s="76"/>
      <c r="I24" s="74"/>
      <c r="J24" s="74"/>
      <c r="K24" s="74"/>
      <c r="L24" s="74"/>
    </row>
    <row r="25" spans="1:12" ht="36" x14ac:dyDescent="0.2">
      <c r="A25" s="74"/>
      <c r="B25" s="92">
        <v>2</v>
      </c>
      <c r="C25" s="3165" t="s">
        <v>2590</v>
      </c>
      <c r="D25" s="79" t="s">
        <v>149</v>
      </c>
      <c r="E25" s="78">
        <v>1</v>
      </c>
      <c r="F25" s="84">
        <v>0</v>
      </c>
      <c r="G25" s="89">
        <f>E25*F25</f>
        <v>0</v>
      </c>
      <c r="H25" s="76"/>
      <c r="I25" s="74"/>
      <c r="J25" s="74"/>
      <c r="K25" s="74"/>
      <c r="L25" s="74"/>
    </row>
    <row r="26" spans="1:12" ht="28.5" customHeight="1" x14ac:dyDescent="0.2">
      <c r="A26" s="74"/>
      <c r="B26" s="92">
        <v>3</v>
      </c>
      <c r="C26" s="3165" t="s">
        <v>2591</v>
      </c>
      <c r="D26" s="79" t="s">
        <v>98</v>
      </c>
      <c r="E26" s="78">
        <v>1</v>
      </c>
      <c r="F26" s="84">
        <v>0</v>
      </c>
      <c r="G26" s="89">
        <f>E26*F26</f>
        <v>0</v>
      </c>
      <c r="H26" s="76"/>
      <c r="I26" s="74"/>
      <c r="J26" s="74"/>
      <c r="K26" s="74"/>
      <c r="L26" s="74"/>
    </row>
    <row r="27" spans="1:12" x14ac:dyDescent="0.2">
      <c r="A27" s="74"/>
      <c r="B27" s="92">
        <v>4</v>
      </c>
      <c r="C27" s="93" t="s">
        <v>105</v>
      </c>
      <c r="D27" s="79" t="s">
        <v>98</v>
      </c>
      <c r="E27" s="78">
        <v>1</v>
      </c>
      <c r="F27" s="84">
        <v>0</v>
      </c>
      <c r="G27" s="89">
        <f>E27*F27</f>
        <v>0</v>
      </c>
      <c r="H27" s="76"/>
      <c r="I27" s="74"/>
      <c r="J27" s="74"/>
      <c r="K27" s="74"/>
      <c r="L27" s="74"/>
    </row>
    <row r="28" spans="1:12" ht="40.5" customHeight="1" x14ac:dyDescent="0.2">
      <c r="A28" s="74"/>
      <c r="B28" s="92">
        <v>5</v>
      </c>
      <c r="C28" s="91" t="s">
        <v>106</v>
      </c>
      <c r="D28" s="79" t="s">
        <v>98</v>
      </c>
      <c r="E28" s="90">
        <v>1</v>
      </c>
      <c r="F28" s="84">
        <v>0</v>
      </c>
      <c r="G28" s="89">
        <f>E28*F28</f>
        <v>0</v>
      </c>
      <c r="H28" s="76"/>
      <c r="I28" s="74"/>
      <c r="J28" s="74"/>
      <c r="K28" s="74"/>
      <c r="L28" s="74"/>
    </row>
    <row r="29" spans="1:12" s="9" customFormat="1" ht="23.25" customHeight="1" x14ac:dyDescent="0.25">
      <c r="A29" s="147"/>
      <c r="B29" s="327" t="s">
        <v>10</v>
      </c>
      <c r="C29" s="214" t="s">
        <v>108</v>
      </c>
      <c r="D29" s="214"/>
      <c r="E29" s="215"/>
      <c r="F29" s="216"/>
      <c r="G29" s="290">
        <f>SUM(G24:G28)</f>
        <v>0</v>
      </c>
      <c r="H29" s="150"/>
      <c r="I29" s="147"/>
      <c r="J29" s="147"/>
      <c r="K29" s="147"/>
      <c r="L29" s="147"/>
    </row>
    <row r="30" spans="1:12" x14ac:dyDescent="0.2">
      <c r="A30" s="121"/>
      <c r="B30" s="129"/>
      <c r="C30" s="197"/>
      <c r="D30" s="198"/>
      <c r="E30" s="199"/>
      <c r="F30" s="200"/>
      <c r="G30" s="201"/>
      <c r="H30" s="122"/>
      <c r="I30" s="121"/>
      <c r="J30" s="121"/>
      <c r="K30" s="121"/>
      <c r="L30" s="121"/>
    </row>
    <row r="31" spans="1:12" ht="24" x14ac:dyDescent="0.2">
      <c r="A31" s="121"/>
      <c r="B31" s="128" t="s">
        <v>83</v>
      </c>
      <c r="C31" s="192" t="s">
        <v>89</v>
      </c>
      <c r="D31" s="193" t="s">
        <v>90</v>
      </c>
      <c r="E31" s="194" t="s">
        <v>91</v>
      </c>
      <c r="F31" s="195" t="s">
        <v>92</v>
      </c>
      <c r="G31" s="196" t="s">
        <v>93</v>
      </c>
      <c r="H31" s="122"/>
      <c r="I31" s="121"/>
      <c r="J31" s="121"/>
      <c r="K31" s="121"/>
      <c r="L31" s="121"/>
    </row>
    <row r="32" spans="1:12" x14ac:dyDescent="0.2">
      <c r="A32" s="121"/>
      <c r="B32" s="129"/>
      <c r="C32" s="217"/>
      <c r="D32" s="207"/>
      <c r="E32" s="199"/>
      <c r="F32" s="200"/>
      <c r="G32" s="201"/>
      <c r="H32" s="122"/>
      <c r="I32" s="121"/>
      <c r="J32" s="121"/>
      <c r="K32" s="121"/>
      <c r="L32" s="121"/>
    </row>
    <row r="33" spans="1:12" s="16" customFormat="1" ht="20.25" x14ac:dyDescent="0.3">
      <c r="A33" s="295"/>
      <c r="B33" s="303" t="s">
        <v>12</v>
      </c>
      <c r="C33" s="304" t="s">
        <v>109</v>
      </c>
      <c r="D33" s="298"/>
      <c r="E33" s="299"/>
      <c r="F33" s="300"/>
      <c r="G33" s="301"/>
      <c r="H33" s="302"/>
      <c r="I33" s="295"/>
      <c r="J33" s="295"/>
      <c r="K33" s="295"/>
      <c r="L33" s="295"/>
    </row>
    <row r="34" spans="1:12" s="43" customFormat="1" ht="71.25" customHeight="1" x14ac:dyDescent="0.2">
      <c r="A34" s="130"/>
      <c r="B34" s="3184" t="s">
        <v>110</v>
      </c>
      <c r="C34" s="3185"/>
      <c r="D34" s="3185"/>
      <c r="E34" s="3185"/>
      <c r="F34" s="3185"/>
      <c r="G34" s="3186"/>
      <c r="H34" s="122"/>
      <c r="I34" s="130"/>
      <c r="J34" s="130"/>
      <c r="K34" s="130"/>
      <c r="L34" s="130"/>
    </row>
    <row r="35" spans="1:12" ht="27.75" customHeight="1" x14ac:dyDescent="0.2">
      <c r="A35" s="74"/>
      <c r="B35" s="88">
        <v>1</v>
      </c>
      <c r="C35" s="87" t="s">
        <v>2285</v>
      </c>
      <c r="D35" s="86" t="s">
        <v>149</v>
      </c>
      <c r="E35" s="85">
        <v>1</v>
      </c>
      <c r="F35" s="84">
        <v>0</v>
      </c>
      <c r="G35" s="77">
        <f>E35*F35</f>
        <v>0</v>
      </c>
      <c r="H35" s="76"/>
      <c r="I35" s="82"/>
      <c r="J35" s="74"/>
      <c r="K35" s="74"/>
      <c r="L35" s="74"/>
    </row>
    <row r="36" spans="1:12" ht="65.25" customHeight="1" x14ac:dyDescent="0.2">
      <c r="A36" s="74"/>
      <c r="B36" s="81">
        <v>2</v>
      </c>
      <c r="C36" s="80" t="s">
        <v>2286</v>
      </c>
      <c r="D36" s="83" t="s">
        <v>149</v>
      </c>
      <c r="E36" s="78">
        <v>1</v>
      </c>
      <c r="F36" s="84">
        <v>0</v>
      </c>
      <c r="G36" s="77">
        <f>E36*F36</f>
        <v>0</v>
      </c>
      <c r="H36" s="76"/>
      <c r="I36" s="82"/>
      <c r="J36" s="74"/>
      <c r="K36" s="74"/>
      <c r="L36" s="74"/>
    </row>
    <row r="37" spans="1:12" x14ac:dyDescent="0.2">
      <c r="A37" s="74"/>
      <c r="B37" s="81">
        <v>3</v>
      </c>
      <c r="C37" s="80" t="s">
        <v>2287</v>
      </c>
      <c r="D37" s="79" t="s">
        <v>117</v>
      </c>
      <c r="E37" s="78">
        <v>5</v>
      </c>
      <c r="F37" s="84">
        <v>0</v>
      </c>
      <c r="G37" s="77">
        <f>E37*F37</f>
        <v>0</v>
      </c>
      <c r="H37" s="76"/>
      <c r="I37" s="75"/>
      <c r="J37" s="74"/>
      <c r="K37" s="73"/>
      <c r="L37" s="73"/>
    </row>
    <row r="38" spans="1:12" s="9" customFormat="1" ht="21.75" customHeight="1" x14ac:dyDescent="0.25">
      <c r="A38" s="147"/>
      <c r="B38" s="327" t="s">
        <v>12</v>
      </c>
      <c r="C38" s="214" t="s">
        <v>157</v>
      </c>
      <c r="D38" s="224"/>
      <c r="E38" s="215"/>
      <c r="F38" s="216"/>
      <c r="G38" s="290">
        <f>SUM(G35:G37)</f>
        <v>0</v>
      </c>
      <c r="H38" s="150"/>
      <c r="I38" s="147"/>
      <c r="J38" s="147"/>
      <c r="K38" s="147"/>
      <c r="L38" s="147"/>
    </row>
    <row r="39" spans="1:12" x14ac:dyDescent="0.2">
      <c r="A39" s="121"/>
      <c r="B39" s="129"/>
      <c r="C39" s="197"/>
      <c r="D39" s="198"/>
      <c r="E39" s="199"/>
      <c r="F39" s="200"/>
      <c r="G39" s="201"/>
      <c r="H39" s="122"/>
      <c r="I39" s="121"/>
      <c r="J39" s="121"/>
      <c r="K39" s="121"/>
      <c r="L39" s="121"/>
    </row>
    <row r="40" spans="1:12" ht="24" x14ac:dyDescent="0.2">
      <c r="A40" s="121"/>
      <c r="B40" s="128" t="s">
        <v>83</v>
      </c>
      <c r="C40" s="192" t="s">
        <v>89</v>
      </c>
      <c r="D40" s="192" t="s">
        <v>90</v>
      </c>
      <c r="E40" s="194" t="s">
        <v>91</v>
      </c>
      <c r="F40" s="195" t="s">
        <v>92</v>
      </c>
      <c r="G40" s="196" t="s">
        <v>93</v>
      </c>
      <c r="H40" s="122"/>
      <c r="I40" s="121"/>
      <c r="J40" s="121"/>
      <c r="K40" s="121"/>
      <c r="L40" s="121"/>
    </row>
    <row r="41" spans="1:12" x14ac:dyDescent="0.2">
      <c r="A41" s="121"/>
      <c r="B41" s="129"/>
      <c r="C41" s="197"/>
      <c r="D41" s="207"/>
      <c r="E41" s="199"/>
      <c r="F41" s="200"/>
      <c r="G41" s="201"/>
      <c r="H41" s="122"/>
      <c r="I41" s="121"/>
      <c r="J41" s="121"/>
      <c r="K41" s="121"/>
      <c r="L41" s="121"/>
    </row>
    <row r="42" spans="1:12" s="16" customFormat="1" ht="20.25" x14ac:dyDescent="0.3">
      <c r="A42" s="295"/>
      <c r="B42" s="296" t="s">
        <v>17</v>
      </c>
      <c r="C42" s="297" t="s">
        <v>158</v>
      </c>
      <c r="D42" s="298"/>
      <c r="E42" s="299"/>
      <c r="F42" s="300"/>
      <c r="G42" s="301"/>
      <c r="H42" s="302"/>
      <c r="I42" s="295"/>
      <c r="J42" s="295"/>
      <c r="K42" s="295"/>
      <c r="L42" s="295"/>
    </row>
    <row r="43" spans="1:12" s="24" customFormat="1" ht="18" customHeight="1" x14ac:dyDescent="0.2">
      <c r="A43" s="140"/>
      <c r="B43" s="143" t="s">
        <v>1</v>
      </c>
      <c r="C43" s="168"/>
      <c r="D43" s="170"/>
      <c r="E43" s="170"/>
      <c r="F43" s="170"/>
      <c r="G43" s="169"/>
      <c r="H43" s="139"/>
      <c r="I43" s="139"/>
      <c r="J43" s="139"/>
      <c r="K43" s="139"/>
      <c r="L43" s="139"/>
    </row>
    <row r="44" spans="1:12" s="24" customFormat="1" ht="18" customHeight="1" x14ac:dyDescent="0.25">
      <c r="A44" s="141"/>
      <c r="B44" s="144" t="s">
        <v>2</v>
      </c>
      <c r="C44" s="171"/>
      <c r="D44" s="172"/>
      <c r="E44" s="173"/>
      <c r="F44" s="173"/>
      <c r="G44" s="172"/>
      <c r="H44" s="139"/>
      <c r="I44" s="139"/>
      <c r="J44" s="139"/>
      <c r="K44" s="139"/>
      <c r="L44" s="139"/>
    </row>
    <row r="45" spans="1:12" s="24" customFormat="1" ht="18" customHeight="1" x14ac:dyDescent="0.2">
      <c r="A45" s="140"/>
      <c r="B45" s="143" t="s">
        <v>3</v>
      </c>
      <c r="C45" s="168"/>
      <c r="D45" s="170"/>
      <c r="E45" s="170"/>
      <c r="F45" s="170"/>
      <c r="G45" s="169"/>
      <c r="H45" s="139"/>
      <c r="I45" s="139"/>
      <c r="J45" s="139"/>
      <c r="K45" s="139"/>
      <c r="L45" s="139"/>
    </row>
    <row r="46" spans="1:12" s="24" customFormat="1" ht="18" customHeight="1" x14ac:dyDescent="0.25">
      <c r="A46" s="141"/>
      <c r="B46" s="144" t="s">
        <v>4</v>
      </c>
      <c r="C46" s="171"/>
      <c r="D46" s="173"/>
      <c r="E46" s="173"/>
      <c r="F46" s="173"/>
      <c r="G46" s="172"/>
      <c r="H46" s="139"/>
      <c r="I46" s="139"/>
      <c r="J46" s="139"/>
      <c r="K46" s="139"/>
      <c r="L46" s="139"/>
    </row>
    <row r="47" spans="1:12" s="43" customFormat="1" ht="18.75" customHeight="1" x14ac:dyDescent="0.2">
      <c r="A47" s="130"/>
      <c r="B47" s="3184" t="s">
        <v>159</v>
      </c>
      <c r="C47" s="3185"/>
      <c r="D47" s="3185"/>
      <c r="E47" s="3185"/>
      <c r="F47" s="3185"/>
      <c r="G47" s="3186"/>
      <c r="H47" s="122"/>
      <c r="I47" s="130"/>
      <c r="J47" s="130"/>
      <c r="K47" s="130"/>
      <c r="L47" s="130"/>
    </row>
    <row r="48" spans="1:12" s="43" customFormat="1" ht="18.75" hidden="1" customHeight="1" x14ac:dyDescent="0.2">
      <c r="A48" s="130"/>
      <c r="B48" s="3184" t="s">
        <v>160</v>
      </c>
      <c r="C48" s="3185"/>
      <c r="D48" s="3185"/>
      <c r="E48" s="3185"/>
      <c r="F48" s="3185"/>
      <c r="G48" s="3186"/>
      <c r="H48" s="122"/>
      <c r="I48" s="130"/>
      <c r="J48" s="130"/>
      <c r="K48" s="130"/>
      <c r="L48" s="130"/>
    </row>
    <row r="49" spans="2:8" s="43" customFormat="1" ht="18.75" hidden="1" customHeight="1" x14ac:dyDescent="0.2">
      <c r="B49" s="3184" t="s">
        <v>161</v>
      </c>
      <c r="C49" s="3185"/>
      <c r="D49" s="3185"/>
      <c r="E49" s="3185"/>
      <c r="F49" s="3185"/>
      <c r="G49" s="3186"/>
      <c r="H49" s="122"/>
    </row>
    <row r="50" spans="2:8" ht="30" hidden="1" customHeight="1" x14ac:dyDescent="0.2">
      <c r="B50" s="153">
        <v>1</v>
      </c>
      <c r="C50" s="225" t="s">
        <v>162</v>
      </c>
      <c r="D50" s="226"/>
      <c r="E50" s="199"/>
      <c r="F50" s="200"/>
      <c r="G50" s="201"/>
      <c r="H50" s="122"/>
    </row>
    <row r="51" spans="2:8" s="9" customFormat="1" ht="18.75" hidden="1" customHeight="1" x14ac:dyDescent="0.25">
      <c r="B51" s="148"/>
      <c r="C51" s="149" t="s">
        <v>2288</v>
      </c>
      <c r="D51" s="226" t="s">
        <v>95</v>
      </c>
      <c r="E51" s="199"/>
      <c r="F51" s="269">
        <v>0</v>
      </c>
      <c r="G51" s="270">
        <f t="shared" ref="G51:G74" si="0">E51*F51</f>
        <v>0</v>
      </c>
      <c r="H51" s="150"/>
    </row>
    <row r="52" spans="2:8" s="9" customFormat="1" ht="18.75" hidden="1" customHeight="1" x14ac:dyDescent="0.25">
      <c r="B52" s="148"/>
      <c r="C52" s="149" t="s">
        <v>2289</v>
      </c>
      <c r="D52" s="226" t="s">
        <v>95</v>
      </c>
      <c r="E52" s="199"/>
      <c r="F52" s="269">
        <v>0</v>
      </c>
      <c r="G52" s="270">
        <f t="shared" si="0"/>
        <v>0</v>
      </c>
      <c r="H52" s="150"/>
    </row>
    <row r="53" spans="2:8" s="9" customFormat="1" ht="18.75" hidden="1" customHeight="1" x14ac:dyDescent="0.25">
      <c r="B53" s="148"/>
      <c r="C53" s="149" t="s">
        <v>721</v>
      </c>
      <c r="D53" s="226" t="s">
        <v>95</v>
      </c>
      <c r="E53" s="199"/>
      <c r="F53" s="269">
        <v>0</v>
      </c>
      <c r="G53" s="270">
        <f t="shared" si="0"/>
        <v>0</v>
      </c>
      <c r="H53" s="150"/>
    </row>
    <row r="54" spans="2:8" s="9" customFormat="1" ht="18.75" hidden="1" customHeight="1" x14ac:dyDescent="0.25">
      <c r="B54" s="148"/>
      <c r="C54" s="149" t="s">
        <v>2290</v>
      </c>
      <c r="D54" s="226" t="s">
        <v>95</v>
      </c>
      <c r="E54" s="199"/>
      <c r="F54" s="269">
        <v>0</v>
      </c>
      <c r="G54" s="270">
        <f t="shared" si="0"/>
        <v>0</v>
      </c>
      <c r="H54" s="150"/>
    </row>
    <row r="55" spans="2:8" s="9" customFormat="1" ht="18.75" hidden="1" customHeight="1" x14ac:dyDescent="0.25">
      <c r="B55" s="148"/>
      <c r="C55" s="149" t="s">
        <v>2291</v>
      </c>
      <c r="D55" s="226" t="s">
        <v>95</v>
      </c>
      <c r="E55" s="199"/>
      <c r="F55" s="269">
        <v>0</v>
      </c>
      <c r="G55" s="270">
        <f t="shared" si="0"/>
        <v>0</v>
      </c>
      <c r="H55" s="150"/>
    </row>
    <row r="56" spans="2:8" s="9" customFormat="1" ht="18.75" hidden="1" customHeight="1" x14ac:dyDescent="0.25">
      <c r="B56" s="148"/>
      <c r="C56" s="149" t="s">
        <v>2292</v>
      </c>
      <c r="D56" s="226" t="s">
        <v>95</v>
      </c>
      <c r="E56" s="199"/>
      <c r="F56" s="269">
        <v>0</v>
      </c>
      <c r="G56" s="270">
        <f t="shared" si="0"/>
        <v>0</v>
      </c>
      <c r="H56" s="150"/>
    </row>
    <row r="57" spans="2:8" s="9" customFormat="1" ht="18.75" hidden="1" customHeight="1" x14ac:dyDescent="0.25">
      <c r="B57" s="148"/>
      <c r="C57" s="149" t="s">
        <v>313</v>
      </c>
      <c r="D57" s="226" t="s">
        <v>95</v>
      </c>
      <c r="E57" s="199"/>
      <c r="F57" s="269">
        <v>0</v>
      </c>
      <c r="G57" s="270">
        <f t="shared" si="0"/>
        <v>0</v>
      </c>
      <c r="H57" s="150"/>
    </row>
    <row r="58" spans="2:8" s="9" customFormat="1" ht="18.75" hidden="1" customHeight="1" x14ac:dyDescent="0.25">
      <c r="B58" s="148"/>
      <c r="C58" s="149" t="s">
        <v>314</v>
      </c>
      <c r="D58" s="226" t="s">
        <v>95</v>
      </c>
      <c r="E58" s="199"/>
      <c r="F58" s="269">
        <v>0</v>
      </c>
      <c r="G58" s="270">
        <f t="shared" si="0"/>
        <v>0</v>
      </c>
      <c r="H58" s="150"/>
    </row>
    <row r="59" spans="2:8" s="9" customFormat="1" ht="18.75" hidden="1" customHeight="1" x14ac:dyDescent="0.25">
      <c r="B59" s="148"/>
      <c r="C59" s="149" t="s">
        <v>722</v>
      </c>
      <c r="D59" s="226" t="s">
        <v>95</v>
      </c>
      <c r="E59" s="199"/>
      <c r="F59" s="269">
        <v>0</v>
      </c>
      <c r="G59" s="270">
        <f t="shared" si="0"/>
        <v>0</v>
      </c>
      <c r="H59" s="150"/>
    </row>
    <row r="60" spans="2:8" s="9" customFormat="1" ht="18.75" hidden="1" customHeight="1" x14ac:dyDescent="0.25">
      <c r="B60" s="148"/>
      <c r="C60" s="149" t="s">
        <v>1244</v>
      </c>
      <c r="D60" s="226" t="s">
        <v>95</v>
      </c>
      <c r="E60" s="199"/>
      <c r="F60" s="269">
        <v>0</v>
      </c>
      <c r="G60" s="270">
        <f t="shared" si="0"/>
        <v>0</v>
      </c>
      <c r="H60" s="150"/>
    </row>
    <row r="61" spans="2:8" s="9" customFormat="1" ht="18.75" hidden="1" customHeight="1" x14ac:dyDescent="0.25">
      <c r="B61" s="148"/>
      <c r="C61" s="151" t="s">
        <v>163</v>
      </c>
      <c r="D61" s="226" t="s">
        <v>95</v>
      </c>
      <c r="E61" s="199"/>
      <c r="F61" s="269">
        <v>0</v>
      </c>
      <c r="G61" s="270">
        <f t="shared" si="0"/>
        <v>0</v>
      </c>
      <c r="H61" s="150"/>
    </row>
    <row r="62" spans="2:8" s="9" customFormat="1" ht="24.75" hidden="1" customHeight="1" x14ac:dyDescent="0.25">
      <c r="B62" s="148"/>
      <c r="C62" s="151" t="s">
        <v>164</v>
      </c>
      <c r="D62" s="226" t="s">
        <v>95</v>
      </c>
      <c r="E62" s="199"/>
      <c r="F62" s="269">
        <v>0</v>
      </c>
      <c r="G62" s="270">
        <f t="shared" si="0"/>
        <v>0</v>
      </c>
      <c r="H62" s="150"/>
    </row>
    <row r="63" spans="2:8" s="9" customFormat="1" ht="18.75" hidden="1" customHeight="1" x14ac:dyDescent="0.25">
      <c r="B63" s="148"/>
      <c r="C63" s="151" t="s">
        <v>723</v>
      </c>
      <c r="D63" s="226" t="s">
        <v>95</v>
      </c>
      <c r="E63" s="199"/>
      <c r="F63" s="269">
        <v>0</v>
      </c>
      <c r="G63" s="270">
        <f t="shared" si="0"/>
        <v>0</v>
      </c>
      <c r="H63" s="150"/>
    </row>
    <row r="64" spans="2:8" s="9" customFormat="1" ht="24.75" hidden="1" customHeight="1" x14ac:dyDescent="0.25">
      <c r="B64" s="148"/>
      <c r="C64" s="151" t="s">
        <v>835</v>
      </c>
      <c r="D64" s="226" t="s">
        <v>95</v>
      </c>
      <c r="E64" s="199"/>
      <c r="F64" s="269">
        <v>0</v>
      </c>
      <c r="G64" s="270">
        <f t="shared" si="0"/>
        <v>0</v>
      </c>
      <c r="H64" s="150"/>
    </row>
    <row r="65" spans="2:8" s="9" customFormat="1" ht="19.5" hidden="1" customHeight="1" x14ac:dyDescent="0.25">
      <c r="B65" s="148"/>
      <c r="C65" s="151" t="s">
        <v>1766</v>
      </c>
      <c r="D65" s="226" t="s">
        <v>95</v>
      </c>
      <c r="E65" s="199"/>
      <c r="F65" s="269">
        <v>0</v>
      </c>
      <c r="G65" s="270">
        <f t="shared" si="0"/>
        <v>0</v>
      </c>
      <c r="H65" s="150"/>
    </row>
    <row r="66" spans="2:8" s="9" customFormat="1" ht="27.75" hidden="1" customHeight="1" x14ac:dyDescent="0.25">
      <c r="B66" s="148"/>
      <c r="C66" s="151" t="s">
        <v>1767</v>
      </c>
      <c r="D66" s="226" t="s">
        <v>95</v>
      </c>
      <c r="E66" s="199"/>
      <c r="F66" s="269">
        <v>0</v>
      </c>
      <c r="G66" s="270">
        <f t="shared" si="0"/>
        <v>0</v>
      </c>
      <c r="H66" s="150"/>
    </row>
    <row r="67" spans="2:8" s="9" customFormat="1" ht="18.75" hidden="1" customHeight="1" x14ac:dyDescent="0.25">
      <c r="B67" s="148"/>
      <c r="C67" s="151" t="s">
        <v>821</v>
      </c>
      <c r="D67" s="226" t="s">
        <v>95</v>
      </c>
      <c r="E67" s="199"/>
      <c r="F67" s="269">
        <v>0</v>
      </c>
      <c r="G67" s="270">
        <f t="shared" si="0"/>
        <v>0</v>
      </c>
      <c r="H67" s="150"/>
    </row>
    <row r="68" spans="2:8" s="9" customFormat="1" ht="27.75" hidden="1" customHeight="1" x14ac:dyDescent="0.25">
      <c r="B68" s="148"/>
      <c r="C68" s="151" t="s">
        <v>822</v>
      </c>
      <c r="D68" s="226" t="s">
        <v>95</v>
      </c>
      <c r="E68" s="199"/>
      <c r="F68" s="269">
        <v>0</v>
      </c>
      <c r="G68" s="270">
        <f t="shared" si="0"/>
        <v>0</v>
      </c>
      <c r="H68" s="150"/>
    </row>
    <row r="69" spans="2:8" s="9" customFormat="1" ht="19.5" hidden="1" customHeight="1" x14ac:dyDescent="0.25">
      <c r="B69" s="148"/>
      <c r="C69" s="151" t="s">
        <v>823</v>
      </c>
      <c r="D69" s="226" t="s">
        <v>95</v>
      </c>
      <c r="E69" s="199"/>
      <c r="F69" s="269">
        <v>0</v>
      </c>
      <c r="G69" s="270">
        <f t="shared" si="0"/>
        <v>0</v>
      </c>
      <c r="H69" s="150"/>
    </row>
    <row r="70" spans="2:8" s="9" customFormat="1" ht="27" hidden="1" customHeight="1" x14ac:dyDescent="0.25">
      <c r="B70" s="148"/>
      <c r="C70" s="151" t="s">
        <v>824</v>
      </c>
      <c r="D70" s="226" t="s">
        <v>95</v>
      </c>
      <c r="E70" s="199"/>
      <c r="F70" s="269">
        <v>0</v>
      </c>
      <c r="G70" s="270">
        <f t="shared" si="0"/>
        <v>0</v>
      </c>
      <c r="H70" s="150"/>
    </row>
    <row r="71" spans="2:8" s="9" customFormat="1" ht="18.75" hidden="1" customHeight="1" x14ac:dyDescent="0.25">
      <c r="B71" s="148"/>
      <c r="C71" s="151" t="s">
        <v>1733</v>
      </c>
      <c r="D71" s="226" t="s">
        <v>95</v>
      </c>
      <c r="E71" s="199"/>
      <c r="F71" s="269">
        <v>0</v>
      </c>
      <c r="G71" s="270">
        <f t="shared" si="0"/>
        <v>0</v>
      </c>
      <c r="H71" s="150"/>
    </row>
    <row r="72" spans="2:8" s="9" customFormat="1" ht="26.25" hidden="1" customHeight="1" x14ac:dyDescent="0.25">
      <c r="B72" s="148"/>
      <c r="C72" s="151" t="s">
        <v>1734</v>
      </c>
      <c r="D72" s="226" t="s">
        <v>95</v>
      </c>
      <c r="E72" s="199"/>
      <c r="F72" s="269">
        <v>0</v>
      </c>
      <c r="G72" s="270">
        <f t="shared" si="0"/>
        <v>0</v>
      </c>
      <c r="H72" s="150"/>
    </row>
    <row r="73" spans="2:8" s="9" customFormat="1" ht="19.5" hidden="1" customHeight="1" x14ac:dyDescent="0.25">
      <c r="B73" s="148"/>
      <c r="C73" s="151" t="s">
        <v>165</v>
      </c>
      <c r="D73" s="226" t="s">
        <v>95</v>
      </c>
      <c r="E73" s="199"/>
      <c r="F73" s="269">
        <v>0</v>
      </c>
      <c r="G73" s="270">
        <f t="shared" si="0"/>
        <v>0</v>
      </c>
      <c r="H73" s="150"/>
    </row>
    <row r="74" spans="2:8" s="9" customFormat="1" ht="27.75" hidden="1" customHeight="1" x14ac:dyDescent="0.25">
      <c r="B74" s="148"/>
      <c r="C74" s="151" t="s">
        <v>166</v>
      </c>
      <c r="D74" s="226" t="s">
        <v>95</v>
      </c>
      <c r="E74" s="199"/>
      <c r="F74" s="269">
        <v>0</v>
      </c>
      <c r="G74" s="270">
        <f t="shared" si="0"/>
        <v>0</v>
      </c>
      <c r="H74" s="150"/>
    </row>
    <row r="75" spans="2:8" s="43" customFormat="1" ht="40.5" hidden="1" customHeight="1" x14ac:dyDescent="0.2">
      <c r="B75" s="3181" t="s">
        <v>167</v>
      </c>
      <c r="C75" s="310" t="s">
        <v>168</v>
      </c>
      <c r="D75" s="221"/>
      <c r="E75" s="199"/>
      <c r="F75" s="269"/>
      <c r="G75" s="270"/>
      <c r="H75" s="122"/>
    </row>
    <row r="76" spans="2:8" s="43" customFormat="1" hidden="1" x14ac:dyDescent="0.2">
      <c r="B76" s="3182"/>
      <c r="C76" s="291" t="s">
        <v>169</v>
      </c>
      <c r="D76" s="221" t="s">
        <v>95</v>
      </c>
      <c r="E76" s="199"/>
      <c r="F76" s="269">
        <v>0</v>
      </c>
      <c r="G76" s="270">
        <f t="shared" ref="G76:G82" si="1">E76*F76</f>
        <v>0</v>
      </c>
      <c r="H76" s="122"/>
    </row>
    <row r="77" spans="2:8" s="43" customFormat="1" hidden="1" x14ac:dyDescent="0.2">
      <c r="B77" s="3182"/>
      <c r="C77" s="291" t="s">
        <v>170</v>
      </c>
      <c r="D77" s="221" t="s">
        <v>95</v>
      </c>
      <c r="E77" s="199"/>
      <c r="F77" s="269">
        <v>0</v>
      </c>
      <c r="G77" s="270">
        <f t="shared" si="1"/>
        <v>0</v>
      </c>
      <c r="H77" s="122"/>
    </row>
    <row r="78" spans="2:8" s="43" customFormat="1" hidden="1" x14ac:dyDescent="0.2">
      <c r="B78" s="3183"/>
      <c r="C78" s="291" t="s">
        <v>171</v>
      </c>
      <c r="D78" s="221" t="s">
        <v>95</v>
      </c>
      <c r="E78" s="199"/>
      <c r="F78" s="269">
        <v>0</v>
      </c>
      <c r="G78" s="270">
        <f t="shared" si="1"/>
        <v>0</v>
      </c>
      <c r="H78" s="122"/>
    </row>
    <row r="79" spans="2:8" ht="40.5" hidden="1" customHeight="1" x14ac:dyDescent="0.2">
      <c r="B79" s="154">
        <v>2</v>
      </c>
      <c r="C79" s="227" t="s">
        <v>172</v>
      </c>
      <c r="D79" s="209" t="s">
        <v>95</v>
      </c>
      <c r="E79" s="228"/>
      <c r="F79" s="269">
        <v>0</v>
      </c>
      <c r="G79" s="270">
        <f t="shared" si="1"/>
        <v>0</v>
      </c>
      <c r="H79" s="122"/>
    </row>
    <row r="80" spans="2:8" ht="41.25" hidden="1" customHeight="1" x14ac:dyDescent="0.2">
      <c r="B80" s="309" t="s">
        <v>173</v>
      </c>
      <c r="C80" s="227" t="s">
        <v>174</v>
      </c>
      <c r="D80" s="209" t="s">
        <v>95</v>
      </c>
      <c r="E80" s="228"/>
      <c r="F80" s="269">
        <v>0</v>
      </c>
      <c r="G80" s="270">
        <f t="shared" si="1"/>
        <v>0</v>
      </c>
      <c r="H80" s="122"/>
    </row>
    <row r="81" spans="2:8" ht="27" hidden="1" customHeight="1" x14ac:dyDescent="0.2">
      <c r="B81" s="309" t="s">
        <v>175</v>
      </c>
      <c r="C81" s="227" t="s">
        <v>176</v>
      </c>
      <c r="D81" s="209" t="s">
        <v>95</v>
      </c>
      <c r="E81" s="228"/>
      <c r="F81" s="269">
        <v>0</v>
      </c>
      <c r="G81" s="270">
        <f t="shared" si="1"/>
        <v>0</v>
      </c>
      <c r="H81" s="122"/>
    </row>
    <row r="82" spans="2:8" ht="39" hidden="1" customHeight="1" x14ac:dyDescent="0.2">
      <c r="B82" s="309" t="s">
        <v>177</v>
      </c>
      <c r="C82" s="227" t="s">
        <v>178</v>
      </c>
      <c r="D82" s="209" t="s">
        <v>95</v>
      </c>
      <c r="E82" s="228"/>
      <c r="F82" s="269">
        <v>0</v>
      </c>
      <c r="G82" s="270">
        <f t="shared" si="1"/>
        <v>0</v>
      </c>
      <c r="H82" s="122"/>
    </row>
    <row r="83" spans="2:8" ht="27.75" hidden="1" customHeight="1" x14ac:dyDescent="0.2">
      <c r="B83" s="153">
        <v>3</v>
      </c>
      <c r="C83" s="229" t="s">
        <v>179</v>
      </c>
      <c r="D83" s="198"/>
      <c r="E83" s="199"/>
      <c r="F83" s="200">
        <v>0</v>
      </c>
      <c r="G83" s="201"/>
      <c r="H83" s="122"/>
    </row>
    <row r="84" spans="2:8" hidden="1" x14ac:dyDescent="0.2">
      <c r="B84" s="292" t="s">
        <v>180</v>
      </c>
      <c r="C84" s="230" t="s">
        <v>181</v>
      </c>
      <c r="D84" s="231"/>
      <c r="E84" s="232"/>
      <c r="F84" s="233"/>
      <c r="G84" s="234"/>
      <c r="H84" s="122"/>
    </row>
    <row r="85" spans="2:8" hidden="1" x14ac:dyDescent="0.2">
      <c r="B85" s="129"/>
      <c r="C85" s="230" t="s">
        <v>2293</v>
      </c>
      <c r="D85" s="231"/>
      <c r="E85" s="232"/>
      <c r="F85" s="233"/>
      <c r="G85" s="234"/>
      <c r="H85" s="122"/>
    </row>
    <row r="86" spans="2:8" s="9" customFormat="1" ht="18" hidden="1" customHeight="1" x14ac:dyDescent="0.25">
      <c r="B86" s="152"/>
      <c r="C86" s="235" t="s">
        <v>2294</v>
      </c>
      <c r="D86" s="236" t="s">
        <v>149</v>
      </c>
      <c r="E86" s="232"/>
      <c r="F86" s="271">
        <v>0</v>
      </c>
      <c r="G86" s="272">
        <f>E86*F86</f>
        <v>0</v>
      </c>
      <c r="H86" s="150"/>
    </row>
    <row r="87" spans="2:8" s="9" customFormat="1" ht="18" hidden="1" customHeight="1" x14ac:dyDescent="0.25">
      <c r="B87" s="152"/>
      <c r="C87" s="235" t="s">
        <v>2295</v>
      </c>
      <c r="D87" s="236" t="s">
        <v>149</v>
      </c>
      <c r="E87" s="232"/>
      <c r="F87" s="271">
        <v>0</v>
      </c>
      <c r="G87" s="272">
        <f>E87*F87</f>
        <v>0</v>
      </c>
      <c r="H87" s="150"/>
    </row>
    <row r="88" spans="2:8" s="9" customFormat="1" ht="18" hidden="1" customHeight="1" x14ac:dyDescent="0.25">
      <c r="B88" s="152"/>
      <c r="C88" s="235" t="s">
        <v>2296</v>
      </c>
      <c r="D88" s="236" t="s">
        <v>149</v>
      </c>
      <c r="E88" s="232"/>
      <c r="F88" s="271">
        <v>0</v>
      </c>
      <c r="G88" s="272">
        <f>E88*F88</f>
        <v>0</v>
      </c>
      <c r="H88" s="150"/>
    </row>
    <row r="89" spans="2:8" s="9" customFormat="1" ht="18" hidden="1" customHeight="1" x14ac:dyDescent="0.25">
      <c r="B89" s="152"/>
      <c r="C89" s="235" t="s">
        <v>2297</v>
      </c>
      <c r="D89" s="236" t="s">
        <v>149</v>
      </c>
      <c r="E89" s="232"/>
      <c r="F89" s="271">
        <v>0</v>
      </c>
      <c r="G89" s="272">
        <f>E89*F89</f>
        <v>0</v>
      </c>
      <c r="H89" s="150"/>
    </row>
    <row r="90" spans="2:8" hidden="1" x14ac:dyDescent="0.2">
      <c r="B90" s="129"/>
      <c r="C90" s="230" t="s">
        <v>2298</v>
      </c>
      <c r="D90" s="231"/>
      <c r="E90" s="232"/>
      <c r="F90" s="233"/>
      <c r="G90" s="234"/>
      <c r="H90" s="122"/>
    </row>
    <row r="91" spans="2:8" s="9" customFormat="1" ht="18" hidden="1" customHeight="1" x14ac:dyDescent="0.25">
      <c r="B91" s="152"/>
      <c r="C91" s="235" t="s">
        <v>2299</v>
      </c>
      <c r="D91" s="236" t="s">
        <v>149</v>
      </c>
      <c r="E91" s="232"/>
      <c r="F91" s="271">
        <v>0</v>
      </c>
      <c r="G91" s="272">
        <f>E91*F91</f>
        <v>0</v>
      </c>
      <c r="H91" s="150"/>
    </row>
    <row r="92" spans="2:8" s="9" customFormat="1" ht="18" hidden="1" customHeight="1" x14ac:dyDescent="0.25">
      <c r="B92" s="152"/>
      <c r="C92" s="235" t="s">
        <v>2300</v>
      </c>
      <c r="D92" s="236" t="s">
        <v>149</v>
      </c>
      <c r="E92" s="232"/>
      <c r="F92" s="271">
        <v>0</v>
      </c>
      <c r="G92" s="272">
        <f>E92*F92</f>
        <v>0</v>
      </c>
      <c r="H92" s="150"/>
    </row>
    <row r="93" spans="2:8" s="9" customFormat="1" ht="18" hidden="1" customHeight="1" x14ac:dyDescent="0.25">
      <c r="B93" s="152"/>
      <c r="C93" s="235" t="s">
        <v>2301</v>
      </c>
      <c r="D93" s="236" t="s">
        <v>149</v>
      </c>
      <c r="E93" s="232"/>
      <c r="F93" s="271">
        <v>0</v>
      </c>
      <c r="G93" s="272">
        <f>E93*F93</f>
        <v>0</v>
      </c>
      <c r="H93" s="150"/>
    </row>
    <row r="94" spans="2:8" s="9" customFormat="1" ht="18" hidden="1" customHeight="1" x14ac:dyDescent="0.25">
      <c r="B94" s="152"/>
      <c r="C94" s="235" t="s">
        <v>725</v>
      </c>
      <c r="D94" s="236" t="s">
        <v>149</v>
      </c>
      <c r="E94" s="232"/>
      <c r="F94" s="271">
        <v>0</v>
      </c>
      <c r="G94" s="272">
        <f>E94*F94</f>
        <v>0</v>
      </c>
      <c r="H94" s="150"/>
    </row>
    <row r="95" spans="2:8" s="9" customFormat="1" ht="18" hidden="1" customHeight="1" x14ac:dyDescent="0.25">
      <c r="B95" s="152"/>
      <c r="C95" s="235" t="s">
        <v>2302</v>
      </c>
      <c r="D95" s="236" t="s">
        <v>149</v>
      </c>
      <c r="E95" s="232"/>
      <c r="F95" s="271">
        <v>0</v>
      </c>
      <c r="G95" s="272">
        <f>E95*F95</f>
        <v>0</v>
      </c>
      <c r="H95" s="150"/>
    </row>
    <row r="96" spans="2:8" hidden="1" x14ac:dyDescent="0.2">
      <c r="B96" s="129"/>
      <c r="C96" s="230" t="s">
        <v>2303</v>
      </c>
      <c r="D96" s="231"/>
      <c r="E96" s="232"/>
      <c r="F96" s="233"/>
      <c r="G96" s="234"/>
      <c r="H96" s="122"/>
    </row>
    <row r="97" spans="2:8" ht="18" hidden="1" customHeight="1" x14ac:dyDescent="0.2">
      <c r="B97" s="129"/>
      <c r="C97" s="237" t="s">
        <v>2304</v>
      </c>
      <c r="D97" s="236" t="s">
        <v>149</v>
      </c>
      <c r="E97" s="232"/>
      <c r="F97" s="271">
        <v>0</v>
      </c>
      <c r="G97" s="272">
        <f>E97*F97</f>
        <v>0</v>
      </c>
      <c r="H97" s="122"/>
    </row>
    <row r="98" spans="2:8" ht="18" hidden="1" customHeight="1" x14ac:dyDescent="0.2">
      <c r="B98" s="129"/>
      <c r="C98" s="237" t="s">
        <v>2305</v>
      </c>
      <c r="D98" s="236" t="s">
        <v>149</v>
      </c>
      <c r="E98" s="232"/>
      <c r="F98" s="271">
        <v>0</v>
      </c>
      <c r="G98" s="272">
        <f>E98*F98</f>
        <v>0</v>
      </c>
      <c r="H98" s="122"/>
    </row>
    <row r="99" spans="2:8" ht="18" hidden="1" customHeight="1" x14ac:dyDescent="0.2">
      <c r="B99" s="129"/>
      <c r="C99" s="237" t="s">
        <v>2306</v>
      </c>
      <c r="D99" s="236" t="s">
        <v>149</v>
      </c>
      <c r="E99" s="232"/>
      <c r="F99" s="271">
        <v>0</v>
      </c>
      <c r="G99" s="272">
        <f>E99*F99</f>
        <v>0</v>
      </c>
      <c r="H99" s="122"/>
    </row>
    <row r="100" spans="2:8" ht="18" hidden="1" customHeight="1" x14ac:dyDescent="0.2">
      <c r="B100" s="129"/>
      <c r="C100" s="237" t="s">
        <v>339</v>
      </c>
      <c r="D100" s="236" t="s">
        <v>149</v>
      </c>
      <c r="E100" s="232"/>
      <c r="F100" s="271">
        <v>0</v>
      </c>
      <c r="G100" s="272">
        <f>E100*F100</f>
        <v>0</v>
      </c>
      <c r="H100" s="122"/>
    </row>
    <row r="101" spans="2:8" s="9" customFormat="1" ht="18" hidden="1" customHeight="1" x14ac:dyDescent="0.25">
      <c r="B101" s="152"/>
      <c r="C101" s="235" t="s">
        <v>2307</v>
      </c>
      <c r="D101" s="236" t="s">
        <v>149</v>
      </c>
      <c r="E101" s="232"/>
      <c r="F101" s="271">
        <v>0</v>
      </c>
      <c r="G101" s="272">
        <f>E101*F101</f>
        <v>0</v>
      </c>
      <c r="H101" s="150"/>
    </row>
    <row r="102" spans="2:8" hidden="1" x14ac:dyDescent="0.2">
      <c r="B102" s="129"/>
      <c r="C102" s="230" t="s">
        <v>315</v>
      </c>
      <c r="D102" s="231"/>
      <c r="E102" s="232"/>
      <c r="F102" s="233"/>
      <c r="G102" s="234"/>
      <c r="H102" s="122"/>
    </row>
    <row r="103" spans="2:8" ht="18" hidden="1" customHeight="1" x14ac:dyDescent="0.2">
      <c r="B103" s="129"/>
      <c r="C103" s="237" t="s">
        <v>316</v>
      </c>
      <c r="D103" s="236" t="s">
        <v>149</v>
      </c>
      <c r="E103" s="232"/>
      <c r="F103" s="271">
        <v>0</v>
      </c>
      <c r="G103" s="272">
        <f>E103*F103</f>
        <v>0</v>
      </c>
      <c r="H103" s="122"/>
    </row>
    <row r="104" spans="2:8" ht="18" hidden="1" customHeight="1" x14ac:dyDescent="0.2">
      <c r="B104" s="129"/>
      <c r="C104" s="237" t="s">
        <v>317</v>
      </c>
      <c r="D104" s="236" t="s">
        <v>149</v>
      </c>
      <c r="E104" s="232"/>
      <c r="F104" s="271">
        <v>0</v>
      </c>
      <c r="G104" s="272">
        <f>E104*F104</f>
        <v>0</v>
      </c>
      <c r="H104" s="122"/>
    </row>
    <row r="105" spans="2:8" ht="18" hidden="1" customHeight="1" x14ac:dyDescent="0.2">
      <c r="B105" s="129"/>
      <c r="C105" s="237" t="s">
        <v>318</v>
      </c>
      <c r="D105" s="236" t="s">
        <v>149</v>
      </c>
      <c r="E105" s="232"/>
      <c r="F105" s="271">
        <v>0</v>
      </c>
      <c r="G105" s="272">
        <f>E105*F105</f>
        <v>0</v>
      </c>
      <c r="H105" s="122"/>
    </row>
    <row r="106" spans="2:8" ht="18" hidden="1" customHeight="1" x14ac:dyDescent="0.2">
      <c r="B106" s="129"/>
      <c r="C106" s="237" t="s">
        <v>319</v>
      </c>
      <c r="D106" s="236" t="s">
        <v>149</v>
      </c>
      <c r="E106" s="232"/>
      <c r="F106" s="271">
        <v>0</v>
      </c>
      <c r="G106" s="272">
        <f>E106*F106</f>
        <v>0</v>
      </c>
      <c r="H106" s="122"/>
    </row>
    <row r="107" spans="2:8" s="9" customFormat="1" ht="18" hidden="1" customHeight="1" x14ac:dyDescent="0.25">
      <c r="B107" s="152"/>
      <c r="C107" s="235" t="s">
        <v>320</v>
      </c>
      <c r="D107" s="236" t="s">
        <v>149</v>
      </c>
      <c r="E107" s="232"/>
      <c r="F107" s="271">
        <v>0</v>
      </c>
      <c r="G107" s="272">
        <f>E107*F107</f>
        <v>0</v>
      </c>
      <c r="H107" s="150"/>
    </row>
    <row r="108" spans="2:8" hidden="1" x14ac:dyDescent="0.2">
      <c r="B108" s="129"/>
      <c r="C108" s="230" t="s">
        <v>1735</v>
      </c>
      <c r="D108" s="231"/>
      <c r="E108" s="232"/>
      <c r="F108" s="233"/>
      <c r="G108" s="234"/>
      <c r="H108" s="122"/>
    </row>
    <row r="109" spans="2:8" ht="18" hidden="1" customHeight="1" x14ac:dyDescent="0.2">
      <c r="B109" s="129"/>
      <c r="C109" s="237" t="s">
        <v>1272</v>
      </c>
      <c r="D109" s="236" t="s">
        <v>149</v>
      </c>
      <c r="E109" s="232"/>
      <c r="F109" s="271">
        <v>0</v>
      </c>
      <c r="G109" s="272">
        <f>E109*F109</f>
        <v>0</v>
      </c>
      <c r="H109" s="122"/>
    </row>
    <row r="110" spans="2:8" ht="18" hidden="1" customHeight="1" x14ac:dyDescent="0.2">
      <c r="B110" s="129"/>
      <c r="C110" s="237" t="s">
        <v>1273</v>
      </c>
      <c r="D110" s="236" t="s">
        <v>149</v>
      </c>
      <c r="E110" s="232"/>
      <c r="F110" s="271">
        <v>0</v>
      </c>
      <c r="G110" s="272">
        <f>E110*F110</f>
        <v>0</v>
      </c>
      <c r="H110" s="122"/>
    </row>
    <row r="111" spans="2:8" ht="18" hidden="1" customHeight="1" x14ac:dyDescent="0.2">
      <c r="B111" s="129"/>
      <c r="C111" s="237" t="s">
        <v>1263</v>
      </c>
      <c r="D111" s="236" t="s">
        <v>149</v>
      </c>
      <c r="E111" s="232"/>
      <c r="F111" s="271">
        <v>0</v>
      </c>
      <c r="G111" s="272">
        <f>E111*F111</f>
        <v>0</v>
      </c>
      <c r="H111" s="122"/>
    </row>
    <row r="112" spans="2:8" ht="14.25" hidden="1" customHeight="1" x14ac:dyDescent="0.2">
      <c r="B112" s="129"/>
      <c r="C112" s="237" t="s">
        <v>341</v>
      </c>
      <c r="D112" s="236" t="s">
        <v>149</v>
      </c>
      <c r="E112" s="232"/>
      <c r="F112" s="271">
        <v>0</v>
      </c>
      <c r="G112" s="272">
        <f>E112*F112</f>
        <v>0</v>
      </c>
      <c r="H112" s="122"/>
    </row>
    <row r="113" spans="2:8" s="9" customFormat="1" ht="15.75" hidden="1" customHeight="1" x14ac:dyDescent="0.25">
      <c r="B113" s="152"/>
      <c r="C113" s="235" t="s">
        <v>1274</v>
      </c>
      <c r="D113" s="236" t="s">
        <v>149</v>
      </c>
      <c r="E113" s="232"/>
      <c r="F113" s="271">
        <v>0</v>
      </c>
      <c r="G113" s="272">
        <f>E113*F113</f>
        <v>0</v>
      </c>
      <c r="H113" s="150"/>
    </row>
    <row r="114" spans="2:8" hidden="1" x14ac:dyDescent="0.2">
      <c r="B114" s="129"/>
      <c r="C114" s="230" t="s">
        <v>182</v>
      </c>
      <c r="D114" s="231"/>
      <c r="E114" s="232"/>
      <c r="F114" s="233"/>
      <c r="G114" s="234"/>
      <c r="H114" s="122"/>
    </row>
    <row r="115" spans="2:8" s="9" customFormat="1" ht="18" hidden="1" customHeight="1" x14ac:dyDescent="0.25">
      <c r="B115" s="152"/>
      <c r="C115" s="235" t="s">
        <v>183</v>
      </c>
      <c r="D115" s="236" t="s">
        <v>149</v>
      </c>
      <c r="E115" s="232"/>
      <c r="F115" s="271">
        <v>0</v>
      </c>
      <c r="G115" s="272">
        <f>E115*F115</f>
        <v>0</v>
      </c>
      <c r="H115" s="150"/>
    </row>
    <row r="116" spans="2:8" s="9" customFormat="1" ht="18" hidden="1" customHeight="1" x14ac:dyDescent="0.25">
      <c r="B116" s="152"/>
      <c r="C116" s="235" t="s">
        <v>184</v>
      </c>
      <c r="D116" s="236" t="s">
        <v>149</v>
      </c>
      <c r="E116" s="232"/>
      <c r="F116" s="271">
        <v>0</v>
      </c>
      <c r="G116" s="272">
        <f>E116*F116</f>
        <v>0</v>
      </c>
      <c r="H116" s="150"/>
    </row>
    <row r="117" spans="2:8" hidden="1" x14ac:dyDescent="0.2">
      <c r="B117" s="129"/>
      <c r="C117" s="230" t="s">
        <v>836</v>
      </c>
      <c r="D117" s="231"/>
      <c r="E117" s="232"/>
      <c r="F117" s="233"/>
      <c r="G117" s="234"/>
      <c r="H117" s="122"/>
    </row>
    <row r="118" spans="2:8" s="9" customFormat="1" ht="18" hidden="1" customHeight="1" x14ac:dyDescent="0.25">
      <c r="B118" s="152"/>
      <c r="C118" s="235" t="s">
        <v>837</v>
      </c>
      <c r="D118" s="236" t="s">
        <v>149</v>
      </c>
      <c r="E118" s="232"/>
      <c r="F118" s="271">
        <v>0</v>
      </c>
      <c r="G118" s="272">
        <f>E118*F118</f>
        <v>0</v>
      </c>
      <c r="H118" s="150"/>
    </row>
    <row r="119" spans="2:8" s="9" customFormat="1" ht="18" hidden="1" customHeight="1" x14ac:dyDescent="0.25">
      <c r="B119" s="152"/>
      <c r="C119" s="235" t="s">
        <v>900</v>
      </c>
      <c r="D119" s="236" t="s">
        <v>149</v>
      </c>
      <c r="E119" s="232"/>
      <c r="F119" s="271">
        <v>0</v>
      </c>
      <c r="G119" s="272">
        <f>E119*F119</f>
        <v>0</v>
      </c>
      <c r="H119" s="150"/>
    </row>
    <row r="120" spans="2:8" hidden="1" x14ac:dyDescent="0.2">
      <c r="B120" s="129"/>
      <c r="C120" s="230" t="s">
        <v>1424</v>
      </c>
      <c r="D120" s="231"/>
      <c r="E120" s="232"/>
      <c r="F120" s="233"/>
      <c r="G120" s="234"/>
      <c r="H120" s="122"/>
    </row>
    <row r="121" spans="2:8" s="9" customFormat="1" ht="18" hidden="1" customHeight="1" x14ac:dyDescent="0.25">
      <c r="B121" s="152"/>
      <c r="C121" s="235" t="s">
        <v>1089</v>
      </c>
      <c r="D121" s="236" t="s">
        <v>149</v>
      </c>
      <c r="E121" s="232"/>
      <c r="F121" s="271">
        <v>0</v>
      </c>
      <c r="G121" s="272">
        <f>E121*F121</f>
        <v>0</v>
      </c>
      <c r="H121" s="150"/>
    </row>
    <row r="122" spans="2:8" s="9" customFormat="1" ht="18" hidden="1" customHeight="1" x14ac:dyDescent="0.25">
      <c r="B122" s="152"/>
      <c r="C122" s="235" t="s">
        <v>1425</v>
      </c>
      <c r="D122" s="236" t="s">
        <v>149</v>
      </c>
      <c r="E122" s="232"/>
      <c r="F122" s="271">
        <v>0</v>
      </c>
      <c r="G122" s="272">
        <f>E122*F122</f>
        <v>0</v>
      </c>
      <c r="H122" s="150"/>
    </row>
    <row r="123" spans="2:8" hidden="1" x14ac:dyDescent="0.2">
      <c r="B123" s="129"/>
      <c r="C123" s="230" t="s">
        <v>185</v>
      </c>
      <c r="D123" s="231"/>
      <c r="E123" s="232"/>
      <c r="F123" s="233"/>
      <c r="G123" s="234"/>
      <c r="H123" s="122"/>
    </row>
    <row r="124" spans="2:8" s="9" customFormat="1" ht="18" hidden="1" customHeight="1" x14ac:dyDescent="0.25">
      <c r="B124" s="152"/>
      <c r="C124" s="235" t="s">
        <v>186</v>
      </c>
      <c r="D124" s="236" t="s">
        <v>149</v>
      </c>
      <c r="E124" s="232"/>
      <c r="F124" s="271">
        <v>0</v>
      </c>
      <c r="G124" s="272">
        <f>E124*F124</f>
        <v>0</v>
      </c>
      <c r="H124" s="150"/>
    </row>
    <row r="125" spans="2:8" s="9" customFormat="1" ht="18" hidden="1" customHeight="1" x14ac:dyDescent="0.25">
      <c r="B125" s="152"/>
      <c r="C125" s="235" t="s">
        <v>187</v>
      </c>
      <c r="D125" s="236" t="s">
        <v>149</v>
      </c>
      <c r="E125" s="232"/>
      <c r="F125" s="271">
        <v>0</v>
      </c>
      <c r="G125" s="272">
        <f>E125*F125</f>
        <v>0</v>
      </c>
      <c r="H125" s="150"/>
    </row>
    <row r="126" spans="2:8" s="34" customFormat="1" hidden="1" x14ac:dyDescent="0.2">
      <c r="B126" s="292" t="s">
        <v>188</v>
      </c>
      <c r="C126" s="238" t="s">
        <v>189</v>
      </c>
      <c r="D126" s="239"/>
      <c r="E126" s="240"/>
      <c r="F126" s="241">
        <v>0</v>
      </c>
      <c r="G126" s="242"/>
      <c r="H126" s="122"/>
    </row>
    <row r="127" spans="2:8" s="34" customFormat="1" hidden="1" x14ac:dyDescent="0.2">
      <c r="B127" s="135"/>
      <c r="C127" s="238" t="s">
        <v>2308</v>
      </c>
      <c r="D127" s="239"/>
      <c r="E127" s="240"/>
      <c r="F127" s="241">
        <v>0</v>
      </c>
      <c r="G127" s="242"/>
      <c r="H127" s="122"/>
    </row>
    <row r="128" spans="2:8" s="34" customFormat="1" hidden="1" x14ac:dyDescent="0.2">
      <c r="B128" s="135"/>
      <c r="C128" s="243" t="s">
        <v>2309</v>
      </c>
      <c r="D128" s="239" t="s">
        <v>149</v>
      </c>
      <c r="E128" s="240"/>
      <c r="F128" s="273">
        <v>0</v>
      </c>
      <c r="G128" s="274">
        <f t="shared" ref="G128:G138" si="2">E128*F128</f>
        <v>0</v>
      </c>
      <c r="H128" s="122"/>
    </row>
    <row r="129" spans="2:8" s="34" customFormat="1" hidden="1" x14ac:dyDescent="0.2">
      <c r="B129" s="135"/>
      <c r="C129" s="243" t="s">
        <v>2310</v>
      </c>
      <c r="D129" s="239" t="s">
        <v>149</v>
      </c>
      <c r="E129" s="240"/>
      <c r="F129" s="273">
        <v>0</v>
      </c>
      <c r="G129" s="274">
        <f t="shared" si="2"/>
        <v>0</v>
      </c>
      <c r="H129" s="122"/>
    </row>
    <row r="130" spans="2:8" s="34" customFormat="1" ht="12.75" hidden="1" customHeight="1" x14ac:dyDescent="0.2">
      <c r="B130" s="135"/>
      <c r="C130" s="243" t="s">
        <v>2311</v>
      </c>
      <c r="D130" s="239" t="s">
        <v>149</v>
      </c>
      <c r="E130" s="240"/>
      <c r="F130" s="273">
        <v>0</v>
      </c>
      <c r="G130" s="274">
        <f t="shared" si="2"/>
        <v>0</v>
      </c>
      <c r="H130" s="122"/>
    </row>
    <row r="131" spans="2:8" s="34" customFormat="1" ht="12.75" hidden="1" customHeight="1" x14ac:dyDescent="0.2">
      <c r="B131" s="135"/>
      <c r="C131" s="244" t="s">
        <v>2312</v>
      </c>
      <c r="D131" s="239" t="s">
        <v>149</v>
      </c>
      <c r="E131" s="240"/>
      <c r="F131" s="273">
        <v>0</v>
      </c>
      <c r="G131" s="274">
        <f t="shared" si="2"/>
        <v>0</v>
      </c>
      <c r="H131" s="122"/>
    </row>
    <row r="132" spans="2:8" s="34" customFormat="1" hidden="1" x14ac:dyDescent="0.2">
      <c r="B132" s="135"/>
      <c r="C132" s="244" t="s">
        <v>2313</v>
      </c>
      <c r="D132" s="239" t="s">
        <v>149</v>
      </c>
      <c r="E132" s="240"/>
      <c r="F132" s="273">
        <v>0</v>
      </c>
      <c r="G132" s="274">
        <f t="shared" si="2"/>
        <v>0</v>
      </c>
      <c r="H132" s="122"/>
    </row>
    <row r="133" spans="2:8" s="34" customFormat="1" hidden="1" x14ac:dyDescent="0.2">
      <c r="B133" s="135"/>
      <c r="C133" s="244" t="s">
        <v>2314</v>
      </c>
      <c r="D133" s="239" t="s">
        <v>149</v>
      </c>
      <c r="E133" s="240"/>
      <c r="F133" s="273">
        <v>0</v>
      </c>
      <c r="G133" s="274">
        <f t="shared" si="2"/>
        <v>0</v>
      </c>
      <c r="H133" s="122"/>
    </row>
    <row r="134" spans="2:8" s="34" customFormat="1" hidden="1" x14ac:dyDescent="0.2">
      <c r="B134" s="135"/>
      <c r="C134" s="245" t="s">
        <v>265</v>
      </c>
      <c r="D134" s="239" t="s">
        <v>149</v>
      </c>
      <c r="E134" s="240"/>
      <c r="F134" s="273">
        <v>0</v>
      </c>
      <c r="G134" s="274">
        <f t="shared" si="2"/>
        <v>0</v>
      </c>
      <c r="H134" s="122"/>
    </row>
    <row r="135" spans="2:8" s="34" customFormat="1" hidden="1" x14ac:dyDescent="0.2">
      <c r="B135" s="135"/>
      <c r="C135" s="245" t="s">
        <v>731</v>
      </c>
      <c r="D135" s="239" t="s">
        <v>149</v>
      </c>
      <c r="E135" s="240"/>
      <c r="F135" s="273">
        <v>0</v>
      </c>
      <c r="G135" s="274">
        <f t="shared" si="2"/>
        <v>0</v>
      </c>
      <c r="H135" s="122"/>
    </row>
    <row r="136" spans="2:8" s="34" customFormat="1" hidden="1" x14ac:dyDescent="0.2">
      <c r="B136" s="135"/>
      <c r="C136" s="243" t="s">
        <v>2315</v>
      </c>
      <c r="D136" s="239" t="s">
        <v>149</v>
      </c>
      <c r="E136" s="240"/>
      <c r="F136" s="273">
        <v>0</v>
      </c>
      <c r="G136" s="274">
        <f t="shared" si="2"/>
        <v>0</v>
      </c>
      <c r="H136" s="122"/>
    </row>
    <row r="137" spans="2:8" s="34" customFormat="1" hidden="1" x14ac:dyDescent="0.2">
      <c r="B137" s="135"/>
      <c r="C137" s="245" t="s">
        <v>2316</v>
      </c>
      <c r="D137" s="239" t="s">
        <v>149</v>
      </c>
      <c r="E137" s="240"/>
      <c r="F137" s="273">
        <v>0</v>
      </c>
      <c r="G137" s="274">
        <f t="shared" si="2"/>
        <v>0</v>
      </c>
      <c r="H137" s="122"/>
    </row>
    <row r="138" spans="2:8" s="34" customFormat="1" hidden="1" x14ac:dyDescent="0.2">
      <c r="B138" s="135"/>
      <c r="C138" s="246" t="s">
        <v>198</v>
      </c>
      <c r="D138" s="239" t="s">
        <v>149</v>
      </c>
      <c r="E138" s="240"/>
      <c r="F138" s="273">
        <v>0</v>
      </c>
      <c r="G138" s="274">
        <f t="shared" si="2"/>
        <v>0</v>
      </c>
      <c r="H138" s="122"/>
    </row>
    <row r="139" spans="2:8" s="34" customFormat="1" hidden="1" x14ac:dyDescent="0.2">
      <c r="B139" s="135"/>
      <c r="C139" s="238" t="s">
        <v>2317</v>
      </c>
      <c r="D139" s="239"/>
      <c r="E139" s="240"/>
      <c r="F139" s="241">
        <v>0</v>
      </c>
      <c r="G139" s="242"/>
      <c r="H139" s="122"/>
    </row>
    <row r="140" spans="2:8" s="34" customFormat="1" hidden="1" x14ac:dyDescent="0.2">
      <c r="B140" s="135"/>
      <c r="C140" s="243" t="s">
        <v>2318</v>
      </c>
      <c r="D140" s="239" t="s">
        <v>149</v>
      </c>
      <c r="E140" s="240"/>
      <c r="F140" s="273">
        <v>0</v>
      </c>
      <c r="G140" s="274">
        <f t="shared" ref="G140:G150" si="3">E140*F140</f>
        <v>0</v>
      </c>
      <c r="H140" s="122"/>
    </row>
    <row r="141" spans="2:8" s="34" customFormat="1" hidden="1" x14ac:dyDescent="0.2">
      <c r="B141" s="135"/>
      <c r="C141" s="243" t="s">
        <v>2319</v>
      </c>
      <c r="D141" s="239" t="s">
        <v>149</v>
      </c>
      <c r="E141" s="240"/>
      <c r="F141" s="273">
        <v>0</v>
      </c>
      <c r="G141" s="274">
        <f t="shared" si="3"/>
        <v>0</v>
      </c>
      <c r="H141" s="122"/>
    </row>
    <row r="142" spans="2:8" s="34" customFormat="1" ht="12.75" hidden="1" customHeight="1" x14ac:dyDescent="0.2">
      <c r="B142" s="135"/>
      <c r="C142" s="243" t="s">
        <v>726</v>
      </c>
      <c r="D142" s="239" t="s">
        <v>149</v>
      </c>
      <c r="E142" s="240"/>
      <c r="F142" s="273">
        <v>0</v>
      </c>
      <c r="G142" s="274">
        <f t="shared" si="3"/>
        <v>0</v>
      </c>
      <c r="H142" s="122"/>
    </row>
    <row r="143" spans="2:8" s="34" customFormat="1" ht="12.75" hidden="1" customHeight="1" x14ac:dyDescent="0.2">
      <c r="B143" s="135"/>
      <c r="C143" s="244" t="s">
        <v>2320</v>
      </c>
      <c r="D143" s="239" t="s">
        <v>149</v>
      </c>
      <c r="E143" s="240"/>
      <c r="F143" s="273">
        <v>0</v>
      </c>
      <c r="G143" s="274">
        <f t="shared" si="3"/>
        <v>0</v>
      </c>
      <c r="H143" s="122"/>
    </row>
    <row r="144" spans="2:8" s="34" customFormat="1" hidden="1" x14ac:dyDescent="0.2">
      <c r="B144" s="135"/>
      <c r="C144" s="244" t="s">
        <v>730</v>
      </c>
      <c r="D144" s="239" t="s">
        <v>149</v>
      </c>
      <c r="E144" s="240"/>
      <c r="F144" s="273">
        <v>0</v>
      </c>
      <c r="G144" s="274">
        <f t="shared" si="3"/>
        <v>0</v>
      </c>
      <c r="H144" s="122"/>
    </row>
    <row r="145" spans="2:8" s="34" customFormat="1" hidden="1" x14ac:dyDescent="0.2">
      <c r="B145" s="135"/>
      <c r="C145" s="244" t="s">
        <v>2314</v>
      </c>
      <c r="D145" s="239" t="s">
        <v>149</v>
      </c>
      <c r="E145" s="240"/>
      <c r="F145" s="273">
        <v>0</v>
      </c>
      <c r="G145" s="274">
        <f t="shared" si="3"/>
        <v>0</v>
      </c>
      <c r="H145" s="122"/>
    </row>
    <row r="146" spans="2:8" s="34" customFormat="1" hidden="1" x14ac:dyDescent="0.2">
      <c r="B146" s="135"/>
      <c r="C146" s="245" t="s">
        <v>265</v>
      </c>
      <c r="D146" s="239" t="s">
        <v>149</v>
      </c>
      <c r="E146" s="240"/>
      <c r="F146" s="273">
        <v>0</v>
      </c>
      <c r="G146" s="274">
        <f t="shared" si="3"/>
        <v>0</v>
      </c>
      <c r="H146" s="122"/>
    </row>
    <row r="147" spans="2:8" s="34" customFormat="1" hidden="1" x14ac:dyDescent="0.2">
      <c r="B147" s="135"/>
      <c r="C147" s="245" t="s">
        <v>731</v>
      </c>
      <c r="D147" s="239" t="s">
        <v>149</v>
      </c>
      <c r="E147" s="240"/>
      <c r="F147" s="273">
        <v>0</v>
      </c>
      <c r="G147" s="274">
        <f t="shared" si="3"/>
        <v>0</v>
      </c>
      <c r="H147" s="122"/>
    </row>
    <row r="148" spans="2:8" s="34" customFormat="1" hidden="1" x14ac:dyDescent="0.2">
      <c r="B148" s="135"/>
      <c r="C148" s="243" t="s">
        <v>2315</v>
      </c>
      <c r="D148" s="239" t="s">
        <v>149</v>
      </c>
      <c r="E148" s="240"/>
      <c r="F148" s="273">
        <v>0</v>
      </c>
      <c r="G148" s="274">
        <f t="shared" si="3"/>
        <v>0</v>
      </c>
      <c r="H148" s="122"/>
    </row>
    <row r="149" spans="2:8" s="34" customFormat="1" hidden="1" x14ac:dyDescent="0.2">
      <c r="B149" s="135"/>
      <c r="C149" s="245" t="s">
        <v>2321</v>
      </c>
      <c r="D149" s="239" t="s">
        <v>149</v>
      </c>
      <c r="E149" s="240"/>
      <c r="F149" s="273">
        <v>0</v>
      </c>
      <c r="G149" s="274">
        <f t="shared" si="3"/>
        <v>0</v>
      </c>
      <c r="H149" s="122"/>
    </row>
    <row r="150" spans="2:8" s="34" customFormat="1" hidden="1" x14ac:dyDescent="0.2">
      <c r="B150" s="135"/>
      <c r="C150" s="246" t="s">
        <v>198</v>
      </c>
      <c r="D150" s="239" t="s">
        <v>149</v>
      </c>
      <c r="E150" s="240"/>
      <c r="F150" s="273">
        <v>0</v>
      </c>
      <c r="G150" s="274">
        <f t="shared" si="3"/>
        <v>0</v>
      </c>
      <c r="H150" s="122"/>
    </row>
    <row r="151" spans="2:8" s="34" customFormat="1" hidden="1" x14ac:dyDescent="0.2">
      <c r="B151" s="135"/>
      <c r="C151" s="238" t="s">
        <v>2322</v>
      </c>
      <c r="D151" s="239"/>
      <c r="E151" s="240"/>
      <c r="F151" s="241">
        <v>0</v>
      </c>
      <c r="G151" s="242"/>
      <c r="H151" s="122"/>
    </row>
    <row r="152" spans="2:8" s="34" customFormat="1" hidden="1" x14ac:dyDescent="0.2">
      <c r="B152" s="135"/>
      <c r="C152" s="243" t="s">
        <v>2323</v>
      </c>
      <c r="D152" s="239" t="s">
        <v>149</v>
      </c>
      <c r="E152" s="240"/>
      <c r="F152" s="273">
        <v>0</v>
      </c>
      <c r="G152" s="274">
        <f t="shared" ref="G152:G162" si="4">E152*F152</f>
        <v>0</v>
      </c>
      <c r="H152" s="122"/>
    </row>
    <row r="153" spans="2:8" s="34" customFormat="1" hidden="1" x14ac:dyDescent="0.2">
      <c r="B153" s="135"/>
      <c r="C153" s="243" t="s">
        <v>2324</v>
      </c>
      <c r="D153" s="239" t="s">
        <v>149</v>
      </c>
      <c r="E153" s="240"/>
      <c r="F153" s="273">
        <v>0</v>
      </c>
      <c r="G153" s="274">
        <f t="shared" si="4"/>
        <v>0</v>
      </c>
      <c r="H153" s="122"/>
    </row>
    <row r="154" spans="2:8" s="34" customFormat="1" ht="12.75" hidden="1" customHeight="1" x14ac:dyDescent="0.2">
      <c r="B154" s="135"/>
      <c r="C154" s="243" t="s">
        <v>2325</v>
      </c>
      <c r="D154" s="239" t="s">
        <v>149</v>
      </c>
      <c r="E154" s="240"/>
      <c r="F154" s="273">
        <v>0</v>
      </c>
      <c r="G154" s="274">
        <f t="shared" si="4"/>
        <v>0</v>
      </c>
      <c r="H154" s="122"/>
    </row>
    <row r="155" spans="2:8" s="34" customFormat="1" ht="12.75" hidden="1" customHeight="1" x14ac:dyDescent="0.2">
      <c r="B155" s="135"/>
      <c r="C155" s="244" t="s">
        <v>2326</v>
      </c>
      <c r="D155" s="239" t="s">
        <v>149</v>
      </c>
      <c r="E155" s="240"/>
      <c r="F155" s="273">
        <v>0</v>
      </c>
      <c r="G155" s="274">
        <f t="shared" si="4"/>
        <v>0</v>
      </c>
      <c r="H155" s="122"/>
    </row>
    <row r="156" spans="2:8" s="34" customFormat="1" hidden="1" x14ac:dyDescent="0.2">
      <c r="B156" s="135"/>
      <c r="C156" s="244" t="s">
        <v>2327</v>
      </c>
      <c r="D156" s="239" t="s">
        <v>149</v>
      </c>
      <c r="E156" s="240"/>
      <c r="F156" s="273">
        <v>0</v>
      </c>
      <c r="G156" s="274">
        <f t="shared" si="4"/>
        <v>0</v>
      </c>
      <c r="H156" s="122"/>
    </row>
    <row r="157" spans="2:8" s="34" customFormat="1" hidden="1" x14ac:dyDescent="0.2">
      <c r="B157" s="135"/>
      <c r="C157" s="244" t="s">
        <v>2328</v>
      </c>
      <c r="D157" s="239" t="s">
        <v>149</v>
      </c>
      <c r="E157" s="240"/>
      <c r="F157" s="273">
        <v>0</v>
      </c>
      <c r="G157" s="274">
        <f t="shared" si="4"/>
        <v>0</v>
      </c>
      <c r="H157" s="122"/>
    </row>
    <row r="158" spans="2:8" s="34" customFormat="1" hidden="1" x14ac:dyDescent="0.2">
      <c r="B158" s="135"/>
      <c r="C158" s="245" t="s">
        <v>265</v>
      </c>
      <c r="D158" s="239" t="s">
        <v>149</v>
      </c>
      <c r="E158" s="240"/>
      <c r="F158" s="273">
        <v>0</v>
      </c>
      <c r="G158" s="274">
        <f t="shared" si="4"/>
        <v>0</v>
      </c>
      <c r="H158" s="122"/>
    </row>
    <row r="159" spans="2:8" s="34" customFormat="1" hidden="1" x14ac:dyDescent="0.2">
      <c r="B159" s="135"/>
      <c r="C159" s="245" t="s">
        <v>351</v>
      </c>
      <c r="D159" s="239" t="s">
        <v>149</v>
      </c>
      <c r="E159" s="240"/>
      <c r="F159" s="273">
        <v>0</v>
      </c>
      <c r="G159" s="274">
        <f t="shared" si="4"/>
        <v>0</v>
      </c>
      <c r="H159" s="122"/>
    </row>
    <row r="160" spans="2:8" s="34" customFormat="1" hidden="1" x14ac:dyDescent="0.2">
      <c r="B160" s="135"/>
      <c r="C160" s="243" t="s">
        <v>352</v>
      </c>
      <c r="D160" s="239" t="s">
        <v>149</v>
      </c>
      <c r="E160" s="240"/>
      <c r="F160" s="273">
        <v>0</v>
      </c>
      <c r="G160" s="274">
        <f t="shared" si="4"/>
        <v>0</v>
      </c>
      <c r="H160" s="122"/>
    </row>
    <row r="161" spans="2:8" s="34" customFormat="1" hidden="1" x14ac:dyDescent="0.2">
      <c r="B161" s="135"/>
      <c r="C161" s="245" t="s">
        <v>2329</v>
      </c>
      <c r="D161" s="239" t="s">
        <v>149</v>
      </c>
      <c r="E161" s="240"/>
      <c r="F161" s="273">
        <v>0</v>
      </c>
      <c r="G161" s="274">
        <f t="shared" si="4"/>
        <v>0</v>
      </c>
      <c r="H161" s="122"/>
    </row>
    <row r="162" spans="2:8" s="34" customFormat="1" hidden="1" x14ac:dyDescent="0.2">
      <c r="B162" s="135"/>
      <c r="C162" s="246" t="s">
        <v>198</v>
      </c>
      <c r="D162" s="239" t="s">
        <v>149</v>
      </c>
      <c r="E162" s="240"/>
      <c r="F162" s="273">
        <v>0</v>
      </c>
      <c r="G162" s="274">
        <f t="shared" si="4"/>
        <v>0</v>
      </c>
      <c r="H162" s="122"/>
    </row>
    <row r="163" spans="2:8" s="34" customFormat="1" hidden="1" x14ac:dyDescent="0.2">
      <c r="B163" s="135"/>
      <c r="C163" s="238" t="s">
        <v>321</v>
      </c>
      <c r="D163" s="239"/>
      <c r="E163" s="240"/>
      <c r="F163" s="241">
        <v>0</v>
      </c>
      <c r="G163" s="242"/>
      <c r="H163" s="122"/>
    </row>
    <row r="164" spans="2:8" s="34" customFormat="1" hidden="1" x14ac:dyDescent="0.2">
      <c r="B164" s="135"/>
      <c r="C164" s="243" t="s">
        <v>322</v>
      </c>
      <c r="D164" s="239" t="s">
        <v>149</v>
      </c>
      <c r="E164" s="240"/>
      <c r="F164" s="273">
        <v>0</v>
      </c>
      <c r="G164" s="274">
        <f t="shared" ref="G164:G170" si="5">E164*F164</f>
        <v>0</v>
      </c>
      <c r="H164" s="122"/>
    </row>
    <row r="165" spans="2:8" s="34" customFormat="1" ht="38.25" hidden="1" customHeight="1" x14ac:dyDescent="0.2">
      <c r="B165" s="135"/>
      <c r="C165" s="244" t="s">
        <v>285</v>
      </c>
      <c r="D165" s="239" t="s">
        <v>149</v>
      </c>
      <c r="E165" s="240"/>
      <c r="F165" s="273">
        <v>0</v>
      </c>
      <c r="G165" s="274">
        <f t="shared" si="5"/>
        <v>0</v>
      </c>
      <c r="H165" s="122"/>
    </row>
    <row r="166" spans="2:8" s="34" customFormat="1" hidden="1" x14ac:dyDescent="0.2">
      <c r="B166" s="135"/>
      <c r="C166" s="244" t="s">
        <v>193</v>
      </c>
      <c r="D166" s="239" t="s">
        <v>149</v>
      </c>
      <c r="E166" s="240"/>
      <c r="F166" s="273">
        <v>0</v>
      </c>
      <c r="G166" s="274">
        <f t="shared" si="5"/>
        <v>0</v>
      </c>
      <c r="H166" s="122"/>
    </row>
    <row r="167" spans="2:8" s="34" customFormat="1" hidden="1" x14ac:dyDescent="0.2">
      <c r="B167" s="135"/>
      <c r="C167" s="244" t="s">
        <v>194</v>
      </c>
      <c r="D167" s="239" t="s">
        <v>149</v>
      </c>
      <c r="E167" s="240"/>
      <c r="F167" s="273">
        <v>0</v>
      </c>
      <c r="G167" s="274">
        <f t="shared" si="5"/>
        <v>0</v>
      </c>
      <c r="H167" s="122"/>
    </row>
    <row r="168" spans="2:8" s="34" customFormat="1" hidden="1" x14ac:dyDescent="0.2">
      <c r="B168" s="135"/>
      <c r="C168" s="245" t="s">
        <v>323</v>
      </c>
      <c r="D168" s="239" t="s">
        <v>149</v>
      </c>
      <c r="E168" s="240"/>
      <c r="F168" s="273">
        <v>0</v>
      </c>
      <c r="G168" s="274">
        <f t="shared" si="5"/>
        <v>0</v>
      </c>
      <c r="H168" s="122"/>
    </row>
    <row r="169" spans="2:8" s="34" customFormat="1" hidden="1" x14ac:dyDescent="0.2">
      <c r="B169" s="135"/>
      <c r="C169" s="245" t="s">
        <v>197</v>
      </c>
      <c r="D169" s="239" t="s">
        <v>149</v>
      </c>
      <c r="E169" s="240"/>
      <c r="F169" s="273">
        <v>0</v>
      </c>
      <c r="G169" s="274">
        <f t="shared" si="5"/>
        <v>0</v>
      </c>
      <c r="H169" s="122"/>
    </row>
    <row r="170" spans="2:8" s="34" customFormat="1" hidden="1" x14ac:dyDescent="0.2">
      <c r="B170" s="135"/>
      <c r="C170" s="246" t="s">
        <v>198</v>
      </c>
      <c r="D170" s="239" t="s">
        <v>149</v>
      </c>
      <c r="E170" s="240"/>
      <c r="F170" s="273">
        <v>0</v>
      </c>
      <c r="G170" s="274">
        <f t="shared" si="5"/>
        <v>0</v>
      </c>
      <c r="H170" s="122"/>
    </row>
    <row r="171" spans="2:8" s="34" customFormat="1" hidden="1" x14ac:dyDescent="0.2">
      <c r="B171" s="135"/>
      <c r="C171" s="238" t="s">
        <v>1736</v>
      </c>
      <c r="D171" s="239"/>
      <c r="E171" s="240"/>
      <c r="F171" s="241">
        <v>0</v>
      </c>
      <c r="G171" s="242"/>
      <c r="H171" s="122"/>
    </row>
    <row r="172" spans="2:8" s="34" customFormat="1" hidden="1" x14ac:dyDescent="0.2">
      <c r="B172" s="135"/>
      <c r="C172" s="243" t="s">
        <v>1258</v>
      </c>
      <c r="D172" s="239" t="s">
        <v>149</v>
      </c>
      <c r="E172" s="240"/>
      <c r="F172" s="273">
        <v>0</v>
      </c>
      <c r="G172" s="274">
        <f t="shared" ref="G172:G178" si="6">E172*F172</f>
        <v>0</v>
      </c>
      <c r="H172" s="122"/>
    </row>
    <row r="173" spans="2:8" s="34" customFormat="1" ht="38.25" hidden="1" customHeight="1" x14ac:dyDescent="0.2">
      <c r="B173" s="135"/>
      <c r="C173" s="244" t="s">
        <v>192</v>
      </c>
      <c r="D173" s="239" t="s">
        <v>149</v>
      </c>
      <c r="E173" s="240"/>
      <c r="F173" s="273">
        <v>0</v>
      </c>
      <c r="G173" s="274">
        <f t="shared" si="6"/>
        <v>0</v>
      </c>
      <c r="H173" s="122"/>
    </row>
    <row r="174" spans="2:8" s="34" customFormat="1" hidden="1" x14ac:dyDescent="0.2">
      <c r="B174" s="135"/>
      <c r="C174" s="244" t="s">
        <v>193</v>
      </c>
      <c r="D174" s="239" t="s">
        <v>149</v>
      </c>
      <c r="E174" s="240"/>
      <c r="F174" s="273">
        <v>0</v>
      </c>
      <c r="G174" s="274">
        <f t="shared" si="6"/>
        <v>0</v>
      </c>
      <c r="H174" s="122"/>
    </row>
    <row r="175" spans="2:8" s="34" customFormat="1" hidden="1" x14ac:dyDescent="0.2">
      <c r="B175" s="135"/>
      <c r="C175" s="244" t="s">
        <v>194</v>
      </c>
      <c r="D175" s="239" t="s">
        <v>149</v>
      </c>
      <c r="E175" s="240"/>
      <c r="F175" s="273">
        <v>0</v>
      </c>
      <c r="G175" s="274">
        <f t="shared" si="6"/>
        <v>0</v>
      </c>
      <c r="H175" s="122"/>
    </row>
    <row r="176" spans="2:8" s="34" customFormat="1" hidden="1" x14ac:dyDescent="0.2">
      <c r="B176" s="135"/>
      <c r="C176" s="245" t="s">
        <v>354</v>
      </c>
      <c r="D176" s="239" t="s">
        <v>149</v>
      </c>
      <c r="E176" s="240"/>
      <c r="F176" s="273">
        <v>0</v>
      </c>
      <c r="G176" s="274">
        <f t="shared" si="6"/>
        <v>0</v>
      </c>
      <c r="H176" s="122"/>
    </row>
    <row r="177" spans="2:8" s="34" customFormat="1" hidden="1" x14ac:dyDescent="0.2">
      <c r="B177" s="135"/>
      <c r="C177" s="245" t="s">
        <v>197</v>
      </c>
      <c r="D177" s="239" t="s">
        <v>149</v>
      </c>
      <c r="E177" s="240"/>
      <c r="F177" s="273">
        <v>0</v>
      </c>
      <c r="G177" s="274">
        <f t="shared" si="6"/>
        <v>0</v>
      </c>
      <c r="H177" s="122"/>
    </row>
    <row r="178" spans="2:8" s="34" customFormat="1" hidden="1" x14ac:dyDescent="0.2">
      <c r="B178" s="135"/>
      <c r="C178" s="246" t="s">
        <v>198</v>
      </c>
      <c r="D178" s="239" t="s">
        <v>149</v>
      </c>
      <c r="E178" s="240"/>
      <c r="F178" s="273">
        <v>0</v>
      </c>
      <c r="G178" s="274">
        <f t="shared" si="6"/>
        <v>0</v>
      </c>
      <c r="H178" s="122"/>
    </row>
    <row r="179" spans="2:8" s="34" customFormat="1" hidden="1" x14ac:dyDescent="0.2">
      <c r="B179" s="135"/>
      <c r="C179" s="238" t="s">
        <v>190</v>
      </c>
      <c r="D179" s="239"/>
      <c r="E179" s="240"/>
      <c r="F179" s="241">
        <v>0</v>
      </c>
      <c r="G179" s="242"/>
      <c r="H179" s="122"/>
    </row>
    <row r="180" spans="2:8" s="34" customFormat="1" hidden="1" x14ac:dyDescent="0.2">
      <c r="B180" s="135"/>
      <c r="C180" s="243" t="s">
        <v>191</v>
      </c>
      <c r="D180" s="239" t="s">
        <v>149</v>
      </c>
      <c r="E180" s="240"/>
      <c r="F180" s="273">
        <v>0</v>
      </c>
      <c r="G180" s="274">
        <f t="shared" ref="G180:G187" si="7">E180*F180</f>
        <v>0</v>
      </c>
      <c r="H180" s="122"/>
    </row>
    <row r="181" spans="2:8" s="34" customFormat="1" ht="38.25" hidden="1" customHeight="1" x14ac:dyDescent="0.2">
      <c r="B181" s="135"/>
      <c r="C181" s="244" t="s">
        <v>192</v>
      </c>
      <c r="D181" s="239" t="s">
        <v>149</v>
      </c>
      <c r="E181" s="240"/>
      <c r="F181" s="273">
        <v>0</v>
      </c>
      <c r="G181" s="274">
        <f t="shared" si="7"/>
        <v>0</v>
      </c>
      <c r="H181" s="122"/>
    </row>
    <row r="182" spans="2:8" s="34" customFormat="1" hidden="1" x14ac:dyDescent="0.2">
      <c r="B182" s="135"/>
      <c r="C182" s="244" t="s">
        <v>193</v>
      </c>
      <c r="D182" s="239" t="s">
        <v>149</v>
      </c>
      <c r="E182" s="240"/>
      <c r="F182" s="273">
        <v>0</v>
      </c>
      <c r="G182" s="274">
        <f t="shared" si="7"/>
        <v>0</v>
      </c>
      <c r="H182" s="122"/>
    </row>
    <row r="183" spans="2:8" s="34" customFormat="1" hidden="1" x14ac:dyDescent="0.2">
      <c r="B183" s="135"/>
      <c r="C183" s="244" t="s">
        <v>194</v>
      </c>
      <c r="D183" s="239" t="s">
        <v>149</v>
      </c>
      <c r="E183" s="240"/>
      <c r="F183" s="273">
        <v>0</v>
      </c>
      <c r="G183" s="274">
        <f t="shared" si="7"/>
        <v>0</v>
      </c>
      <c r="H183" s="122"/>
    </row>
    <row r="184" spans="2:8" s="34" customFormat="1" hidden="1" x14ac:dyDescent="0.2">
      <c r="B184" s="135"/>
      <c r="C184" s="244" t="s">
        <v>195</v>
      </c>
      <c r="D184" s="239" t="s">
        <v>149</v>
      </c>
      <c r="E184" s="240"/>
      <c r="F184" s="273">
        <v>0</v>
      </c>
      <c r="G184" s="274">
        <f t="shared" si="7"/>
        <v>0</v>
      </c>
      <c r="H184" s="122"/>
    </row>
    <row r="185" spans="2:8" s="34" customFormat="1" hidden="1" x14ac:dyDescent="0.2">
      <c r="B185" s="135"/>
      <c r="C185" s="244" t="s">
        <v>196</v>
      </c>
      <c r="D185" s="239" t="s">
        <v>149</v>
      </c>
      <c r="E185" s="240"/>
      <c r="F185" s="273">
        <v>0</v>
      </c>
      <c r="G185" s="274">
        <f t="shared" si="7"/>
        <v>0</v>
      </c>
      <c r="H185" s="122"/>
    </row>
    <row r="186" spans="2:8" s="34" customFormat="1" hidden="1" x14ac:dyDescent="0.2">
      <c r="B186" s="135"/>
      <c r="C186" s="244" t="s">
        <v>197</v>
      </c>
      <c r="D186" s="239" t="s">
        <v>149</v>
      </c>
      <c r="E186" s="240"/>
      <c r="F186" s="273">
        <v>0</v>
      </c>
      <c r="G186" s="274">
        <f t="shared" si="7"/>
        <v>0</v>
      </c>
      <c r="H186" s="122"/>
    </row>
    <row r="187" spans="2:8" s="34" customFormat="1" hidden="1" x14ac:dyDescent="0.2">
      <c r="B187" s="135"/>
      <c r="C187" s="244" t="s">
        <v>198</v>
      </c>
      <c r="D187" s="239" t="s">
        <v>149</v>
      </c>
      <c r="E187" s="240"/>
      <c r="F187" s="273">
        <v>0</v>
      </c>
      <c r="G187" s="274">
        <f t="shared" si="7"/>
        <v>0</v>
      </c>
      <c r="H187" s="122"/>
    </row>
    <row r="188" spans="2:8" s="34" customFormat="1" hidden="1" x14ac:dyDescent="0.2">
      <c r="B188" s="135"/>
      <c r="C188" s="238" t="s">
        <v>838</v>
      </c>
      <c r="D188" s="239"/>
      <c r="E188" s="240"/>
      <c r="F188" s="241">
        <v>0</v>
      </c>
      <c r="G188" s="242"/>
      <c r="H188" s="122"/>
    </row>
    <row r="189" spans="2:8" s="34" customFormat="1" hidden="1" x14ac:dyDescent="0.2">
      <c r="B189" s="135"/>
      <c r="C189" s="243" t="s">
        <v>207</v>
      </c>
      <c r="D189" s="239" t="s">
        <v>149</v>
      </c>
      <c r="E189" s="240"/>
      <c r="F189" s="273">
        <v>0</v>
      </c>
      <c r="G189" s="274">
        <f t="shared" ref="G189:G196" si="8">E189*F189</f>
        <v>0</v>
      </c>
      <c r="H189" s="122"/>
    </row>
    <row r="190" spans="2:8" s="34" customFormat="1" ht="38.25" hidden="1" customHeight="1" x14ac:dyDescent="0.2">
      <c r="B190" s="135"/>
      <c r="C190" s="244" t="s">
        <v>192</v>
      </c>
      <c r="D190" s="239" t="s">
        <v>149</v>
      </c>
      <c r="E190" s="240"/>
      <c r="F190" s="273">
        <v>0</v>
      </c>
      <c r="G190" s="274">
        <f t="shared" si="8"/>
        <v>0</v>
      </c>
      <c r="H190" s="122"/>
    </row>
    <row r="191" spans="2:8" s="34" customFormat="1" hidden="1" x14ac:dyDescent="0.2">
      <c r="B191" s="135"/>
      <c r="C191" s="244" t="s">
        <v>193</v>
      </c>
      <c r="D191" s="239" t="s">
        <v>149</v>
      </c>
      <c r="E191" s="240"/>
      <c r="F191" s="273">
        <v>0</v>
      </c>
      <c r="G191" s="274">
        <f t="shared" si="8"/>
        <v>0</v>
      </c>
      <c r="H191" s="122"/>
    </row>
    <row r="192" spans="2:8" s="34" customFormat="1" hidden="1" x14ac:dyDescent="0.2">
      <c r="B192" s="135"/>
      <c r="C192" s="244" t="s">
        <v>194</v>
      </c>
      <c r="D192" s="239" t="s">
        <v>149</v>
      </c>
      <c r="E192" s="240"/>
      <c r="F192" s="273">
        <v>0</v>
      </c>
      <c r="G192" s="274">
        <f t="shared" si="8"/>
        <v>0</v>
      </c>
      <c r="H192" s="122"/>
    </row>
    <row r="193" spans="2:8" s="34" customFormat="1" hidden="1" x14ac:dyDescent="0.2">
      <c r="B193" s="135"/>
      <c r="C193" s="244" t="s">
        <v>235</v>
      </c>
      <c r="D193" s="239" t="s">
        <v>149</v>
      </c>
      <c r="E193" s="240"/>
      <c r="F193" s="273">
        <v>0</v>
      </c>
      <c r="G193" s="274">
        <f t="shared" si="8"/>
        <v>0</v>
      </c>
      <c r="H193" s="122"/>
    </row>
    <row r="194" spans="2:8" s="34" customFormat="1" hidden="1" x14ac:dyDescent="0.2">
      <c r="B194" s="135"/>
      <c r="C194" s="244" t="s">
        <v>839</v>
      </c>
      <c r="D194" s="239" t="s">
        <v>149</v>
      </c>
      <c r="E194" s="240"/>
      <c r="F194" s="273">
        <v>0</v>
      </c>
      <c r="G194" s="274">
        <f t="shared" si="8"/>
        <v>0</v>
      </c>
      <c r="H194" s="122"/>
    </row>
    <row r="195" spans="2:8" s="34" customFormat="1" hidden="1" x14ac:dyDescent="0.2">
      <c r="B195" s="135"/>
      <c r="C195" s="244" t="s">
        <v>197</v>
      </c>
      <c r="D195" s="239" t="s">
        <v>149</v>
      </c>
      <c r="E195" s="240"/>
      <c r="F195" s="273">
        <v>0</v>
      </c>
      <c r="G195" s="274">
        <f t="shared" si="8"/>
        <v>0</v>
      </c>
      <c r="H195" s="122"/>
    </row>
    <row r="196" spans="2:8" s="34" customFormat="1" hidden="1" x14ac:dyDescent="0.2">
      <c r="B196" s="135"/>
      <c r="C196" s="244" t="s">
        <v>198</v>
      </c>
      <c r="D196" s="239" t="s">
        <v>149</v>
      </c>
      <c r="E196" s="240"/>
      <c r="F196" s="273">
        <v>0</v>
      </c>
      <c r="G196" s="274">
        <f t="shared" si="8"/>
        <v>0</v>
      </c>
      <c r="H196" s="122"/>
    </row>
    <row r="197" spans="2:8" s="34" customFormat="1" hidden="1" x14ac:dyDescent="0.2">
      <c r="B197" s="135"/>
      <c r="C197" s="238" t="s">
        <v>1796</v>
      </c>
      <c r="D197" s="239"/>
      <c r="E197" s="240"/>
      <c r="F197" s="241">
        <v>0</v>
      </c>
      <c r="G197" s="242"/>
      <c r="H197" s="122"/>
    </row>
    <row r="198" spans="2:8" s="34" customFormat="1" hidden="1" x14ac:dyDescent="0.2">
      <c r="B198" s="135"/>
      <c r="C198" s="243" t="s">
        <v>298</v>
      </c>
      <c r="D198" s="239" t="s">
        <v>149</v>
      </c>
      <c r="E198" s="240"/>
      <c r="F198" s="273">
        <v>0</v>
      </c>
      <c r="G198" s="274">
        <f t="shared" ref="G198:G205" si="9">E198*F198</f>
        <v>0</v>
      </c>
      <c r="H198" s="122"/>
    </row>
    <row r="199" spans="2:8" s="34" customFormat="1" ht="38.25" hidden="1" customHeight="1" x14ac:dyDescent="0.2">
      <c r="B199" s="135"/>
      <c r="C199" s="244" t="s">
        <v>285</v>
      </c>
      <c r="D199" s="239" t="s">
        <v>149</v>
      </c>
      <c r="E199" s="240"/>
      <c r="F199" s="273">
        <v>0</v>
      </c>
      <c r="G199" s="274">
        <f t="shared" si="9"/>
        <v>0</v>
      </c>
      <c r="H199" s="122"/>
    </row>
    <row r="200" spans="2:8" s="34" customFormat="1" hidden="1" x14ac:dyDescent="0.2">
      <c r="B200" s="135"/>
      <c r="C200" s="244" t="s">
        <v>193</v>
      </c>
      <c r="D200" s="239" t="s">
        <v>149</v>
      </c>
      <c r="E200" s="240"/>
      <c r="F200" s="273">
        <v>0</v>
      </c>
      <c r="G200" s="274">
        <f t="shared" si="9"/>
        <v>0</v>
      </c>
      <c r="H200" s="122"/>
    </row>
    <row r="201" spans="2:8" s="34" customFormat="1" hidden="1" x14ac:dyDescent="0.2">
      <c r="B201" s="135"/>
      <c r="C201" s="244" t="s">
        <v>194</v>
      </c>
      <c r="D201" s="239" t="s">
        <v>149</v>
      </c>
      <c r="E201" s="240"/>
      <c r="F201" s="273">
        <v>0</v>
      </c>
      <c r="G201" s="274">
        <f t="shared" si="9"/>
        <v>0</v>
      </c>
      <c r="H201" s="122"/>
    </row>
    <row r="202" spans="2:8" s="34" customFormat="1" hidden="1" x14ac:dyDescent="0.2">
      <c r="B202" s="135"/>
      <c r="C202" s="245" t="s">
        <v>239</v>
      </c>
      <c r="D202" s="239" t="s">
        <v>149</v>
      </c>
      <c r="E202" s="240"/>
      <c r="F202" s="273">
        <v>0</v>
      </c>
      <c r="G202" s="274">
        <f t="shared" si="9"/>
        <v>0</v>
      </c>
      <c r="H202" s="122"/>
    </row>
    <row r="203" spans="2:8" s="34" customFormat="1" hidden="1" x14ac:dyDescent="0.2">
      <c r="B203" s="135"/>
      <c r="C203" s="245" t="s">
        <v>240</v>
      </c>
      <c r="D203" s="239" t="s">
        <v>149</v>
      </c>
      <c r="E203" s="240"/>
      <c r="F203" s="273">
        <v>0</v>
      </c>
      <c r="G203" s="274">
        <f t="shared" si="9"/>
        <v>0</v>
      </c>
      <c r="H203" s="122"/>
    </row>
    <row r="204" spans="2:8" s="34" customFormat="1" hidden="1" x14ac:dyDescent="0.2">
      <c r="B204" s="135"/>
      <c r="C204" s="245" t="s">
        <v>197</v>
      </c>
      <c r="D204" s="239" t="s">
        <v>149</v>
      </c>
      <c r="E204" s="240"/>
      <c r="F204" s="273">
        <v>0</v>
      </c>
      <c r="G204" s="274">
        <f t="shared" si="9"/>
        <v>0</v>
      </c>
      <c r="H204" s="122"/>
    </row>
    <row r="205" spans="2:8" s="34" customFormat="1" hidden="1" x14ac:dyDescent="0.2">
      <c r="B205" s="135"/>
      <c r="C205" s="246" t="s">
        <v>198</v>
      </c>
      <c r="D205" s="239" t="s">
        <v>149</v>
      </c>
      <c r="E205" s="240"/>
      <c r="F205" s="273">
        <v>0</v>
      </c>
      <c r="G205" s="274">
        <f t="shared" si="9"/>
        <v>0</v>
      </c>
      <c r="H205" s="122"/>
    </row>
    <row r="206" spans="2:8" s="34" customFormat="1" hidden="1" x14ac:dyDescent="0.2">
      <c r="B206" s="135"/>
      <c r="C206" s="238" t="s">
        <v>840</v>
      </c>
      <c r="D206" s="239"/>
      <c r="E206" s="240"/>
      <c r="F206" s="241">
        <v>0</v>
      </c>
      <c r="G206" s="242"/>
      <c r="H206" s="122"/>
    </row>
    <row r="207" spans="2:8" s="34" customFormat="1" hidden="1" x14ac:dyDescent="0.2">
      <c r="B207" s="135"/>
      <c r="C207" s="243" t="s">
        <v>841</v>
      </c>
      <c r="D207" s="239" t="s">
        <v>149</v>
      </c>
      <c r="E207" s="240"/>
      <c r="F207" s="273">
        <v>0</v>
      </c>
      <c r="G207" s="274">
        <f t="shared" ref="G207:G216" si="10">E207*F207</f>
        <v>0</v>
      </c>
      <c r="H207" s="122"/>
    </row>
    <row r="208" spans="2:8" s="34" customFormat="1" ht="38.25" hidden="1" customHeight="1" x14ac:dyDescent="0.2">
      <c r="B208" s="135"/>
      <c r="C208" s="244" t="s">
        <v>285</v>
      </c>
      <c r="D208" s="239" t="s">
        <v>149</v>
      </c>
      <c r="E208" s="240"/>
      <c r="F208" s="273">
        <v>0</v>
      </c>
      <c r="G208" s="274">
        <f t="shared" si="10"/>
        <v>0</v>
      </c>
      <c r="H208" s="122"/>
    </row>
    <row r="209" spans="2:8" s="34" customFormat="1" hidden="1" x14ac:dyDescent="0.2">
      <c r="B209" s="135"/>
      <c r="C209" s="244" t="s">
        <v>193</v>
      </c>
      <c r="D209" s="239" t="s">
        <v>149</v>
      </c>
      <c r="E209" s="240"/>
      <c r="F209" s="273">
        <v>0</v>
      </c>
      <c r="G209" s="274">
        <f t="shared" si="10"/>
        <v>0</v>
      </c>
      <c r="H209" s="122"/>
    </row>
    <row r="210" spans="2:8" s="34" customFormat="1" hidden="1" x14ac:dyDescent="0.2">
      <c r="B210" s="135"/>
      <c r="C210" s="244" t="s">
        <v>194</v>
      </c>
      <c r="D210" s="239" t="s">
        <v>149</v>
      </c>
      <c r="E210" s="240"/>
      <c r="F210" s="273">
        <v>0</v>
      </c>
      <c r="G210" s="274">
        <f t="shared" si="10"/>
        <v>0</v>
      </c>
      <c r="H210" s="122"/>
    </row>
    <row r="211" spans="2:8" s="34" customFormat="1" hidden="1" x14ac:dyDescent="0.2">
      <c r="B211" s="135"/>
      <c r="C211" s="245" t="s">
        <v>239</v>
      </c>
      <c r="D211" s="239" t="s">
        <v>149</v>
      </c>
      <c r="E211" s="240"/>
      <c r="F211" s="273">
        <v>0</v>
      </c>
      <c r="G211" s="274">
        <f t="shared" si="10"/>
        <v>0</v>
      </c>
      <c r="H211" s="122"/>
    </row>
    <row r="212" spans="2:8" s="34" customFormat="1" hidden="1" x14ac:dyDescent="0.2">
      <c r="B212" s="135"/>
      <c r="C212" s="245" t="s">
        <v>240</v>
      </c>
      <c r="D212" s="239" t="s">
        <v>149</v>
      </c>
      <c r="E212" s="240"/>
      <c r="F212" s="273">
        <v>0</v>
      </c>
      <c r="G212" s="274">
        <f t="shared" si="10"/>
        <v>0</v>
      </c>
      <c r="H212" s="122"/>
    </row>
    <row r="213" spans="2:8" s="34" customFormat="1" hidden="1" x14ac:dyDescent="0.2">
      <c r="B213" s="135"/>
      <c r="C213" s="245" t="s">
        <v>241</v>
      </c>
      <c r="D213" s="239" t="s">
        <v>149</v>
      </c>
      <c r="E213" s="240"/>
      <c r="F213" s="273">
        <v>0</v>
      </c>
      <c r="G213" s="274">
        <f t="shared" si="10"/>
        <v>0</v>
      </c>
      <c r="H213" s="122"/>
    </row>
    <row r="214" spans="2:8" s="34" customFormat="1" hidden="1" x14ac:dyDescent="0.2">
      <c r="B214" s="135"/>
      <c r="C214" s="245" t="s">
        <v>242</v>
      </c>
      <c r="D214" s="239" t="s">
        <v>149</v>
      </c>
      <c r="E214" s="240"/>
      <c r="F214" s="273">
        <v>0</v>
      </c>
      <c r="G214" s="274">
        <f t="shared" si="10"/>
        <v>0</v>
      </c>
      <c r="H214" s="122"/>
    </row>
    <row r="215" spans="2:8" s="34" customFormat="1" hidden="1" x14ac:dyDescent="0.2">
      <c r="B215" s="135"/>
      <c r="C215" s="245" t="s">
        <v>197</v>
      </c>
      <c r="D215" s="239" t="s">
        <v>149</v>
      </c>
      <c r="E215" s="240"/>
      <c r="F215" s="273">
        <v>0</v>
      </c>
      <c r="G215" s="274">
        <f t="shared" si="10"/>
        <v>0</v>
      </c>
      <c r="H215" s="122"/>
    </row>
    <row r="216" spans="2:8" s="34" customFormat="1" hidden="1" x14ac:dyDescent="0.2">
      <c r="B216" s="135"/>
      <c r="C216" s="246" t="s">
        <v>198</v>
      </c>
      <c r="D216" s="239" t="s">
        <v>149</v>
      </c>
      <c r="E216" s="240"/>
      <c r="F216" s="273">
        <v>0</v>
      </c>
      <c r="G216" s="274">
        <f t="shared" si="10"/>
        <v>0</v>
      </c>
      <c r="H216" s="122"/>
    </row>
    <row r="217" spans="2:8" s="34" customFormat="1" hidden="1" x14ac:dyDescent="0.2">
      <c r="B217" s="292" t="s">
        <v>199</v>
      </c>
      <c r="C217" s="247" t="s">
        <v>200</v>
      </c>
      <c r="D217" s="202"/>
      <c r="E217" s="248"/>
      <c r="F217" s="249"/>
      <c r="G217" s="205"/>
      <c r="H217" s="122"/>
    </row>
    <row r="218" spans="2:8" s="34" customFormat="1" hidden="1" x14ac:dyDescent="0.2">
      <c r="B218" s="292"/>
      <c r="C218" s="247" t="s">
        <v>1769</v>
      </c>
      <c r="D218" s="202"/>
      <c r="E218" s="248"/>
      <c r="F218" s="249">
        <v>0</v>
      </c>
      <c r="G218" s="205"/>
      <c r="H218" s="122"/>
    </row>
    <row r="219" spans="2:8" s="34" customFormat="1" ht="27" hidden="1" customHeight="1" x14ac:dyDescent="0.2">
      <c r="B219" s="135"/>
      <c r="C219" s="250" t="s">
        <v>202</v>
      </c>
      <c r="D219" s="202" t="s">
        <v>149</v>
      </c>
      <c r="E219" s="248"/>
      <c r="F219" s="275">
        <v>0</v>
      </c>
      <c r="G219" s="276">
        <f>E219*F219</f>
        <v>0</v>
      </c>
      <c r="H219" s="122"/>
    </row>
    <row r="220" spans="2:8" s="34" customFormat="1" hidden="1" x14ac:dyDescent="0.2">
      <c r="B220" s="135"/>
      <c r="C220" s="251" t="s">
        <v>218</v>
      </c>
      <c r="D220" s="202" t="s">
        <v>149</v>
      </c>
      <c r="E220" s="248"/>
      <c r="F220" s="275">
        <v>0</v>
      </c>
      <c r="G220" s="276">
        <f>E220*F220</f>
        <v>0</v>
      </c>
      <c r="H220" s="122"/>
    </row>
    <row r="221" spans="2:8" s="34" customFormat="1" hidden="1" x14ac:dyDescent="0.2">
      <c r="B221" s="135"/>
      <c r="C221" s="251" t="s">
        <v>2330</v>
      </c>
      <c r="D221" s="202" t="s">
        <v>149</v>
      </c>
      <c r="E221" s="248"/>
      <c r="F221" s="275">
        <v>0</v>
      </c>
      <c r="G221" s="276">
        <f>E221*F221</f>
        <v>0</v>
      </c>
      <c r="H221" s="122"/>
    </row>
    <row r="222" spans="2:8" s="34" customFormat="1" hidden="1" x14ac:dyDescent="0.2">
      <c r="B222" s="135"/>
      <c r="C222" s="251" t="s">
        <v>203</v>
      </c>
      <c r="D222" s="202" t="s">
        <v>149</v>
      </c>
      <c r="E222" s="248"/>
      <c r="F222" s="275">
        <v>0</v>
      </c>
      <c r="G222" s="276">
        <f>E222*F222</f>
        <v>0</v>
      </c>
      <c r="H222" s="122"/>
    </row>
    <row r="223" spans="2:8" s="34" customFormat="1" hidden="1" x14ac:dyDescent="0.2">
      <c r="B223" s="135"/>
      <c r="C223" s="252" t="s">
        <v>198</v>
      </c>
      <c r="D223" s="202" t="s">
        <v>149</v>
      </c>
      <c r="E223" s="248"/>
      <c r="F223" s="275">
        <v>0</v>
      </c>
      <c r="G223" s="276">
        <f>E223*F223</f>
        <v>0</v>
      </c>
      <c r="H223" s="122"/>
    </row>
    <row r="224" spans="2:8" s="34" customFormat="1" hidden="1" x14ac:dyDescent="0.2">
      <c r="B224" s="135"/>
      <c r="C224" s="247" t="s">
        <v>1737</v>
      </c>
      <c r="D224" s="202"/>
      <c r="E224" s="248"/>
      <c r="F224" s="249">
        <v>0</v>
      </c>
      <c r="G224" s="205"/>
      <c r="H224" s="122"/>
    </row>
    <row r="225" spans="2:8" s="34" customFormat="1" ht="27" hidden="1" customHeight="1" x14ac:dyDescent="0.2">
      <c r="B225" s="135"/>
      <c r="C225" s="250" t="s">
        <v>202</v>
      </c>
      <c r="D225" s="202" t="s">
        <v>149</v>
      </c>
      <c r="E225" s="248"/>
      <c r="F225" s="275">
        <v>0</v>
      </c>
      <c r="G225" s="276">
        <f>E225*F225</f>
        <v>0</v>
      </c>
      <c r="H225" s="122"/>
    </row>
    <row r="226" spans="2:8" s="34" customFormat="1" hidden="1" x14ac:dyDescent="0.2">
      <c r="B226" s="135"/>
      <c r="C226" s="251" t="s">
        <v>236</v>
      </c>
      <c r="D226" s="202" t="s">
        <v>149</v>
      </c>
      <c r="E226" s="248"/>
      <c r="F226" s="275">
        <v>0</v>
      </c>
      <c r="G226" s="276">
        <f>E226*F226</f>
        <v>0</v>
      </c>
      <c r="H226" s="122"/>
    </row>
    <row r="227" spans="2:8" s="34" customFormat="1" hidden="1" x14ac:dyDescent="0.2">
      <c r="B227" s="135"/>
      <c r="C227" s="251" t="s">
        <v>1590</v>
      </c>
      <c r="D227" s="202" t="s">
        <v>149</v>
      </c>
      <c r="E227" s="248"/>
      <c r="F227" s="275">
        <v>0</v>
      </c>
      <c r="G227" s="276">
        <f>E227*F227</f>
        <v>0</v>
      </c>
      <c r="H227" s="122"/>
    </row>
    <row r="228" spans="2:8" s="34" customFormat="1" hidden="1" x14ac:dyDescent="0.2">
      <c r="B228" s="135"/>
      <c r="C228" s="251" t="s">
        <v>203</v>
      </c>
      <c r="D228" s="202" t="s">
        <v>149</v>
      </c>
      <c r="E228" s="248"/>
      <c r="F228" s="275">
        <v>0</v>
      </c>
      <c r="G228" s="276">
        <f>E228*F228</f>
        <v>0</v>
      </c>
      <c r="H228" s="122"/>
    </row>
    <row r="229" spans="2:8" s="34" customFormat="1" hidden="1" x14ac:dyDescent="0.2">
      <c r="B229" s="135"/>
      <c r="C229" s="252" t="s">
        <v>198</v>
      </c>
      <c r="D229" s="202" t="s">
        <v>149</v>
      </c>
      <c r="E229" s="248"/>
      <c r="F229" s="275">
        <v>0</v>
      </c>
      <c r="G229" s="276">
        <f>E229*F229</f>
        <v>0</v>
      </c>
      <c r="H229" s="122"/>
    </row>
    <row r="230" spans="2:8" s="34" customFormat="1" hidden="1" x14ac:dyDescent="0.2">
      <c r="B230" s="135"/>
      <c r="C230" s="247" t="s">
        <v>2331</v>
      </c>
      <c r="D230" s="202"/>
      <c r="E230" s="248"/>
      <c r="F230" s="249">
        <v>0</v>
      </c>
      <c r="G230" s="205"/>
      <c r="H230" s="122"/>
    </row>
    <row r="231" spans="2:8" s="34" customFormat="1" ht="27" hidden="1" customHeight="1" x14ac:dyDescent="0.2">
      <c r="B231" s="135"/>
      <c r="C231" s="250" t="s">
        <v>202</v>
      </c>
      <c r="D231" s="202" t="s">
        <v>149</v>
      </c>
      <c r="E231" s="248"/>
      <c r="F231" s="275">
        <v>0</v>
      </c>
      <c r="G231" s="276">
        <f>E231*F231</f>
        <v>0</v>
      </c>
      <c r="H231" s="122"/>
    </row>
    <row r="232" spans="2:8" s="34" customFormat="1" hidden="1" x14ac:dyDescent="0.2">
      <c r="B232" s="135"/>
      <c r="C232" s="251" t="s">
        <v>240</v>
      </c>
      <c r="D232" s="202" t="s">
        <v>149</v>
      </c>
      <c r="E232" s="248"/>
      <c r="F232" s="275">
        <v>0</v>
      </c>
      <c r="G232" s="276">
        <f>E232*F232</f>
        <v>0</v>
      </c>
      <c r="H232" s="122"/>
    </row>
    <row r="233" spans="2:8" s="34" customFormat="1" hidden="1" x14ac:dyDescent="0.2">
      <c r="B233" s="135"/>
      <c r="C233" s="251" t="s">
        <v>241</v>
      </c>
      <c r="D233" s="202" t="s">
        <v>149</v>
      </c>
      <c r="E233" s="248"/>
      <c r="F233" s="275">
        <v>0</v>
      </c>
      <c r="G233" s="276">
        <f>E233*F233</f>
        <v>0</v>
      </c>
      <c r="H233" s="122"/>
    </row>
    <row r="234" spans="2:8" s="34" customFormat="1" hidden="1" x14ac:dyDescent="0.2">
      <c r="B234" s="135"/>
      <c r="C234" s="251" t="s">
        <v>203</v>
      </c>
      <c r="D234" s="202" t="s">
        <v>149</v>
      </c>
      <c r="E234" s="248"/>
      <c r="F234" s="275">
        <v>0</v>
      </c>
      <c r="G234" s="276">
        <f>E234*F234</f>
        <v>0</v>
      </c>
      <c r="H234" s="122"/>
    </row>
    <row r="235" spans="2:8" s="34" customFormat="1" hidden="1" x14ac:dyDescent="0.2">
      <c r="B235" s="135"/>
      <c r="C235" s="252" t="s">
        <v>198</v>
      </c>
      <c r="D235" s="202" t="s">
        <v>149</v>
      </c>
      <c r="E235" s="248"/>
      <c r="F235" s="275">
        <v>0</v>
      </c>
      <c r="G235" s="276">
        <f>E235*F235</f>
        <v>0</v>
      </c>
      <c r="H235" s="122"/>
    </row>
    <row r="236" spans="2:8" s="34" customFormat="1" hidden="1" x14ac:dyDescent="0.2">
      <c r="B236" s="135"/>
      <c r="C236" s="247" t="s">
        <v>201</v>
      </c>
      <c r="D236" s="202"/>
      <c r="E236" s="248"/>
      <c r="F236" s="249">
        <v>0</v>
      </c>
      <c r="G236" s="205"/>
      <c r="H236" s="122"/>
    </row>
    <row r="237" spans="2:8" s="34" customFormat="1" ht="27" hidden="1" customHeight="1" x14ac:dyDescent="0.2">
      <c r="B237" s="135"/>
      <c r="C237" s="250" t="s">
        <v>202</v>
      </c>
      <c r="D237" s="202" t="s">
        <v>149</v>
      </c>
      <c r="E237" s="248"/>
      <c r="F237" s="275">
        <v>0</v>
      </c>
      <c r="G237" s="276">
        <f>E237*F237</f>
        <v>0</v>
      </c>
      <c r="H237" s="122"/>
    </row>
    <row r="238" spans="2:8" s="34" customFormat="1" hidden="1" x14ac:dyDescent="0.2">
      <c r="B238" s="135"/>
      <c r="C238" s="251" t="s">
        <v>203</v>
      </c>
      <c r="D238" s="202" t="s">
        <v>149</v>
      </c>
      <c r="E238" s="248"/>
      <c r="F238" s="275">
        <v>0</v>
      </c>
      <c r="G238" s="276">
        <f>E238*F238</f>
        <v>0</v>
      </c>
      <c r="H238" s="122"/>
    </row>
    <row r="239" spans="2:8" s="34" customFormat="1" hidden="1" x14ac:dyDescent="0.2">
      <c r="B239" s="135"/>
      <c r="C239" s="252" t="s">
        <v>198</v>
      </c>
      <c r="D239" s="202" t="s">
        <v>149</v>
      </c>
      <c r="E239" s="248"/>
      <c r="F239" s="275">
        <v>0</v>
      </c>
      <c r="G239" s="276">
        <f>E239*F239</f>
        <v>0</v>
      </c>
      <c r="H239" s="122"/>
    </row>
    <row r="240" spans="2:8" s="34" customFormat="1" hidden="1" x14ac:dyDescent="0.2">
      <c r="B240" s="292" t="s">
        <v>204</v>
      </c>
      <c r="C240" s="253" t="s">
        <v>205</v>
      </c>
      <c r="D240" s="254"/>
      <c r="E240" s="255"/>
      <c r="F240" s="256"/>
      <c r="G240" s="257"/>
      <c r="H240" s="122"/>
    </row>
    <row r="241" spans="2:8" s="34" customFormat="1" hidden="1" x14ac:dyDescent="0.2">
      <c r="B241" s="135"/>
      <c r="C241" s="253" t="s">
        <v>2332</v>
      </c>
      <c r="D241" s="254"/>
      <c r="E241" s="255"/>
      <c r="F241" s="256">
        <v>0</v>
      </c>
      <c r="G241" s="257"/>
      <c r="H241" s="122"/>
    </row>
    <row r="242" spans="2:8" s="34" customFormat="1" hidden="1" x14ac:dyDescent="0.2">
      <c r="B242" s="135"/>
      <c r="C242" s="258" t="s">
        <v>2333</v>
      </c>
      <c r="D242" s="254" t="s">
        <v>149</v>
      </c>
      <c r="E242" s="255"/>
      <c r="F242" s="277">
        <v>0</v>
      </c>
      <c r="G242" s="278">
        <f t="shared" ref="G242:G254" si="11">E242*F242</f>
        <v>0</v>
      </c>
      <c r="H242" s="122"/>
    </row>
    <row r="243" spans="2:8" s="34" customFormat="1" hidden="1" x14ac:dyDescent="0.2">
      <c r="B243" s="135"/>
      <c r="C243" s="258" t="s">
        <v>2334</v>
      </c>
      <c r="D243" s="254" t="s">
        <v>149</v>
      </c>
      <c r="E243" s="255"/>
      <c r="F243" s="277">
        <v>0</v>
      </c>
      <c r="G243" s="278">
        <f t="shared" si="11"/>
        <v>0</v>
      </c>
      <c r="H243" s="122"/>
    </row>
    <row r="244" spans="2:8" s="34" customFormat="1" ht="12.75" hidden="1" customHeight="1" x14ac:dyDescent="0.2">
      <c r="B244" s="135"/>
      <c r="C244" s="259" t="s">
        <v>843</v>
      </c>
      <c r="D244" s="254" t="s">
        <v>149</v>
      </c>
      <c r="E244" s="255"/>
      <c r="F244" s="277">
        <v>0</v>
      </c>
      <c r="G244" s="278">
        <f t="shared" si="11"/>
        <v>0</v>
      </c>
      <c r="H244" s="122"/>
    </row>
    <row r="245" spans="2:8" s="34" customFormat="1" hidden="1" x14ac:dyDescent="0.2">
      <c r="B245" s="135"/>
      <c r="C245" s="259" t="s">
        <v>2335</v>
      </c>
      <c r="D245" s="254" t="s">
        <v>149</v>
      </c>
      <c r="E245" s="255"/>
      <c r="F245" s="277">
        <v>0</v>
      </c>
      <c r="G245" s="278">
        <f t="shared" si="11"/>
        <v>0</v>
      </c>
      <c r="H245" s="122"/>
    </row>
    <row r="246" spans="2:8" s="34" customFormat="1" hidden="1" x14ac:dyDescent="0.2">
      <c r="B246" s="135"/>
      <c r="C246" s="259" t="s">
        <v>2336</v>
      </c>
      <c r="D246" s="254" t="s">
        <v>149</v>
      </c>
      <c r="E246" s="255"/>
      <c r="F246" s="277">
        <v>0</v>
      </c>
      <c r="G246" s="278">
        <f t="shared" si="11"/>
        <v>0</v>
      </c>
      <c r="H246" s="122"/>
    </row>
    <row r="247" spans="2:8" s="34" customFormat="1" hidden="1" x14ac:dyDescent="0.2">
      <c r="B247" s="135"/>
      <c r="C247" s="259" t="s">
        <v>2337</v>
      </c>
      <c r="D247" s="254" t="s">
        <v>149</v>
      </c>
      <c r="E247" s="255"/>
      <c r="F247" s="277">
        <v>0</v>
      </c>
      <c r="G247" s="278">
        <f t="shared" si="11"/>
        <v>0</v>
      </c>
      <c r="H247" s="122"/>
    </row>
    <row r="248" spans="2:8" s="34" customFormat="1" hidden="1" x14ac:dyDescent="0.2">
      <c r="B248" s="135"/>
      <c r="C248" s="259" t="s">
        <v>2338</v>
      </c>
      <c r="D248" s="254" t="s">
        <v>149</v>
      </c>
      <c r="E248" s="255"/>
      <c r="F248" s="277">
        <v>0</v>
      </c>
      <c r="G248" s="278">
        <f t="shared" si="11"/>
        <v>0</v>
      </c>
      <c r="H248" s="122"/>
    </row>
    <row r="249" spans="2:8" s="34" customFormat="1" hidden="1" x14ac:dyDescent="0.2">
      <c r="B249" s="135"/>
      <c r="C249" s="260" t="s">
        <v>216</v>
      </c>
      <c r="D249" s="254" t="s">
        <v>149</v>
      </c>
      <c r="E249" s="255"/>
      <c r="F249" s="277">
        <v>0</v>
      </c>
      <c r="G249" s="278">
        <f t="shared" si="11"/>
        <v>0</v>
      </c>
      <c r="H249" s="122"/>
    </row>
    <row r="250" spans="2:8" s="34" customFormat="1" hidden="1" x14ac:dyDescent="0.2">
      <c r="B250" s="135"/>
      <c r="C250" s="260" t="s">
        <v>329</v>
      </c>
      <c r="D250" s="254" t="s">
        <v>149</v>
      </c>
      <c r="E250" s="255"/>
      <c r="F250" s="277">
        <v>0</v>
      </c>
      <c r="G250" s="278">
        <f t="shared" si="11"/>
        <v>0</v>
      </c>
      <c r="H250" s="122"/>
    </row>
    <row r="251" spans="2:8" s="34" customFormat="1" hidden="1" x14ac:dyDescent="0.2">
      <c r="B251" s="135"/>
      <c r="C251" s="260" t="s">
        <v>2316</v>
      </c>
      <c r="D251" s="254" t="s">
        <v>149</v>
      </c>
      <c r="E251" s="255"/>
      <c r="F251" s="277">
        <v>0</v>
      </c>
      <c r="G251" s="278">
        <f t="shared" si="11"/>
        <v>0</v>
      </c>
      <c r="H251" s="122"/>
    </row>
    <row r="252" spans="2:8" s="34" customFormat="1" hidden="1" x14ac:dyDescent="0.2">
      <c r="B252" s="135"/>
      <c r="C252" s="260" t="s">
        <v>219</v>
      </c>
      <c r="D252" s="254" t="s">
        <v>149</v>
      </c>
      <c r="E252" s="255"/>
      <c r="F252" s="277">
        <v>0</v>
      </c>
      <c r="G252" s="278">
        <f t="shared" si="11"/>
        <v>0</v>
      </c>
      <c r="H252" s="122"/>
    </row>
    <row r="253" spans="2:8" s="34" customFormat="1" hidden="1" x14ac:dyDescent="0.2">
      <c r="B253" s="135"/>
      <c r="C253" s="260" t="s">
        <v>227</v>
      </c>
      <c r="D253" s="254" t="s">
        <v>149</v>
      </c>
      <c r="E253" s="255"/>
      <c r="F253" s="277">
        <v>0</v>
      </c>
      <c r="G253" s="278">
        <f t="shared" si="11"/>
        <v>0</v>
      </c>
      <c r="H253" s="122"/>
    </row>
    <row r="254" spans="2:8" s="34" customFormat="1" hidden="1" x14ac:dyDescent="0.2">
      <c r="B254" s="135"/>
      <c r="C254" s="261" t="s">
        <v>198</v>
      </c>
      <c r="D254" s="254" t="s">
        <v>149</v>
      </c>
      <c r="E254" s="255"/>
      <c r="F254" s="277">
        <v>0</v>
      </c>
      <c r="G254" s="278">
        <f t="shared" si="11"/>
        <v>0</v>
      </c>
      <c r="H254" s="122"/>
    </row>
    <row r="255" spans="2:8" s="34" customFormat="1" hidden="1" x14ac:dyDescent="0.2">
      <c r="B255" s="135"/>
      <c r="C255" s="253" t="s">
        <v>2339</v>
      </c>
      <c r="D255" s="254"/>
      <c r="E255" s="255"/>
      <c r="F255" s="256">
        <v>0</v>
      </c>
      <c r="G255" s="257"/>
      <c r="H255" s="122"/>
    </row>
    <row r="256" spans="2:8" s="34" customFormat="1" hidden="1" x14ac:dyDescent="0.2">
      <c r="B256" s="135"/>
      <c r="C256" s="258" t="s">
        <v>858</v>
      </c>
      <c r="D256" s="254" t="s">
        <v>149</v>
      </c>
      <c r="E256" s="255"/>
      <c r="F256" s="277">
        <v>0</v>
      </c>
      <c r="G256" s="278">
        <f t="shared" ref="G256:G270" si="12">E256*F256</f>
        <v>0</v>
      </c>
      <c r="H256" s="122"/>
    </row>
    <row r="257" spans="2:8" s="34" customFormat="1" hidden="1" x14ac:dyDescent="0.2">
      <c r="B257" s="135"/>
      <c r="C257" s="258" t="s">
        <v>2340</v>
      </c>
      <c r="D257" s="254" t="s">
        <v>149</v>
      </c>
      <c r="E257" s="255"/>
      <c r="F257" s="277">
        <v>0</v>
      </c>
      <c r="G257" s="278">
        <f t="shared" si="12"/>
        <v>0</v>
      </c>
      <c r="H257" s="122"/>
    </row>
    <row r="258" spans="2:8" s="34" customFormat="1" ht="12.75" hidden="1" customHeight="1" x14ac:dyDescent="0.2">
      <c r="B258" s="135"/>
      <c r="C258" s="259" t="s">
        <v>843</v>
      </c>
      <c r="D258" s="254" t="s">
        <v>149</v>
      </c>
      <c r="E258" s="255"/>
      <c r="F258" s="277">
        <v>0</v>
      </c>
      <c r="G258" s="278">
        <f t="shared" si="12"/>
        <v>0</v>
      </c>
      <c r="H258" s="122"/>
    </row>
    <row r="259" spans="2:8" s="34" customFormat="1" hidden="1" x14ac:dyDescent="0.2">
      <c r="B259" s="135"/>
      <c r="C259" s="259" t="s">
        <v>210</v>
      </c>
      <c r="D259" s="254" t="s">
        <v>149</v>
      </c>
      <c r="E259" s="255"/>
      <c r="F259" s="277">
        <v>0</v>
      </c>
      <c r="G259" s="278">
        <f t="shared" si="12"/>
        <v>0</v>
      </c>
      <c r="H259" s="122"/>
    </row>
    <row r="260" spans="2:8" s="34" customFormat="1" hidden="1" x14ac:dyDescent="0.2">
      <c r="B260" s="135"/>
      <c r="C260" s="259" t="s">
        <v>211</v>
      </c>
      <c r="D260" s="254" t="s">
        <v>149</v>
      </c>
      <c r="E260" s="255"/>
      <c r="F260" s="277">
        <v>0</v>
      </c>
      <c r="G260" s="278">
        <f t="shared" si="12"/>
        <v>0</v>
      </c>
      <c r="H260" s="122"/>
    </row>
    <row r="261" spans="2:8" s="34" customFormat="1" hidden="1" x14ac:dyDescent="0.2">
      <c r="B261" s="135"/>
      <c r="C261" s="259" t="s">
        <v>328</v>
      </c>
      <c r="D261" s="254" t="s">
        <v>149</v>
      </c>
      <c r="E261" s="255"/>
      <c r="F261" s="277">
        <v>0</v>
      </c>
      <c r="G261" s="278">
        <f t="shared" si="12"/>
        <v>0</v>
      </c>
      <c r="H261" s="122"/>
    </row>
    <row r="262" spans="2:8" s="34" customFormat="1" hidden="1" x14ac:dyDescent="0.2">
      <c r="B262" s="135"/>
      <c r="C262" s="259" t="s">
        <v>213</v>
      </c>
      <c r="D262" s="254" t="s">
        <v>149</v>
      </c>
      <c r="E262" s="255"/>
      <c r="F262" s="277">
        <v>0</v>
      </c>
      <c r="G262" s="278">
        <f t="shared" si="12"/>
        <v>0</v>
      </c>
      <c r="H262" s="122"/>
    </row>
    <row r="263" spans="2:8" s="34" customFormat="1" hidden="1" x14ac:dyDescent="0.2">
      <c r="B263" s="135"/>
      <c r="C263" s="259" t="s">
        <v>214</v>
      </c>
      <c r="D263" s="254" t="s">
        <v>149</v>
      </c>
      <c r="E263" s="255"/>
      <c r="F263" s="277">
        <v>0</v>
      </c>
      <c r="G263" s="278">
        <f t="shared" si="12"/>
        <v>0</v>
      </c>
      <c r="H263" s="122"/>
    </row>
    <row r="264" spans="2:8" s="34" customFormat="1" hidden="1" x14ac:dyDescent="0.2">
      <c r="B264" s="135"/>
      <c r="C264" s="259" t="s">
        <v>215</v>
      </c>
      <c r="D264" s="254" t="s">
        <v>149</v>
      </c>
      <c r="E264" s="255"/>
      <c r="F264" s="277">
        <v>0</v>
      </c>
      <c r="G264" s="278">
        <f t="shared" si="12"/>
        <v>0</v>
      </c>
      <c r="H264" s="122"/>
    </row>
    <row r="265" spans="2:8" s="34" customFormat="1" hidden="1" x14ac:dyDescent="0.2">
      <c r="B265" s="135"/>
      <c r="C265" s="260" t="s">
        <v>216</v>
      </c>
      <c r="D265" s="254" t="s">
        <v>149</v>
      </c>
      <c r="E265" s="255"/>
      <c r="F265" s="277">
        <v>0</v>
      </c>
      <c r="G265" s="278">
        <f t="shared" si="12"/>
        <v>0</v>
      </c>
      <c r="H265" s="122"/>
    </row>
    <row r="266" spans="2:8" s="34" customFormat="1" hidden="1" x14ac:dyDescent="0.2">
      <c r="B266" s="135"/>
      <c r="C266" s="260" t="s">
        <v>329</v>
      </c>
      <c r="D266" s="254" t="s">
        <v>149</v>
      </c>
      <c r="E266" s="255"/>
      <c r="F266" s="277">
        <v>0</v>
      </c>
      <c r="G266" s="278">
        <f t="shared" si="12"/>
        <v>0</v>
      </c>
      <c r="H266" s="122"/>
    </row>
    <row r="267" spans="2:8" s="34" customFormat="1" hidden="1" x14ac:dyDescent="0.2">
      <c r="B267" s="135"/>
      <c r="C267" s="260" t="s">
        <v>2341</v>
      </c>
      <c r="D267" s="254" t="s">
        <v>149</v>
      </c>
      <c r="E267" s="255"/>
      <c r="F267" s="277">
        <v>0</v>
      </c>
      <c r="G267" s="278">
        <f t="shared" si="12"/>
        <v>0</v>
      </c>
      <c r="H267" s="122"/>
    </row>
    <row r="268" spans="2:8" s="34" customFormat="1" hidden="1" x14ac:dyDescent="0.2">
      <c r="B268" s="135"/>
      <c r="C268" s="260" t="s">
        <v>219</v>
      </c>
      <c r="D268" s="254" t="s">
        <v>149</v>
      </c>
      <c r="E268" s="255"/>
      <c r="F268" s="277">
        <v>0</v>
      </c>
      <c r="G268" s="278">
        <f t="shared" si="12"/>
        <v>0</v>
      </c>
      <c r="H268" s="122"/>
    </row>
    <row r="269" spans="2:8" s="34" customFormat="1" hidden="1" x14ac:dyDescent="0.2">
      <c r="B269" s="135"/>
      <c r="C269" s="260" t="s">
        <v>227</v>
      </c>
      <c r="D269" s="254" t="s">
        <v>149</v>
      </c>
      <c r="E269" s="255"/>
      <c r="F269" s="277">
        <v>0</v>
      </c>
      <c r="G269" s="278">
        <f t="shared" si="12"/>
        <v>0</v>
      </c>
      <c r="H269" s="122"/>
    </row>
    <row r="270" spans="2:8" s="34" customFormat="1" hidden="1" x14ac:dyDescent="0.2">
      <c r="B270" s="135"/>
      <c r="C270" s="261" t="s">
        <v>198</v>
      </c>
      <c r="D270" s="254" t="s">
        <v>149</v>
      </c>
      <c r="E270" s="255"/>
      <c r="F270" s="277">
        <v>0</v>
      </c>
      <c r="G270" s="278">
        <f t="shared" si="12"/>
        <v>0</v>
      </c>
      <c r="H270" s="122"/>
    </row>
    <row r="271" spans="2:8" s="34" customFormat="1" hidden="1" x14ac:dyDescent="0.2">
      <c r="B271" s="135"/>
      <c r="C271" s="253" t="s">
        <v>2342</v>
      </c>
      <c r="D271" s="254"/>
      <c r="E271" s="255"/>
      <c r="F271" s="256">
        <v>0</v>
      </c>
      <c r="G271" s="257"/>
      <c r="H271" s="122"/>
    </row>
    <row r="272" spans="2:8" s="34" customFormat="1" hidden="1" x14ac:dyDescent="0.2">
      <c r="B272" s="135"/>
      <c r="C272" s="258" t="s">
        <v>2343</v>
      </c>
      <c r="D272" s="254" t="s">
        <v>149</v>
      </c>
      <c r="E272" s="255"/>
      <c r="F272" s="277">
        <v>0</v>
      </c>
      <c r="G272" s="278">
        <f t="shared" ref="G272:G286" si="13">E272*F272</f>
        <v>0</v>
      </c>
      <c r="H272" s="122"/>
    </row>
    <row r="273" spans="2:8" s="34" customFormat="1" hidden="1" x14ac:dyDescent="0.2">
      <c r="B273" s="135"/>
      <c r="C273" s="258" t="s">
        <v>2344</v>
      </c>
      <c r="D273" s="254" t="s">
        <v>149</v>
      </c>
      <c r="E273" s="255"/>
      <c r="F273" s="277">
        <v>0</v>
      </c>
      <c r="G273" s="278">
        <f t="shared" si="13"/>
        <v>0</v>
      </c>
      <c r="H273" s="122"/>
    </row>
    <row r="274" spans="2:8" s="34" customFormat="1" ht="12.75" hidden="1" customHeight="1" x14ac:dyDescent="0.2">
      <c r="B274" s="135"/>
      <c r="C274" s="259" t="s">
        <v>843</v>
      </c>
      <c r="D274" s="254" t="s">
        <v>149</v>
      </c>
      <c r="E274" s="255"/>
      <c r="F274" s="277">
        <v>0</v>
      </c>
      <c r="G274" s="278">
        <f t="shared" si="13"/>
        <v>0</v>
      </c>
      <c r="H274" s="122"/>
    </row>
    <row r="275" spans="2:8" s="34" customFormat="1" hidden="1" x14ac:dyDescent="0.2">
      <c r="B275" s="135"/>
      <c r="C275" s="259" t="s">
        <v>210</v>
      </c>
      <c r="D275" s="254" t="s">
        <v>149</v>
      </c>
      <c r="E275" s="255"/>
      <c r="F275" s="277">
        <v>0</v>
      </c>
      <c r="G275" s="278">
        <f t="shared" si="13"/>
        <v>0</v>
      </c>
      <c r="H275" s="122"/>
    </row>
    <row r="276" spans="2:8" s="34" customFormat="1" hidden="1" x14ac:dyDescent="0.2">
      <c r="B276" s="135"/>
      <c r="C276" s="259" t="s">
        <v>211</v>
      </c>
      <c r="D276" s="254" t="s">
        <v>149</v>
      </c>
      <c r="E276" s="255"/>
      <c r="F276" s="277">
        <v>0</v>
      </c>
      <c r="G276" s="278">
        <f t="shared" si="13"/>
        <v>0</v>
      </c>
      <c r="H276" s="122"/>
    </row>
    <row r="277" spans="2:8" s="34" customFormat="1" hidden="1" x14ac:dyDescent="0.2">
      <c r="B277" s="135"/>
      <c r="C277" s="259" t="s">
        <v>212</v>
      </c>
      <c r="D277" s="254" t="s">
        <v>149</v>
      </c>
      <c r="E277" s="255"/>
      <c r="F277" s="277">
        <v>0</v>
      </c>
      <c r="G277" s="278">
        <f t="shared" si="13"/>
        <v>0</v>
      </c>
      <c r="H277" s="122"/>
    </row>
    <row r="278" spans="2:8" s="34" customFormat="1" hidden="1" x14ac:dyDescent="0.2">
      <c r="B278" s="135"/>
      <c r="C278" s="259" t="s">
        <v>1104</v>
      </c>
      <c r="D278" s="254" t="s">
        <v>149</v>
      </c>
      <c r="E278" s="255"/>
      <c r="F278" s="277">
        <v>0</v>
      </c>
      <c r="G278" s="278">
        <f t="shared" si="13"/>
        <v>0</v>
      </c>
      <c r="H278" s="122"/>
    </row>
    <row r="279" spans="2:8" s="34" customFormat="1" hidden="1" x14ac:dyDescent="0.2">
      <c r="B279" s="135"/>
      <c r="C279" s="259" t="s">
        <v>224</v>
      </c>
      <c r="D279" s="254" t="s">
        <v>149</v>
      </c>
      <c r="E279" s="255"/>
      <c r="F279" s="277">
        <v>0</v>
      </c>
      <c r="G279" s="278">
        <f t="shared" si="13"/>
        <v>0</v>
      </c>
      <c r="H279" s="122"/>
    </row>
    <row r="280" spans="2:8" s="34" customFormat="1" hidden="1" x14ac:dyDescent="0.2">
      <c r="B280" s="135"/>
      <c r="C280" s="259" t="s">
        <v>215</v>
      </c>
      <c r="D280" s="254" t="s">
        <v>149</v>
      </c>
      <c r="E280" s="255"/>
      <c r="F280" s="277">
        <v>0</v>
      </c>
      <c r="G280" s="278">
        <f t="shared" si="13"/>
        <v>0</v>
      </c>
      <c r="H280" s="122"/>
    </row>
    <row r="281" spans="2:8" s="34" customFormat="1" hidden="1" x14ac:dyDescent="0.2">
      <c r="B281" s="135"/>
      <c r="C281" s="260" t="s">
        <v>216</v>
      </c>
      <c r="D281" s="254" t="s">
        <v>149</v>
      </c>
      <c r="E281" s="255"/>
      <c r="F281" s="277">
        <v>0</v>
      </c>
      <c r="G281" s="278">
        <f t="shared" si="13"/>
        <v>0</v>
      </c>
      <c r="H281" s="122"/>
    </row>
    <row r="282" spans="2:8" s="34" customFormat="1" hidden="1" x14ac:dyDescent="0.2">
      <c r="B282" s="135"/>
      <c r="C282" s="260" t="s">
        <v>329</v>
      </c>
      <c r="D282" s="254" t="s">
        <v>149</v>
      </c>
      <c r="E282" s="255"/>
      <c r="F282" s="277">
        <v>0</v>
      </c>
      <c r="G282" s="278">
        <f t="shared" si="13"/>
        <v>0</v>
      </c>
      <c r="H282" s="122"/>
    </row>
    <row r="283" spans="2:8" s="34" customFormat="1" hidden="1" x14ac:dyDescent="0.2">
      <c r="B283" s="135"/>
      <c r="C283" s="260" t="s">
        <v>353</v>
      </c>
      <c r="D283" s="254" t="s">
        <v>149</v>
      </c>
      <c r="E283" s="255"/>
      <c r="F283" s="277">
        <v>0</v>
      </c>
      <c r="G283" s="278">
        <f t="shared" si="13"/>
        <v>0</v>
      </c>
      <c r="H283" s="122"/>
    </row>
    <row r="284" spans="2:8" s="34" customFormat="1" hidden="1" x14ac:dyDescent="0.2">
      <c r="B284" s="135"/>
      <c r="C284" s="260" t="s">
        <v>219</v>
      </c>
      <c r="D284" s="254" t="s">
        <v>149</v>
      </c>
      <c r="E284" s="255"/>
      <c r="F284" s="277">
        <v>0</v>
      </c>
      <c r="G284" s="278">
        <f t="shared" si="13"/>
        <v>0</v>
      </c>
      <c r="H284" s="122"/>
    </row>
    <row r="285" spans="2:8" s="34" customFormat="1" hidden="1" x14ac:dyDescent="0.2">
      <c r="B285" s="135"/>
      <c r="C285" s="260" t="s">
        <v>227</v>
      </c>
      <c r="D285" s="254" t="s">
        <v>149</v>
      </c>
      <c r="E285" s="255"/>
      <c r="F285" s="277">
        <v>0</v>
      </c>
      <c r="G285" s="278">
        <f t="shared" si="13"/>
        <v>0</v>
      </c>
      <c r="H285" s="122"/>
    </row>
    <row r="286" spans="2:8" s="34" customFormat="1" hidden="1" x14ac:dyDescent="0.2">
      <c r="B286" s="135"/>
      <c r="C286" s="261" t="s">
        <v>198</v>
      </c>
      <c r="D286" s="254" t="s">
        <v>149</v>
      </c>
      <c r="E286" s="255"/>
      <c r="F286" s="277">
        <v>0</v>
      </c>
      <c r="G286" s="278">
        <f t="shared" si="13"/>
        <v>0</v>
      </c>
      <c r="H286" s="122"/>
    </row>
    <row r="287" spans="2:8" s="34" customFormat="1" hidden="1" x14ac:dyDescent="0.2">
      <c r="B287" s="135"/>
      <c r="C287" s="253" t="s">
        <v>324</v>
      </c>
      <c r="D287" s="254"/>
      <c r="E287" s="255"/>
      <c r="F287" s="256">
        <v>0</v>
      </c>
      <c r="G287" s="257"/>
      <c r="H287" s="122"/>
    </row>
    <row r="288" spans="2:8" s="34" customFormat="1" hidden="1" x14ac:dyDescent="0.2">
      <c r="B288" s="135"/>
      <c r="C288" s="258" t="s">
        <v>325</v>
      </c>
      <c r="D288" s="254" t="s">
        <v>149</v>
      </c>
      <c r="E288" s="255"/>
      <c r="F288" s="277">
        <v>0</v>
      </c>
      <c r="G288" s="278">
        <f t="shared" ref="G288:G302" si="14">E288*F288</f>
        <v>0</v>
      </c>
      <c r="H288" s="122"/>
    </row>
    <row r="289" spans="2:8" s="34" customFormat="1" hidden="1" x14ac:dyDescent="0.2">
      <c r="B289" s="135"/>
      <c r="C289" s="258" t="s">
        <v>326</v>
      </c>
      <c r="D289" s="254" t="s">
        <v>149</v>
      </c>
      <c r="E289" s="255"/>
      <c r="F289" s="277">
        <v>0</v>
      </c>
      <c r="G289" s="278">
        <f t="shared" si="14"/>
        <v>0</v>
      </c>
      <c r="H289" s="122"/>
    </row>
    <row r="290" spans="2:8" s="34" customFormat="1" ht="12.75" hidden="1" customHeight="1" x14ac:dyDescent="0.2">
      <c r="B290" s="135"/>
      <c r="C290" s="259" t="s">
        <v>209</v>
      </c>
      <c r="D290" s="254" t="s">
        <v>149</v>
      </c>
      <c r="E290" s="255"/>
      <c r="F290" s="277">
        <v>0</v>
      </c>
      <c r="G290" s="278">
        <f t="shared" si="14"/>
        <v>0</v>
      </c>
      <c r="H290" s="122"/>
    </row>
    <row r="291" spans="2:8" s="34" customFormat="1" hidden="1" x14ac:dyDescent="0.2">
      <c r="B291" s="135"/>
      <c r="C291" s="259" t="s">
        <v>327</v>
      </c>
      <c r="D291" s="254" t="s">
        <v>149</v>
      </c>
      <c r="E291" s="255"/>
      <c r="F291" s="277">
        <v>0</v>
      </c>
      <c r="G291" s="278">
        <f t="shared" si="14"/>
        <v>0</v>
      </c>
      <c r="H291" s="122"/>
    </row>
    <row r="292" spans="2:8" s="34" customFormat="1" hidden="1" x14ac:dyDescent="0.2">
      <c r="B292" s="135"/>
      <c r="C292" s="259" t="s">
        <v>211</v>
      </c>
      <c r="D292" s="254" t="s">
        <v>149</v>
      </c>
      <c r="E292" s="255"/>
      <c r="F292" s="277">
        <v>0</v>
      </c>
      <c r="G292" s="278">
        <f t="shared" si="14"/>
        <v>0</v>
      </c>
      <c r="H292" s="122"/>
    </row>
    <row r="293" spans="2:8" s="34" customFormat="1" hidden="1" x14ac:dyDescent="0.2">
      <c r="B293" s="135"/>
      <c r="C293" s="259" t="s">
        <v>328</v>
      </c>
      <c r="D293" s="254" t="s">
        <v>149</v>
      </c>
      <c r="E293" s="255"/>
      <c r="F293" s="277">
        <v>0</v>
      </c>
      <c r="G293" s="278">
        <f t="shared" si="14"/>
        <v>0</v>
      </c>
      <c r="H293" s="122"/>
    </row>
    <row r="294" spans="2:8" s="34" customFormat="1" hidden="1" x14ac:dyDescent="0.2">
      <c r="B294" s="135"/>
      <c r="C294" s="259" t="s">
        <v>1104</v>
      </c>
      <c r="D294" s="254" t="s">
        <v>149</v>
      </c>
      <c r="E294" s="255"/>
      <c r="F294" s="277">
        <v>0</v>
      </c>
      <c r="G294" s="278">
        <f t="shared" si="14"/>
        <v>0</v>
      </c>
      <c r="H294" s="122"/>
    </row>
    <row r="295" spans="2:8" s="34" customFormat="1" hidden="1" x14ac:dyDescent="0.2">
      <c r="B295" s="135"/>
      <c r="C295" s="259" t="s">
        <v>224</v>
      </c>
      <c r="D295" s="254" t="s">
        <v>149</v>
      </c>
      <c r="E295" s="255"/>
      <c r="F295" s="277">
        <v>0</v>
      </c>
      <c r="G295" s="278">
        <f t="shared" si="14"/>
        <v>0</v>
      </c>
      <c r="H295" s="122"/>
    </row>
    <row r="296" spans="2:8" s="34" customFormat="1" hidden="1" x14ac:dyDescent="0.2">
      <c r="B296" s="135"/>
      <c r="C296" s="259" t="s">
        <v>215</v>
      </c>
      <c r="D296" s="254" t="s">
        <v>149</v>
      </c>
      <c r="E296" s="255"/>
      <c r="F296" s="277">
        <v>0</v>
      </c>
      <c r="G296" s="278">
        <f t="shared" si="14"/>
        <v>0</v>
      </c>
      <c r="H296" s="122"/>
    </row>
    <row r="297" spans="2:8" s="34" customFormat="1" hidden="1" x14ac:dyDescent="0.2">
      <c r="B297" s="135"/>
      <c r="C297" s="260" t="s">
        <v>216</v>
      </c>
      <c r="D297" s="254" t="s">
        <v>149</v>
      </c>
      <c r="E297" s="255"/>
      <c r="F297" s="277">
        <v>0</v>
      </c>
      <c r="G297" s="278">
        <f t="shared" si="14"/>
        <v>0</v>
      </c>
      <c r="H297" s="122"/>
    </row>
    <row r="298" spans="2:8" s="34" customFormat="1" hidden="1" x14ac:dyDescent="0.2">
      <c r="B298" s="135"/>
      <c r="C298" s="260" t="s">
        <v>329</v>
      </c>
      <c r="D298" s="254" t="s">
        <v>149</v>
      </c>
      <c r="E298" s="255"/>
      <c r="F298" s="277">
        <v>0</v>
      </c>
      <c r="G298" s="278">
        <f t="shared" si="14"/>
        <v>0</v>
      </c>
      <c r="H298" s="122"/>
    </row>
    <row r="299" spans="2:8" s="34" customFormat="1" hidden="1" x14ac:dyDescent="0.2">
      <c r="B299" s="135"/>
      <c r="C299" s="260" t="s">
        <v>323</v>
      </c>
      <c r="D299" s="254" t="s">
        <v>149</v>
      </c>
      <c r="E299" s="255"/>
      <c r="F299" s="277">
        <v>0</v>
      </c>
      <c r="G299" s="278">
        <f t="shared" si="14"/>
        <v>0</v>
      </c>
      <c r="H299" s="122"/>
    </row>
    <row r="300" spans="2:8" s="34" customFormat="1" hidden="1" x14ac:dyDescent="0.2">
      <c r="B300" s="135"/>
      <c r="C300" s="260" t="s">
        <v>219</v>
      </c>
      <c r="D300" s="254" t="s">
        <v>149</v>
      </c>
      <c r="E300" s="255"/>
      <c r="F300" s="277">
        <v>0</v>
      </c>
      <c r="G300" s="278">
        <f t="shared" si="14"/>
        <v>0</v>
      </c>
      <c r="H300" s="122"/>
    </row>
    <row r="301" spans="2:8" s="34" customFormat="1" hidden="1" x14ac:dyDescent="0.2">
      <c r="B301" s="135"/>
      <c r="C301" s="260" t="s">
        <v>227</v>
      </c>
      <c r="D301" s="254" t="s">
        <v>149</v>
      </c>
      <c r="E301" s="255"/>
      <c r="F301" s="277">
        <v>0</v>
      </c>
      <c r="G301" s="278">
        <f t="shared" si="14"/>
        <v>0</v>
      </c>
      <c r="H301" s="122"/>
    </row>
    <row r="302" spans="2:8" s="34" customFormat="1" hidden="1" x14ac:dyDescent="0.2">
      <c r="B302" s="135"/>
      <c r="C302" s="261" t="s">
        <v>198</v>
      </c>
      <c r="D302" s="254" t="s">
        <v>149</v>
      </c>
      <c r="E302" s="255"/>
      <c r="F302" s="277">
        <v>0</v>
      </c>
      <c r="G302" s="278">
        <f t="shared" si="14"/>
        <v>0</v>
      </c>
      <c r="H302" s="122"/>
    </row>
    <row r="303" spans="2:8" s="34" customFormat="1" hidden="1" x14ac:dyDescent="0.2">
      <c r="B303" s="135"/>
      <c r="C303" s="253" t="s">
        <v>1740</v>
      </c>
      <c r="D303" s="254"/>
      <c r="E303" s="255"/>
      <c r="F303" s="256">
        <v>0</v>
      </c>
      <c r="G303" s="257"/>
      <c r="H303" s="122"/>
    </row>
    <row r="304" spans="2:8" s="34" customFormat="1" hidden="1" x14ac:dyDescent="0.2">
      <c r="B304" s="135"/>
      <c r="C304" s="258" t="s">
        <v>1255</v>
      </c>
      <c r="D304" s="254" t="s">
        <v>149</v>
      </c>
      <c r="E304" s="255"/>
      <c r="F304" s="277">
        <v>0</v>
      </c>
      <c r="G304" s="278">
        <f t="shared" ref="G304:G318" si="15">E304*F304</f>
        <v>0</v>
      </c>
      <c r="H304" s="122"/>
    </row>
    <row r="305" spans="2:8" s="34" customFormat="1" hidden="1" x14ac:dyDescent="0.2">
      <c r="B305" s="135"/>
      <c r="C305" s="258" t="s">
        <v>342</v>
      </c>
      <c r="D305" s="254" t="s">
        <v>149</v>
      </c>
      <c r="E305" s="255"/>
      <c r="F305" s="277">
        <v>0</v>
      </c>
      <c r="G305" s="278">
        <f t="shared" si="15"/>
        <v>0</v>
      </c>
      <c r="H305" s="122"/>
    </row>
    <row r="306" spans="2:8" s="34" customFormat="1" ht="12.75" hidden="1" customHeight="1" x14ac:dyDescent="0.2">
      <c r="B306" s="135"/>
      <c r="C306" s="259" t="s">
        <v>843</v>
      </c>
      <c r="D306" s="254" t="s">
        <v>149</v>
      </c>
      <c r="E306" s="255"/>
      <c r="F306" s="277">
        <v>0</v>
      </c>
      <c r="G306" s="278">
        <f t="shared" si="15"/>
        <v>0</v>
      </c>
      <c r="H306" s="122"/>
    </row>
    <row r="307" spans="2:8" s="34" customFormat="1" hidden="1" x14ac:dyDescent="0.2">
      <c r="B307" s="135"/>
      <c r="C307" s="259" t="s">
        <v>210</v>
      </c>
      <c r="D307" s="254" t="s">
        <v>149</v>
      </c>
      <c r="E307" s="255"/>
      <c r="F307" s="277">
        <v>0</v>
      </c>
      <c r="G307" s="278">
        <f t="shared" si="15"/>
        <v>0</v>
      </c>
      <c r="H307" s="122"/>
    </row>
    <row r="308" spans="2:8" s="34" customFormat="1" hidden="1" x14ac:dyDescent="0.2">
      <c r="B308" s="135"/>
      <c r="C308" s="259" t="s">
        <v>211</v>
      </c>
      <c r="D308" s="254" t="s">
        <v>149</v>
      </c>
      <c r="E308" s="255"/>
      <c r="F308" s="277">
        <v>0</v>
      </c>
      <c r="G308" s="278">
        <f t="shared" si="15"/>
        <v>0</v>
      </c>
      <c r="H308" s="122"/>
    </row>
    <row r="309" spans="2:8" s="34" customFormat="1" hidden="1" x14ac:dyDescent="0.2">
      <c r="B309" s="135"/>
      <c r="C309" s="259" t="s">
        <v>212</v>
      </c>
      <c r="D309" s="254" t="s">
        <v>149</v>
      </c>
      <c r="E309" s="255"/>
      <c r="F309" s="277">
        <v>0</v>
      </c>
      <c r="G309" s="278">
        <f t="shared" si="15"/>
        <v>0</v>
      </c>
      <c r="H309" s="122"/>
    </row>
    <row r="310" spans="2:8" s="34" customFormat="1" hidden="1" x14ac:dyDescent="0.2">
      <c r="B310" s="135"/>
      <c r="C310" s="259" t="s">
        <v>1104</v>
      </c>
      <c r="D310" s="254" t="s">
        <v>149</v>
      </c>
      <c r="E310" s="255"/>
      <c r="F310" s="277">
        <v>0</v>
      </c>
      <c r="G310" s="278">
        <f t="shared" si="15"/>
        <v>0</v>
      </c>
      <c r="H310" s="122"/>
    </row>
    <row r="311" spans="2:8" s="34" customFormat="1" hidden="1" x14ac:dyDescent="0.2">
      <c r="B311" s="135"/>
      <c r="C311" s="259" t="s">
        <v>214</v>
      </c>
      <c r="D311" s="254" t="s">
        <v>149</v>
      </c>
      <c r="E311" s="255"/>
      <c r="F311" s="277">
        <v>0</v>
      </c>
      <c r="G311" s="278">
        <f t="shared" si="15"/>
        <v>0</v>
      </c>
      <c r="H311" s="122"/>
    </row>
    <row r="312" spans="2:8" s="34" customFormat="1" hidden="1" x14ac:dyDescent="0.2">
      <c r="B312" s="135"/>
      <c r="C312" s="259" t="s">
        <v>215</v>
      </c>
      <c r="D312" s="254" t="s">
        <v>149</v>
      </c>
      <c r="E312" s="255"/>
      <c r="F312" s="277">
        <v>0</v>
      </c>
      <c r="G312" s="278">
        <f t="shared" si="15"/>
        <v>0</v>
      </c>
      <c r="H312" s="122"/>
    </row>
    <row r="313" spans="2:8" s="34" customFormat="1" hidden="1" x14ac:dyDescent="0.2">
      <c r="B313" s="135"/>
      <c r="C313" s="260" t="s">
        <v>216</v>
      </c>
      <c r="D313" s="254" t="s">
        <v>149</v>
      </c>
      <c r="E313" s="255"/>
      <c r="F313" s="277">
        <v>0</v>
      </c>
      <c r="G313" s="278">
        <f t="shared" si="15"/>
        <v>0</v>
      </c>
      <c r="H313" s="122"/>
    </row>
    <row r="314" spans="2:8" s="34" customFormat="1" hidden="1" x14ac:dyDescent="0.2">
      <c r="B314" s="135"/>
      <c r="C314" s="260" t="s">
        <v>329</v>
      </c>
      <c r="D314" s="254" t="s">
        <v>149</v>
      </c>
      <c r="E314" s="255"/>
      <c r="F314" s="277">
        <v>0</v>
      </c>
      <c r="G314" s="278">
        <f t="shared" si="15"/>
        <v>0</v>
      </c>
      <c r="H314" s="122"/>
    </row>
    <row r="315" spans="2:8" s="34" customFormat="1" hidden="1" x14ac:dyDescent="0.2">
      <c r="B315" s="135"/>
      <c r="C315" s="260" t="s">
        <v>354</v>
      </c>
      <c r="D315" s="254" t="s">
        <v>149</v>
      </c>
      <c r="E315" s="255"/>
      <c r="F315" s="277">
        <v>0</v>
      </c>
      <c r="G315" s="278">
        <f t="shared" si="15"/>
        <v>0</v>
      </c>
      <c r="H315" s="122"/>
    </row>
    <row r="316" spans="2:8" s="34" customFormat="1" hidden="1" x14ac:dyDescent="0.2">
      <c r="B316" s="135"/>
      <c r="C316" s="260" t="s">
        <v>219</v>
      </c>
      <c r="D316" s="254" t="s">
        <v>149</v>
      </c>
      <c r="E316" s="255"/>
      <c r="F316" s="277">
        <v>0</v>
      </c>
      <c r="G316" s="278">
        <f t="shared" si="15"/>
        <v>0</v>
      </c>
      <c r="H316" s="122"/>
    </row>
    <row r="317" spans="2:8" s="34" customFormat="1" hidden="1" x14ac:dyDescent="0.2">
      <c r="B317" s="135"/>
      <c r="C317" s="260" t="s">
        <v>227</v>
      </c>
      <c r="D317" s="254" t="s">
        <v>149</v>
      </c>
      <c r="E317" s="255"/>
      <c r="F317" s="277">
        <v>0</v>
      </c>
      <c r="G317" s="278">
        <f t="shared" si="15"/>
        <v>0</v>
      </c>
      <c r="H317" s="122"/>
    </row>
    <row r="318" spans="2:8" s="34" customFormat="1" hidden="1" x14ac:dyDescent="0.2">
      <c r="B318" s="135"/>
      <c r="C318" s="261" t="s">
        <v>198</v>
      </c>
      <c r="D318" s="254" t="s">
        <v>149</v>
      </c>
      <c r="E318" s="255"/>
      <c r="F318" s="277">
        <v>0</v>
      </c>
      <c r="G318" s="278">
        <f t="shared" si="15"/>
        <v>0</v>
      </c>
      <c r="H318" s="122"/>
    </row>
    <row r="319" spans="2:8" s="34" customFormat="1" hidden="1" x14ac:dyDescent="0.2">
      <c r="B319" s="135"/>
      <c r="C319" s="253" t="s">
        <v>206</v>
      </c>
      <c r="D319" s="254"/>
      <c r="E319" s="255"/>
      <c r="F319" s="256">
        <v>0</v>
      </c>
      <c r="G319" s="257"/>
      <c r="H319" s="122"/>
    </row>
    <row r="320" spans="2:8" s="34" customFormat="1" hidden="1" x14ac:dyDescent="0.2">
      <c r="B320" s="135"/>
      <c r="C320" s="258" t="s">
        <v>207</v>
      </c>
      <c r="D320" s="254" t="s">
        <v>149</v>
      </c>
      <c r="E320" s="255"/>
      <c r="F320" s="277">
        <v>0</v>
      </c>
      <c r="G320" s="278">
        <f t="shared" ref="G320:G335" si="16">E320*F320</f>
        <v>0</v>
      </c>
      <c r="H320" s="122"/>
    </row>
    <row r="321" spans="2:8" s="34" customFormat="1" hidden="1" x14ac:dyDescent="0.2">
      <c r="B321" s="135"/>
      <c r="C321" s="258" t="s">
        <v>208</v>
      </c>
      <c r="D321" s="254" t="s">
        <v>149</v>
      </c>
      <c r="E321" s="255"/>
      <c r="F321" s="277">
        <v>0</v>
      </c>
      <c r="G321" s="278">
        <f t="shared" si="16"/>
        <v>0</v>
      </c>
      <c r="H321" s="122"/>
    </row>
    <row r="322" spans="2:8" s="34" customFormat="1" ht="12.75" hidden="1" customHeight="1" x14ac:dyDescent="0.2">
      <c r="B322" s="135"/>
      <c r="C322" s="259" t="s">
        <v>209</v>
      </c>
      <c r="D322" s="254" t="s">
        <v>149</v>
      </c>
      <c r="E322" s="255"/>
      <c r="F322" s="277">
        <v>0</v>
      </c>
      <c r="G322" s="278">
        <f t="shared" si="16"/>
        <v>0</v>
      </c>
      <c r="H322" s="122"/>
    </row>
    <row r="323" spans="2:8" s="34" customFormat="1" hidden="1" x14ac:dyDescent="0.2">
      <c r="B323" s="135"/>
      <c r="C323" s="259" t="s">
        <v>210</v>
      </c>
      <c r="D323" s="254" t="s">
        <v>149</v>
      </c>
      <c r="E323" s="255"/>
      <c r="F323" s="277">
        <v>0</v>
      </c>
      <c r="G323" s="278">
        <f t="shared" si="16"/>
        <v>0</v>
      </c>
      <c r="H323" s="122"/>
    </row>
    <row r="324" spans="2:8" s="34" customFormat="1" hidden="1" x14ac:dyDescent="0.2">
      <c r="B324" s="135"/>
      <c r="C324" s="259" t="s">
        <v>211</v>
      </c>
      <c r="D324" s="254" t="s">
        <v>149</v>
      </c>
      <c r="E324" s="255"/>
      <c r="F324" s="277">
        <v>0</v>
      </c>
      <c r="G324" s="278">
        <f t="shared" si="16"/>
        <v>0</v>
      </c>
      <c r="H324" s="122"/>
    </row>
    <row r="325" spans="2:8" s="34" customFormat="1" hidden="1" x14ac:dyDescent="0.2">
      <c r="B325" s="135"/>
      <c r="C325" s="259" t="s">
        <v>212</v>
      </c>
      <c r="D325" s="254" t="s">
        <v>149</v>
      </c>
      <c r="E325" s="255"/>
      <c r="F325" s="277">
        <v>0</v>
      </c>
      <c r="G325" s="278">
        <f t="shared" si="16"/>
        <v>0</v>
      </c>
      <c r="H325" s="122"/>
    </row>
    <row r="326" spans="2:8" s="34" customFormat="1" hidden="1" x14ac:dyDescent="0.2">
      <c r="B326" s="135"/>
      <c r="C326" s="259" t="s">
        <v>1104</v>
      </c>
      <c r="D326" s="254" t="s">
        <v>149</v>
      </c>
      <c r="E326" s="255"/>
      <c r="F326" s="277">
        <v>0</v>
      </c>
      <c r="G326" s="278">
        <f t="shared" si="16"/>
        <v>0</v>
      </c>
      <c r="H326" s="122"/>
    </row>
    <row r="327" spans="2:8" s="34" customFormat="1" hidden="1" x14ac:dyDescent="0.2">
      <c r="B327" s="135"/>
      <c r="C327" s="259" t="s">
        <v>214</v>
      </c>
      <c r="D327" s="254" t="s">
        <v>149</v>
      </c>
      <c r="E327" s="255"/>
      <c r="F327" s="277">
        <v>0</v>
      </c>
      <c r="G327" s="278">
        <f t="shared" si="16"/>
        <v>0</v>
      </c>
      <c r="H327" s="122"/>
    </row>
    <row r="328" spans="2:8" s="34" customFormat="1" hidden="1" x14ac:dyDescent="0.2">
      <c r="B328" s="135"/>
      <c r="C328" s="259" t="s">
        <v>215</v>
      </c>
      <c r="D328" s="254" t="s">
        <v>149</v>
      </c>
      <c r="E328" s="255"/>
      <c r="F328" s="277">
        <v>0</v>
      </c>
      <c r="G328" s="278">
        <f t="shared" si="16"/>
        <v>0</v>
      </c>
      <c r="H328" s="122"/>
    </row>
    <row r="329" spans="2:8" s="34" customFormat="1" hidden="1" x14ac:dyDescent="0.2">
      <c r="B329" s="135"/>
      <c r="C329" s="260" t="s">
        <v>216</v>
      </c>
      <c r="D329" s="254" t="s">
        <v>149</v>
      </c>
      <c r="E329" s="255"/>
      <c r="F329" s="277">
        <v>0</v>
      </c>
      <c r="G329" s="278">
        <f t="shared" si="16"/>
        <v>0</v>
      </c>
      <c r="H329" s="122"/>
    </row>
    <row r="330" spans="2:8" s="34" customFormat="1" hidden="1" x14ac:dyDescent="0.2">
      <c r="B330" s="135"/>
      <c r="C330" s="260" t="s">
        <v>217</v>
      </c>
      <c r="D330" s="254" t="s">
        <v>149</v>
      </c>
      <c r="E330" s="255"/>
      <c r="F330" s="277">
        <v>0</v>
      </c>
      <c r="G330" s="278">
        <f t="shared" si="16"/>
        <v>0</v>
      </c>
      <c r="H330" s="122"/>
    </row>
    <row r="331" spans="2:8" s="34" customFormat="1" hidden="1" x14ac:dyDescent="0.2">
      <c r="B331" s="135"/>
      <c r="C331" s="260" t="s">
        <v>195</v>
      </c>
      <c r="D331" s="254" t="s">
        <v>149</v>
      </c>
      <c r="E331" s="255"/>
      <c r="F331" s="277">
        <v>0</v>
      </c>
      <c r="G331" s="278">
        <f t="shared" si="16"/>
        <v>0</v>
      </c>
      <c r="H331" s="122"/>
    </row>
    <row r="332" spans="2:8" s="34" customFormat="1" hidden="1" x14ac:dyDescent="0.2">
      <c r="B332" s="135"/>
      <c r="C332" s="260" t="s">
        <v>218</v>
      </c>
      <c r="D332" s="254" t="s">
        <v>149</v>
      </c>
      <c r="E332" s="255"/>
      <c r="F332" s="277">
        <v>0</v>
      </c>
      <c r="G332" s="278">
        <f t="shared" si="16"/>
        <v>0</v>
      </c>
      <c r="H332" s="122"/>
    </row>
    <row r="333" spans="2:8" s="34" customFormat="1" hidden="1" x14ac:dyDescent="0.2">
      <c r="B333" s="135"/>
      <c r="C333" s="260" t="s">
        <v>219</v>
      </c>
      <c r="D333" s="254" t="s">
        <v>149</v>
      </c>
      <c r="E333" s="255"/>
      <c r="F333" s="277">
        <v>0</v>
      </c>
      <c r="G333" s="278">
        <f t="shared" si="16"/>
        <v>0</v>
      </c>
      <c r="H333" s="122"/>
    </row>
    <row r="334" spans="2:8" s="34" customFormat="1" hidden="1" x14ac:dyDescent="0.2">
      <c r="B334" s="135"/>
      <c r="C334" s="260" t="s">
        <v>227</v>
      </c>
      <c r="D334" s="254" t="s">
        <v>149</v>
      </c>
      <c r="E334" s="255"/>
      <c r="F334" s="277">
        <v>0</v>
      </c>
      <c r="G334" s="278">
        <f t="shared" si="16"/>
        <v>0</v>
      </c>
      <c r="H334" s="122"/>
    </row>
    <row r="335" spans="2:8" s="34" customFormat="1" hidden="1" x14ac:dyDescent="0.2">
      <c r="B335" s="135"/>
      <c r="C335" s="261" t="s">
        <v>198</v>
      </c>
      <c r="D335" s="254" t="s">
        <v>149</v>
      </c>
      <c r="E335" s="255"/>
      <c r="F335" s="277">
        <v>0</v>
      </c>
      <c r="G335" s="278">
        <f t="shared" si="16"/>
        <v>0</v>
      </c>
      <c r="H335" s="122"/>
    </row>
    <row r="336" spans="2:8" s="34" customFormat="1" hidden="1" x14ac:dyDescent="0.2">
      <c r="B336" s="135"/>
      <c r="C336" s="253" t="s">
        <v>842</v>
      </c>
      <c r="D336" s="254"/>
      <c r="E336" s="255"/>
      <c r="F336" s="256">
        <v>0</v>
      </c>
      <c r="G336" s="257"/>
      <c r="H336" s="122"/>
    </row>
    <row r="337" spans="2:8" s="34" customFormat="1" hidden="1" x14ac:dyDescent="0.2">
      <c r="B337" s="135"/>
      <c r="C337" s="258" t="s">
        <v>207</v>
      </c>
      <c r="D337" s="254" t="s">
        <v>149</v>
      </c>
      <c r="E337" s="255"/>
      <c r="F337" s="277">
        <v>0</v>
      </c>
      <c r="G337" s="278">
        <f t="shared" ref="G337:G352" si="17">E337*F337</f>
        <v>0</v>
      </c>
      <c r="H337" s="122"/>
    </row>
    <row r="338" spans="2:8" s="34" customFormat="1" hidden="1" x14ac:dyDescent="0.2">
      <c r="B338" s="135"/>
      <c r="C338" s="258" t="s">
        <v>208</v>
      </c>
      <c r="D338" s="254" t="s">
        <v>149</v>
      </c>
      <c r="E338" s="255"/>
      <c r="F338" s="277">
        <v>0</v>
      </c>
      <c r="G338" s="278">
        <f t="shared" si="17"/>
        <v>0</v>
      </c>
      <c r="H338" s="122"/>
    </row>
    <row r="339" spans="2:8" s="34" customFormat="1" ht="12.75" hidden="1" customHeight="1" x14ac:dyDescent="0.2">
      <c r="B339" s="135"/>
      <c r="C339" s="259" t="s">
        <v>843</v>
      </c>
      <c r="D339" s="254" t="s">
        <v>149</v>
      </c>
      <c r="E339" s="255"/>
      <c r="F339" s="277">
        <v>0</v>
      </c>
      <c r="G339" s="278">
        <f t="shared" si="17"/>
        <v>0</v>
      </c>
      <c r="H339" s="122"/>
    </row>
    <row r="340" spans="2:8" s="34" customFormat="1" hidden="1" x14ac:dyDescent="0.2">
      <c r="B340" s="135"/>
      <c r="C340" s="259" t="s">
        <v>210</v>
      </c>
      <c r="D340" s="254" t="s">
        <v>149</v>
      </c>
      <c r="E340" s="255"/>
      <c r="F340" s="277">
        <v>0</v>
      </c>
      <c r="G340" s="278">
        <f t="shared" si="17"/>
        <v>0</v>
      </c>
      <c r="H340" s="122"/>
    </row>
    <row r="341" spans="2:8" s="34" customFormat="1" hidden="1" x14ac:dyDescent="0.2">
      <c r="B341" s="135"/>
      <c r="C341" s="259" t="s">
        <v>211</v>
      </c>
      <c r="D341" s="254" t="s">
        <v>149</v>
      </c>
      <c r="E341" s="255"/>
      <c r="F341" s="277">
        <v>0</v>
      </c>
      <c r="G341" s="278">
        <f t="shared" si="17"/>
        <v>0</v>
      </c>
      <c r="H341" s="122"/>
    </row>
    <row r="342" spans="2:8" s="34" customFormat="1" hidden="1" x14ac:dyDescent="0.2">
      <c r="B342" s="135"/>
      <c r="C342" s="259" t="s">
        <v>212</v>
      </c>
      <c r="D342" s="254" t="s">
        <v>149</v>
      </c>
      <c r="E342" s="255"/>
      <c r="F342" s="277">
        <v>0</v>
      </c>
      <c r="G342" s="278">
        <f t="shared" si="17"/>
        <v>0</v>
      </c>
      <c r="H342" s="122"/>
    </row>
    <row r="343" spans="2:8" s="34" customFormat="1" hidden="1" x14ac:dyDescent="0.2">
      <c r="B343" s="135"/>
      <c r="C343" s="259" t="s">
        <v>1104</v>
      </c>
      <c r="D343" s="254" t="s">
        <v>149</v>
      </c>
      <c r="E343" s="255"/>
      <c r="F343" s="277">
        <v>0</v>
      </c>
      <c r="G343" s="278">
        <f t="shared" si="17"/>
        <v>0</v>
      </c>
      <c r="H343" s="122"/>
    </row>
    <row r="344" spans="2:8" s="34" customFormat="1" hidden="1" x14ac:dyDescent="0.2">
      <c r="B344" s="135"/>
      <c r="C344" s="259" t="s">
        <v>214</v>
      </c>
      <c r="D344" s="254" t="s">
        <v>149</v>
      </c>
      <c r="E344" s="255"/>
      <c r="F344" s="277">
        <v>0</v>
      </c>
      <c r="G344" s="278">
        <f t="shared" si="17"/>
        <v>0</v>
      </c>
      <c r="H344" s="122"/>
    </row>
    <row r="345" spans="2:8" s="34" customFormat="1" hidden="1" x14ac:dyDescent="0.2">
      <c r="B345" s="135"/>
      <c r="C345" s="259" t="s">
        <v>215</v>
      </c>
      <c r="D345" s="254" t="s">
        <v>149</v>
      </c>
      <c r="E345" s="255"/>
      <c r="F345" s="277">
        <v>0</v>
      </c>
      <c r="G345" s="278">
        <f t="shared" si="17"/>
        <v>0</v>
      </c>
      <c r="H345" s="122"/>
    </row>
    <row r="346" spans="2:8" s="34" customFormat="1" hidden="1" x14ac:dyDescent="0.2">
      <c r="B346" s="135"/>
      <c r="C346" s="260" t="s">
        <v>216</v>
      </c>
      <c r="D346" s="254" t="s">
        <v>149</v>
      </c>
      <c r="E346" s="255"/>
      <c r="F346" s="277">
        <v>0</v>
      </c>
      <c r="G346" s="278">
        <f t="shared" si="17"/>
        <v>0</v>
      </c>
      <c r="H346" s="122"/>
    </row>
    <row r="347" spans="2:8" s="34" customFormat="1" hidden="1" x14ac:dyDescent="0.2">
      <c r="B347" s="135"/>
      <c r="C347" s="260" t="s">
        <v>329</v>
      </c>
      <c r="D347" s="254" t="s">
        <v>149</v>
      </c>
      <c r="E347" s="255"/>
      <c r="F347" s="277">
        <v>0</v>
      </c>
      <c r="G347" s="278">
        <f t="shared" si="17"/>
        <v>0</v>
      </c>
      <c r="H347" s="122"/>
    </row>
    <row r="348" spans="2:8" s="34" customFormat="1" hidden="1" x14ac:dyDescent="0.2">
      <c r="B348" s="135"/>
      <c r="C348" s="260" t="s">
        <v>235</v>
      </c>
      <c r="D348" s="254" t="s">
        <v>149</v>
      </c>
      <c r="E348" s="255"/>
      <c r="F348" s="277">
        <v>0</v>
      </c>
      <c r="G348" s="278">
        <f t="shared" si="17"/>
        <v>0</v>
      </c>
      <c r="H348" s="122"/>
    </row>
    <row r="349" spans="2:8" s="34" customFormat="1" hidden="1" x14ac:dyDescent="0.2">
      <c r="B349" s="135"/>
      <c r="C349" s="260" t="s">
        <v>236</v>
      </c>
      <c r="D349" s="254" t="s">
        <v>149</v>
      </c>
      <c r="E349" s="255"/>
      <c r="F349" s="277">
        <v>0</v>
      </c>
      <c r="G349" s="278">
        <f t="shared" si="17"/>
        <v>0</v>
      </c>
      <c r="H349" s="122"/>
    </row>
    <row r="350" spans="2:8" s="34" customFormat="1" hidden="1" x14ac:dyDescent="0.2">
      <c r="B350" s="135"/>
      <c r="C350" s="260" t="s">
        <v>219</v>
      </c>
      <c r="D350" s="254" t="s">
        <v>149</v>
      </c>
      <c r="E350" s="255"/>
      <c r="F350" s="277">
        <v>0</v>
      </c>
      <c r="G350" s="278">
        <f t="shared" si="17"/>
        <v>0</v>
      </c>
      <c r="H350" s="122"/>
    </row>
    <row r="351" spans="2:8" s="34" customFormat="1" hidden="1" x14ac:dyDescent="0.2">
      <c r="B351" s="135"/>
      <c r="C351" s="260" t="s">
        <v>227</v>
      </c>
      <c r="D351" s="254" t="s">
        <v>149</v>
      </c>
      <c r="E351" s="255"/>
      <c r="F351" s="277">
        <v>0</v>
      </c>
      <c r="G351" s="278">
        <f t="shared" si="17"/>
        <v>0</v>
      </c>
      <c r="H351" s="122"/>
    </row>
    <row r="352" spans="2:8" s="34" customFormat="1" hidden="1" x14ac:dyDescent="0.2">
      <c r="B352" s="135"/>
      <c r="C352" s="261" t="s">
        <v>198</v>
      </c>
      <c r="D352" s="254" t="s">
        <v>149</v>
      </c>
      <c r="E352" s="255"/>
      <c r="F352" s="277">
        <v>0</v>
      </c>
      <c r="G352" s="278">
        <f t="shared" si="17"/>
        <v>0</v>
      </c>
      <c r="H352" s="122"/>
    </row>
    <row r="353" spans="2:8" s="34" customFormat="1" hidden="1" x14ac:dyDescent="0.2">
      <c r="B353" s="135"/>
      <c r="C353" s="253" t="s">
        <v>1797</v>
      </c>
      <c r="D353" s="254"/>
      <c r="E353" s="255"/>
      <c r="F353" s="256">
        <v>0</v>
      </c>
      <c r="G353" s="257"/>
      <c r="H353" s="122"/>
    </row>
    <row r="354" spans="2:8" s="34" customFormat="1" hidden="1" x14ac:dyDescent="0.2">
      <c r="B354" s="135"/>
      <c r="C354" s="258" t="s">
        <v>841</v>
      </c>
      <c r="D354" s="254" t="s">
        <v>149</v>
      </c>
      <c r="E354" s="255"/>
      <c r="F354" s="277">
        <v>0</v>
      </c>
      <c r="G354" s="278">
        <f t="shared" ref="G354:G369" si="18">E354*F354</f>
        <v>0</v>
      </c>
      <c r="H354" s="122"/>
    </row>
    <row r="355" spans="2:8" s="34" customFormat="1" hidden="1" x14ac:dyDescent="0.2">
      <c r="B355" s="135"/>
      <c r="C355" s="258" t="s">
        <v>213</v>
      </c>
      <c r="D355" s="254" t="s">
        <v>149</v>
      </c>
      <c r="E355" s="255"/>
      <c r="F355" s="277">
        <v>0</v>
      </c>
      <c r="G355" s="278">
        <f t="shared" si="18"/>
        <v>0</v>
      </c>
      <c r="H355" s="122"/>
    </row>
    <row r="356" spans="2:8" s="34" customFormat="1" ht="12.75" hidden="1" customHeight="1" x14ac:dyDescent="0.2">
      <c r="B356" s="135"/>
      <c r="C356" s="259" t="s">
        <v>843</v>
      </c>
      <c r="D356" s="254" t="s">
        <v>149</v>
      </c>
      <c r="E356" s="255"/>
      <c r="F356" s="277">
        <v>0</v>
      </c>
      <c r="G356" s="278">
        <f t="shared" si="18"/>
        <v>0</v>
      </c>
      <c r="H356" s="122"/>
    </row>
    <row r="357" spans="2:8" s="34" customFormat="1" hidden="1" x14ac:dyDescent="0.2">
      <c r="B357" s="135"/>
      <c r="C357" s="259" t="s">
        <v>210</v>
      </c>
      <c r="D357" s="254" t="s">
        <v>149</v>
      </c>
      <c r="E357" s="255"/>
      <c r="F357" s="277">
        <v>0</v>
      </c>
      <c r="G357" s="278">
        <f t="shared" si="18"/>
        <v>0</v>
      </c>
      <c r="H357" s="122"/>
    </row>
    <row r="358" spans="2:8" s="34" customFormat="1" hidden="1" x14ac:dyDescent="0.2">
      <c r="B358" s="135"/>
      <c r="C358" s="259" t="s">
        <v>211</v>
      </c>
      <c r="D358" s="254" t="s">
        <v>149</v>
      </c>
      <c r="E358" s="255"/>
      <c r="F358" s="277">
        <v>0</v>
      </c>
      <c r="G358" s="278">
        <f t="shared" si="18"/>
        <v>0</v>
      </c>
      <c r="H358" s="122"/>
    </row>
    <row r="359" spans="2:8" s="34" customFormat="1" hidden="1" x14ac:dyDescent="0.2">
      <c r="B359" s="135"/>
      <c r="C359" s="259" t="s">
        <v>212</v>
      </c>
      <c r="D359" s="254" t="s">
        <v>149</v>
      </c>
      <c r="E359" s="255"/>
      <c r="F359" s="277">
        <v>0</v>
      </c>
      <c r="G359" s="278">
        <f t="shared" si="18"/>
        <v>0</v>
      </c>
      <c r="H359" s="122"/>
    </row>
    <row r="360" spans="2:8" s="34" customFormat="1" hidden="1" x14ac:dyDescent="0.2">
      <c r="B360" s="135"/>
      <c r="C360" s="259" t="s">
        <v>1104</v>
      </c>
      <c r="D360" s="254" t="s">
        <v>149</v>
      </c>
      <c r="E360" s="255"/>
      <c r="F360" s="277">
        <v>0</v>
      </c>
      <c r="G360" s="278">
        <f t="shared" si="18"/>
        <v>0</v>
      </c>
      <c r="H360" s="122"/>
    </row>
    <row r="361" spans="2:8" s="34" customFormat="1" hidden="1" x14ac:dyDescent="0.2">
      <c r="B361" s="135"/>
      <c r="C361" s="259" t="s">
        <v>214</v>
      </c>
      <c r="D361" s="254" t="s">
        <v>149</v>
      </c>
      <c r="E361" s="255"/>
      <c r="F361" s="277">
        <v>0</v>
      </c>
      <c r="G361" s="278">
        <f t="shared" si="18"/>
        <v>0</v>
      </c>
      <c r="H361" s="122"/>
    </row>
    <row r="362" spans="2:8" s="34" customFormat="1" hidden="1" x14ac:dyDescent="0.2">
      <c r="B362" s="135"/>
      <c r="C362" s="259" t="s">
        <v>215</v>
      </c>
      <c r="D362" s="254" t="s">
        <v>149</v>
      </c>
      <c r="E362" s="255"/>
      <c r="F362" s="277">
        <v>0</v>
      </c>
      <c r="G362" s="278">
        <f t="shared" si="18"/>
        <v>0</v>
      </c>
      <c r="H362" s="122"/>
    </row>
    <row r="363" spans="2:8" s="34" customFormat="1" hidden="1" x14ac:dyDescent="0.2">
      <c r="B363" s="135"/>
      <c r="C363" s="260" t="s">
        <v>216</v>
      </c>
      <c r="D363" s="254" t="s">
        <v>149</v>
      </c>
      <c r="E363" s="255"/>
      <c r="F363" s="277">
        <v>0</v>
      </c>
      <c r="G363" s="278">
        <f t="shared" si="18"/>
        <v>0</v>
      </c>
      <c r="H363" s="122"/>
    </row>
    <row r="364" spans="2:8" s="34" customFormat="1" hidden="1" x14ac:dyDescent="0.2">
      <c r="B364" s="135"/>
      <c r="C364" s="260" t="s">
        <v>329</v>
      </c>
      <c r="D364" s="254" t="s">
        <v>149</v>
      </c>
      <c r="E364" s="255"/>
      <c r="F364" s="277">
        <v>0</v>
      </c>
      <c r="G364" s="278">
        <f t="shared" si="18"/>
        <v>0</v>
      </c>
      <c r="H364" s="122"/>
    </row>
    <row r="365" spans="2:8" s="34" customFormat="1" hidden="1" x14ac:dyDescent="0.2">
      <c r="B365" s="135"/>
      <c r="C365" s="260" t="s">
        <v>239</v>
      </c>
      <c r="D365" s="254" t="s">
        <v>149</v>
      </c>
      <c r="E365" s="255"/>
      <c r="F365" s="277">
        <v>0</v>
      </c>
      <c r="G365" s="278">
        <f t="shared" si="18"/>
        <v>0</v>
      </c>
      <c r="H365" s="122"/>
    </row>
    <row r="366" spans="2:8" s="34" customFormat="1" hidden="1" x14ac:dyDescent="0.2">
      <c r="B366" s="135"/>
      <c r="C366" s="260" t="s">
        <v>240</v>
      </c>
      <c r="D366" s="254" t="s">
        <v>149</v>
      </c>
      <c r="E366" s="255"/>
      <c r="F366" s="277">
        <v>0</v>
      </c>
      <c r="G366" s="278">
        <f t="shared" si="18"/>
        <v>0</v>
      </c>
      <c r="H366" s="122"/>
    </row>
    <row r="367" spans="2:8" s="34" customFormat="1" hidden="1" x14ac:dyDescent="0.2">
      <c r="B367" s="135"/>
      <c r="C367" s="260" t="s">
        <v>219</v>
      </c>
      <c r="D367" s="254" t="s">
        <v>149</v>
      </c>
      <c r="E367" s="255"/>
      <c r="F367" s="277">
        <v>0</v>
      </c>
      <c r="G367" s="278">
        <f t="shared" si="18"/>
        <v>0</v>
      </c>
      <c r="H367" s="122"/>
    </row>
    <row r="368" spans="2:8" s="34" customFormat="1" hidden="1" x14ac:dyDescent="0.2">
      <c r="B368" s="135"/>
      <c r="C368" s="260" t="s">
        <v>227</v>
      </c>
      <c r="D368" s="254" t="s">
        <v>149</v>
      </c>
      <c r="E368" s="255"/>
      <c r="F368" s="277">
        <v>0</v>
      </c>
      <c r="G368" s="278">
        <f t="shared" si="18"/>
        <v>0</v>
      </c>
      <c r="H368" s="122"/>
    </row>
    <row r="369" spans="2:8" s="34" customFormat="1" hidden="1" x14ac:dyDescent="0.2">
      <c r="B369" s="135"/>
      <c r="C369" s="261" t="s">
        <v>198</v>
      </c>
      <c r="D369" s="254" t="s">
        <v>149</v>
      </c>
      <c r="E369" s="255"/>
      <c r="F369" s="277">
        <v>0</v>
      </c>
      <c r="G369" s="278">
        <f t="shared" si="18"/>
        <v>0</v>
      </c>
      <c r="H369" s="122"/>
    </row>
    <row r="370" spans="2:8" s="34" customFormat="1" hidden="1" x14ac:dyDescent="0.2">
      <c r="B370" s="292" t="s">
        <v>220</v>
      </c>
      <c r="C370" s="238" t="s">
        <v>221</v>
      </c>
      <c r="D370" s="239"/>
      <c r="E370" s="240"/>
      <c r="F370" s="241"/>
      <c r="G370" s="242"/>
      <c r="H370" s="122"/>
    </row>
    <row r="371" spans="2:8" s="34" customFormat="1" hidden="1" x14ac:dyDescent="0.2">
      <c r="B371" s="135"/>
      <c r="C371" s="238" t="s">
        <v>2345</v>
      </c>
      <c r="D371" s="239"/>
      <c r="E371" s="240"/>
      <c r="F371" s="241">
        <v>0</v>
      </c>
      <c r="G371" s="242"/>
      <c r="H371" s="122"/>
    </row>
    <row r="372" spans="2:8" s="34" customFormat="1" hidden="1" x14ac:dyDescent="0.2">
      <c r="B372" s="135"/>
      <c r="C372" s="243" t="s">
        <v>2333</v>
      </c>
      <c r="D372" s="239" t="s">
        <v>149</v>
      </c>
      <c r="E372" s="240"/>
      <c r="F372" s="273">
        <v>0</v>
      </c>
      <c r="G372" s="274">
        <f t="shared" ref="G372:G380" si="19">E372*F372</f>
        <v>0</v>
      </c>
      <c r="H372" s="122"/>
    </row>
    <row r="373" spans="2:8" s="34" customFormat="1" ht="27" hidden="1" customHeight="1" x14ac:dyDescent="0.2">
      <c r="B373" s="135"/>
      <c r="C373" s="244" t="s">
        <v>223</v>
      </c>
      <c r="D373" s="239" t="s">
        <v>149</v>
      </c>
      <c r="E373" s="240"/>
      <c r="F373" s="273">
        <v>0</v>
      </c>
      <c r="G373" s="274">
        <f t="shared" si="19"/>
        <v>0</v>
      </c>
      <c r="H373" s="122"/>
    </row>
    <row r="374" spans="2:8" s="34" customFormat="1" hidden="1" x14ac:dyDescent="0.2">
      <c r="B374" s="135"/>
      <c r="C374" s="244" t="s">
        <v>2337</v>
      </c>
      <c r="D374" s="239" t="s">
        <v>149</v>
      </c>
      <c r="E374" s="240"/>
      <c r="F374" s="273">
        <v>0</v>
      </c>
      <c r="G374" s="274">
        <f t="shared" si="19"/>
        <v>0</v>
      </c>
      <c r="H374" s="122"/>
    </row>
    <row r="375" spans="2:8" s="34" customFormat="1" hidden="1" x14ac:dyDescent="0.2">
      <c r="B375" s="135"/>
      <c r="C375" s="244" t="s">
        <v>2346</v>
      </c>
      <c r="D375" s="239" t="s">
        <v>149</v>
      </c>
      <c r="E375" s="240"/>
      <c r="F375" s="273">
        <v>0</v>
      </c>
      <c r="G375" s="274">
        <f t="shared" si="19"/>
        <v>0</v>
      </c>
      <c r="H375" s="122"/>
    </row>
    <row r="376" spans="2:8" s="34" customFormat="1" hidden="1" x14ac:dyDescent="0.2">
      <c r="B376" s="135"/>
      <c r="C376" s="245" t="s">
        <v>2347</v>
      </c>
      <c r="D376" s="239" t="s">
        <v>149</v>
      </c>
      <c r="E376" s="240"/>
      <c r="F376" s="273">
        <v>0</v>
      </c>
      <c r="G376" s="274">
        <f t="shared" si="19"/>
        <v>0</v>
      </c>
      <c r="H376" s="122"/>
    </row>
    <row r="377" spans="2:8" s="34" customFormat="1" hidden="1" x14ac:dyDescent="0.2">
      <c r="B377" s="135"/>
      <c r="C377" s="245" t="s">
        <v>2348</v>
      </c>
      <c r="D377" s="239" t="s">
        <v>149</v>
      </c>
      <c r="E377" s="240"/>
      <c r="F377" s="273">
        <v>0</v>
      </c>
      <c r="G377" s="274">
        <f t="shared" si="19"/>
        <v>0</v>
      </c>
      <c r="H377" s="122"/>
    </row>
    <row r="378" spans="2:8" s="34" customFormat="1" hidden="1" x14ac:dyDescent="0.2">
      <c r="B378" s="135"/>
      <c r="C378" s="245" t="s">
        <v>2297</v>
      </c>
      <c r="D378" s="239" t="s">
        <v>149</v>
      </c>
      <c r="E378" s="240"/>
      <c r="F378" s="273">
        <v>0</v>
      </c>
      <c r="G378" s="274">
        <f t="shared" si="19"/>
        <v>0</v>
      </c>
      <c r="H378" s="122"/>
    </row>
    <row r="379" spans="2:8" s="34" customFormat="1" hidden="1" x14ac:dyDescent="0.2">
      <c r="B379" s="135"/>
      <c r="C379" s="245" t="s">
        <v>227</v>
      </c>
      <c r="D379" s="239" t="s">
        <v>149</v>
      </c>
      <c r="E379" s="240"/>
      <c r="F379" s="273">
        <v>0</v>
      </c>
      <c r="G379" s="274">
        <f t="shared" si="19"/>
        <v>0</v>
      </c>
      <c r="H379" s="122"/>
    </row>
    <row r="380" spans="2:8" s="34" customFormat="1" hidden="1" x14ac:dyDescent="0.2">
      <c r="B380" s="135"/>
      <c r="C380" s="246" t="s">
        <v>198</v>
      </c>
      <c r="D380" s="239" t="s">
        <v>149</v>
      </c>
      <c r="E380" s="240"/>
      <c r="F380" s="273">
        <v>0</v>
      </c>
      <c r="G380" s="274">
        <f t="shared" si="19"/>
        <v>0</v>
      </c>
      <c r="H380" s="122"/>
    </row>
    <row r="381" spans="2:8" s="34" customFormat="1" hidden="1" x14ac:dyDescent="0.2">
      <c r="B381" s="135"/>
      <c r="C381" s="238" t="s">
        <v>2349</v>
      </c>
      <c r="D381" s="239"/>
      <c r="E381" s="240"/>
      <c r="F381" s="241">
        <v>0</v>
      </c>
      <c r="G381" s="242"/>
      <c r="H381" s="122"/>
    </row>
    <row r="382" spans="2:8" s="34" customFormat="1" hidden="1" x14ac:dyDescent="0.2">
      <c r="B382" s="135"/>
      <c r="C382" s="243" t="s">
        <v>858</v>
      </c>
      <c r="D382" s="239" t="s">
        <v>149</v>
      </c>
      <c r="E382" s="240"/>
      <c r="F382" s="273">
        <v>0</v>
      </c>
      <c r="G382" s="274">
        <f t="shared" ref="G382:G391" si="20">E382*F382</f>
        <v>0</v>
      </c>
      <c r="H382" s="122"/>
    </row>
    <row r="383" spans="2:8" s="34" customFormat="1" ht="24.75" hidden="1" customHeight="1" x14ac:dyDescent="0.2">
      <c r="B383" s="135"/>
      <c r="C383" s="244" t="s">
        <v>223</v>
      </c>
      <c r="D383" s="239" t="s">
        <v>149</v>
      </c>
      <c r="E383" s="240"/>
      <c r="F383" s="273">
        <v>0</v>
      </c>
      <c r="G383" s="274">
        <f t="shared" si="20"/>
        <v>0</v>
      </c>
      <c r="H383" s="122"/>
    </row>
    <row r="384" spans="2:8" s="34" customFormat="1" hidden="1" x14ac:dyDescent="0.2">
      <c r="B384" s="135"/>
      <c r="C384" s="244" t="s">
        <v>213</v>
      </c>
      <c r="D384" s="239" t="s">
        <v>149</v>
      </c>
      <c r="E384" s="240"/>
      <c r="F384" s="273">
        <v>0</v>
      </c>
      <c r="G384" s="274">
        <f t="shared" si="20"/>
        <v>0</v>
      </c>
      <c r="H384" s="122"/>
    </row>
    <row r="385" spans="2:8" s="34" customFormat="1" hidden="1" x14ac:dyDescent="0.2">
      <c r="B385" s="135"/>
      <c r="C385" s="244" t="s">
        <v>224</v>
      </c>
      <c r="D385" s="239" t="s">
        <v>149</v>
      </c>
      <c r="E385" s="240"/>
      <c r="F385" s="273">
        <v>0</v>
      </c>
      <c r="G385" s="274">
        <f t="shared" si="20"/>
        <v>0</v>
      </c>
      <c r="H385" s="122"/>
    </row>
    <row r="386" spans="2:8" s="34" customFormat="1" hidden="1" x14ac:dyDescent="0.2">
      <c r="B386" s="135"/>
      <c r="C386" s="244" t="s">
        <v>225</v>
      </c>
      <c r="D386" s="239" t="s">
        <v>149</v>
      </c>
      <c r="E386" s="240"/>
      <c r="F386" s="273">
        <v>0</v>
      </c>
      <c r="G386" s="274">
        <f t="shared" si="20"/>
        <v>0</v>
      </c>
      <c r="H386" s="122"/>
    </row>
    <row r="387" spans="2:8" s="34" customFormat="1" hidden="1" x14ac:dyDescent="0.2">
      <c r="B387" s="135"/>
      <c r="C387" s="245" t="s">
        <v>226</v>
      </c>
      <c r="D387" s="239" t="s">
        <v>149</v>
      </c>
      <c r="E387" s="240"/>
      <c r="F387" s="273">
        <v>0</v>
      </c>
      <c r="G387" s="274">
        <f t="shared" si="20"/>
        <v>0</v>
      </c>
      <c r="H387" s="122"/>
    </row>
    <row r="388" spans="2:8" s="34" customFormat="1" hidden="1" x14ac:dyDescent="0.2">
      <c r="B388" s="135"/>
      <c r="C388" s="245" t="s">
        <v>217</v>
      </c>
      <c r="D388" s="239" t="s">
        <v>149</v>
      </c>
      <c r="E388" s="240"/>
      <c r="F388" s="273">
        <v>0</v>
      </c>
      <c r="G388" s="274">
        <f t="shared" si="20"/>
        <v>0</v>
      </c>
      <c r="H388" s="122"/>
    </row>
    <row r="389" spans="2:8" s="34" customFormat="1" hidden="1" x14ac:dyDescent="0.2">
      <c r="B389" s="135"/>
      <c r="C389" s="245" t="s">
        <v>2341</v>
      </c>
      <c r="D389" s="239" t="s">
        <v>149</v>
      </c>
      <c r="E389" s="240"/>
      <c r="F389" s="273">
        <v>0</v>
      </c>
      <c r="G389" s="274">
        <f t="shared" si="20"/>
        <v>0</v>
      </c>
      <c r="H389" s="122"/>
    </row>
    <row r="390" spans="2:8" s="34" customFormat="1" hidden="1" x14ac:dyDescent="0.2">
      <c r="B390" s="135"/>
      <c r="C390" s="245" t="s">
        <v>227</v>
      </c>
      <c r="D390" s="239" t="s">
        <v>149</v>
      </c>
      <c r="E390" s="240"/>
      <c r="F390" s="273">
        <v>0</v>
      </c>
      <c r="G390" s="274">
        <f t="shared" si="20"/>
        <v>0</v>
      </c>
      <c r="H390" s="122"/>
    </row>
    <row r="391" spans="2:8" s="34" customFormat="1" hidden="1" x14ac:dyDescent="0.2">
      <c r="B391" s="135"/>
      <c r="C391" s="246" t="s">
        <v>198</v>
      </c>
      <c r="D391" s="239" t="s">
        <v>149</v>
      </c>
      <c r="E391" s="240"/>
      <c r="F391" s="273">
        <v>0</v>
      </c>
      <c r="G391" s="274">
        <f t="shared" si="20"/>
        <v>0</v>
      </c>
      <c r="H391" s="122"/>
    </row>
    <row r="392" spans="2:8" s="34" customFormat="1" hidden="1" x14ac:dyDescent="0.2">
      <c r="B392" s="135"/>
      <c r="C392" s="238" t="s">
        <v>2350</v>
      </c>
      <c r="D392" s="239"/>
      <c r="E392" s="240"/>
      <c r="F392" s="241">
        <v>0</v>
      </c>
      <c r="G392" s="242"/>
      <c r="H392" s="122"/>
    </row>
    <row r="393" spans="2:8" s="34" customFormat="1" hidden="1" x14ac:dyDescent="0.2">
      <c r="B393" s="135"/>
      <c r="C393" s="243" t="s">
        <v>2343</v>
      </c>
      <c r="D393" s="239" t="s">
        <v>149</v>
      </c>
      <c r="E393" s="240"/>
      <c r="F393" s="273">
        <v>0</v>
      </c>
      <c r="G393" s="274">
        <f t="shared" ref="G393:G402" si="21">E393*F393</f>
        <v>0</v>
      </c>
      <c r="H393" s="122"/>
    </row>
    <row r="394" spans="2:8" s="34" customFormat="1" ht="24.75" hidden="1" customHeight="1" x14ac:dyDescent="0.2">
      <c r="B394" s="135"/>
      <c r="C394" s="244" t="s">
        <v>223</v>
      </c>
      <c r="D394" s="239" t="s">
        <v>149</v>
      </c>
      <c r="E394" s="240"/>
      <c r="F394" s="273">
        <v>0</v>
      </c>
      <c r="G394" s="274">
        <f t="shared" si="21"/>
        <v>0</v>
      </c>
      <c r="H394" s="122"/>
    </row>
    <row r="395" spans="2:8" s="34" customFormat="1" hidden="1" x14ac:dyDescent="0.2">
      <c r="B395" s="135"/>
      <c r="C395" s="244" t="s">
        <v>213</v>
      </c>
      <c r="D395" s="239" t="s">
        <v>149</v>
      </c>
      <c r="E395" s="240"/>
      <c r="F395" s="273">
        <v>0</v>
      </c>
      <c r="G395" s="274">
        <f t="shared" si="21"/>
        <v>0</v>
      </c>
      <c r="H395" s="122"/>
    </row>
    <row r="396" spans="2:8" s="34" customFormat="1" hidden="1" x14ac:dyDescent="0.2">
      <c r="B396" s="135"/>
      <c r="C396" s="244" t="s">
        <v>224</v>
      </c>
      <c r="D396" s="239" t="s">
        <v>149</v>
      </c>
      <c r="E396" s="240"/>
      <c r="F396" s="273">
        <v>0</v>
      </c>
      <c r="G396" s="274">
        <f t="shared" si="21"/>
        <v>0</v>
      </c>
      <c r="H396" s="122"/>
    </row>
    <row r="397" spans="2:8" s="34" customFormat="1" hidden="1" x14ac:dyDescent="0.2">
      <c r="B397" s="135"/>
      <c r="C397" s="244" t="s">
        <v>225</v>
      </c>
      <c r="D397" s="239" t="s">
        <v>149</v>
      </c>
      <c r="E397" s="240"/>
      <c r="F397" s="273">
        <v>0</v>
      </c>
      <c r="G397" s="274">
        <f t="shared" si="21"/>
        <v>0</v>
      </c>
      <c r="H397" s="122"/>
    </row>
    <row r="398" spans="2:8" s="34" customFormat="1" hidden="1" x14ac:dyDescent="0.2">
      <c r="B398" s="135"/>
      <c r="C398" s="245" t="s">
        <v>226</v>
      </c>
      <c r="D398" s="239" t="s">
        <v>149</v>
      </c>
      <c r="E398" s="240"/>
      <c r="F398" s="273">
        <v>0</v>
      </c>
      <c r="G398" s="274">
        <f t="shared" si="21"/>
        <v>0</v>
      </c>
      <c r="H398" s="122"/>
    </row>
    <row r="399" spans="2:8" s="34" customFormat="1" hidden="1" x14ac:dyDescent="0.2">
      <c r="B399" s="135"/>
      <c r="C399" s="245" t="s">
        <v>217</v>
      </c>
      <c r="D399" s="239" t="s">
        <v>149</v>
      </c>
      <c r="E399" s="240"/>
      <c r="F399" s="273">
        <v>0</v>
      </c>
      <c r="G399" s="274">
        <f t="shared" si="21"/>
        <v>0</v>
      </c>
      <c r="H399" s="122"/>
    </row>
    <row r="400" spans="2:8" s="34" customFormat="1" hidden="1" x14ac:dyDescent="0.2">
      <c r="B400" s="135"/>
      <c r="C400" s="245" t="s">
        <v>353</v>
      </c>
      <c r="D400" s="239" t="s">
        <v>149</v>
      </c>
      <c r="E400" s="240"/>
      <c r="F400" s="273">
        <v>0</v>
      </c>
      <c r="G400" s="274">
        <f t="shared" si="21"/>
        <v>0</v>
      </c>
      <c r="H400" s="122"/>
    </row>
    <row r="401" spans="2:8" s="34" customFormat="1" hidden="1" x14ac:dyDescent="0.2">
      <c r="B401" s="135"/>
      <c r="C401" s="245" t="s">
        <v>227</v>
      </c>
      <c r="D401" s="239" t="s">
        <v>149</v>
      </c>
      <c r="E401" s="240"/>
      <c r="F401" s="273">
        <v>0</v>
      </c>
      <c r="G401" s="274">
        <f t="shared" si="21"/>
        <v>0</v>
      </c>
      <c r="H401" s="122"/>
    </row>
    <row r="402" spans="2:8" s="34" customFormat="1" hidden="1" x14ac:dyDescent="0.2">
      <c r="B402" s="135"/>
      <c r="C402" s="246" t="s">
        <v>198</v>
      </c>
      <c r="D402" s="239" t="s">
        <v>149</v>
      </c>
      <c r="E402" s="240"/>
      <c r="F402" s="273">
        <v>0</v>
      </c>
      <c r="G402" s="274">
        <f t="shared" si="21"/>
        <v>0</v>
      </c>
      <c r="H402" s="122"/>
    </row>
    <row r="403" spans="2:8" s="34" customFormat="1" hidden="1" x14ac:dyDescent="0.2">
      <c r="B403" s="135"/>
      <c r="C403" s="238" t="s">
        <v>2351</v>
      </c>
      <c r="D403" s="239"/>
      <c r="E403" s="240"/>
      <c r="F403" s="241">
        <v>0</v>
      </c>
      <c r="G403" s="242"/>
      <c r="H403" s="122"/>
    </row>
    <row r="404" spans="2:8" s="34" customFormat="1" hidden="1" x14ac:dyDescent="0.2">
      <c r="B404" s="135"/>
      <c r="C404" s="243" t="s">
        <v>325</v>
      </c>
      <c r="D404" s="239" t="s">
        <v>149</v>
      </c>
      <c r="E404" s="240"/>
      <c r="F404" s="273">
        <v>0</v>
      </c>
      <c r="G404" s="274">
        <f t="shared" ref="G404:G413" si="22">E404*F404</f>
        <v>0</v>
      </c>
      <c r="H404" s="122"/>
    </row>
    <row r="405" spans="2:8" s="34" customFormat="1" ht="24" hidden="1" customHeight="1" x14ac:dyDescent="0.2">
      <c r="B405" s="135"/>
      <c r="C405" s="244" t="s">
        <v>223</v>
      </c>
      <c r="D405" s="239" t="s">
        <v>149</v>
      </c>
      <c r="E405" s="240"/>
      <c r="F405" s="273">
        <v>0</v>
      </c>
      <c r="G405" s="274">
        <f t="shared" si="22"/>
        <v>0</v>
      </c>
      <c r="H405" s="122"/>
    </row>
    <row r="406" spans="2:8" s="34" customFormat="1" hidden="1" x14ac:dyDescent="0.2">
      <c r="B406" s="135"/>
      <c r="C406" s="244" t="s">
        <v>213</v>
      </c>
      <c r="D406" s="239" t="s">
        <v>149</v>
      </c>
      <c r="E406" s="240"/>
      <c r="F406" s="273">
        <v>0</v>
      </c>
      <c r="G406" s="274">
        <f t="shared" si="22"/>
        <v>0</v>
      </c>
      <c r="H406" s="122"/>
    </row>
    <row r="407" spans="2:8" s="34" customFormat="1" hidden="1" x14ac:dyDescent="0.2">
      <c r="B407" s="135"/>
      <c r="C407" s="244" t="s">
        <v>224</v>
      </c>
      <c r="D407" s="239" t="s">
        <v>149</v>
      </c>
      <c r="E407" s="240"/>
      <c r="F407" s="273">
        <v>0</v>
      </c>
      <c r="G407" s="274">
        <f t="shared" si="22"/>
        <v>0</v>
      </c>
      <c r="H407" s="122"/>
    </row>
    <row r="408" spans="2:8" s="34" customFormat="1" hidden="1" x14ac:dyDescent="0.2">
      <c r="B408" s="135"/>
      <c r="C408" s="244" t="s">
        <v>225</v>
      </c>
      <c r="D408" s="239" t="s">
        <v>149</v>
      </c>
      <c r="E408" s="240"/>
      <c r="F408" s="273">
        <v>0</v>
      </c>
      <c r="G408" s="274">
        <f t="shared" si="22"/>
        <v>0</v>
      </c>
      <c r="H408" s="122"/>
    </row>
    <row r="409" spans="2:8" s="34" customFormat="1" hidden="1" x14ac:dyDescent="0.2">
      <c r="B409" s="135"/>
      <c r="C409" s="245" t="s">
        <v>226</v>
      </c>
      <c r="D409" s="239" t="s">
        <v>149</v>
      </c>
      <c r="E409" s="240"/>
      <c r="F409" s="273">
        <v>0</v>
      </c>
      <c r="G409" s="274">
        <f t="shared" si="22"/>
        <v>0</v>
      </c>
      <c r="H409" s="122"/>
    </row>
    <row r="410" spans="2:8" s="34" customFormat="1" hidden="1" x14ac:dyDescent="0.2">
      <c r="B410" s="135"/>
      <c r="C410" s="245" t="s">
        <v>217</v>
      </c>
      <c r="D410" s="239" t="s">
        <v>149</v>
      </c>
      <c r="E410" s="240"/>
      <c r="F410" s="273">
        <v>0</v>
      </c>
      <c r="G410" s="274">
        <f t="shared" si="22"/>
        <v>0</v>
      </c>
      <c r="H410" s="122"/>
    </row>
    <row r="411" spans="2:8" s="34" customFormat="1" hidden="1" x14ac:dyDescent="0.2">
      <c r="B411" s="135"/>
      <c r="C411" s="245" t="s">
        <v>323</v>
      </c>
      <c r="D411" s="239" t="s">
        <v>149</v>
      </c>
      <c r="E411" s="240"/>
      <c r="F411" s="273">
        <v>0</v>
      </c>
      <c r="G411" s="274">
        <f t="shared" si="22"/>
        <v>0</v>
      </c>
      <c r="H411" s="122"/>
    </row>
    <row r="412" spans="2:8" s="34" customFormat="1" hidden="1" x14ac:dyDescent="0.2">
      <c r="B412" s="135"/>
      <c r="C412" s="245" t="s">
        <v>227</v>
      </c>
      <c r="D412" s="239" t="s">
        <v>149</v>
      </c>
      <c r="E412" s="240"/>
      <c r="F412" s="273">
        <v>0</v>
      </c>
      <c r="G412" s="274">
        <f t="shared" si="22"/>
        <v>0</v>
      </c>
      <c r="H412" s="122"/>
    </row>
    <row r="413" spans="2:8" s="34" customFormat="1" hidden="1" x14ac:dyDescent="0.2">
      <c r="B413" s="135"/>
      <c r="C413" s="246" t="s">
        <v>198</v>
      </c>
      <c r="D413" s="239" t="s">
        <v>149</v>
      </c>
      <c r="E413" s="240"/>
      <c r="F413" s="273">
        <v>0</v>
      </c>
      <c r="G413" s="274">
        <f t="shared" si="22"/>
        <v>0</v>
      </c>
      <c r="H413" s="122"/>
    </row>
    <row r="414" spans="2:8" s="34" customFormat="1" hidden="1" x14ac:dyDescent="0.2">
      <c r="B414" s="135"/>
      <c r="C414" s="238" t="s">
        <v>1741</v>
      </c>
      <c r="D414" s="239"/>
      <c r="E414" s="240"/>
      <c r="F414" s="241">
        <v>0</v>
      </c>
      <c r="G414" s="242"/>
      <c r="H414" s="122"/>
    </row>
    <row r="415" spans="2:8" s="34" customFormat="1" hidden="1" x14ac:dyDescent="0.2">
      <c r="B415" s="135"/>
      <c r="C415" s="243" t="s">
        <v>1255</v>
      </c>
      <c r="D415" s="239" t="s">
        <v>149</v>
      </c>
      <c r="E415" s="240"/>
      <c r="F415" s="273">
        <v>0</v>
      </c>
      <c r="G415" s="274">
        <f t="shared" ref="G415:G424" si="23">E415*F415</f>
        <v>0</v>
      </c>
      <c r="H415" s="122"/>
    </row>
    <row r="416" spans="2:8" s="34" customFormat="1" ht="24" hidden="1" customHeight="1" x14ac:dyDescent="0.2">
      <c r="B416" s="135"/>
      <c r="C416" s="244" t="s">
        <v>223</v>
      </c>
      <c r="D416" s="239" t="s">
        <v>149</v>
      </c>
      <c r="E416" s="240"/>
      <c r="F416" s="273">
        <v>0</v>
      </c>
      <c r="G416" s="274">
        <f t="shared" si="23"/>
        <v>0</v>
      </c>
      <c r="H416" s="122"/>
    </row>
    <row r="417" spans="2:8" s="34" customFormat="1" hidden="1" x14ac:dyDescent="0.2">
      <c r="B417" s="135"/>
      <c r="C417" s="244" t="s">
        <v>213</v>
      </c>
      <c r="D417" s="239" t="s">
        <v>149</v>
      </c>
      <c r="E417" s="240"/>
      <c r="F417" s="273">
        <v>0</v>
      </c>
      <c r="G417" s="274">
        <f t="shared" si="23"/>
        <v>0</v>
      </c>
      <c r="H417" s="122"/>
    </row>
    <row r="418" spans="2:8" s="34" customFormat="1" hidden="1" x14ac:dyDescent="0.2">
      <c r="B418" s="135"/>
      <c r="C418" s="244" t="s">
        <v>224</v>
      </c>
      <c r="D418" s="239" t="s">
        <v>149</v>
      </c>
      <c r="E418" s="240"/>
      <c r="F418" s="273">
        <v>0</v>
      </c>
      <c r="G418" s="274">
        <f t="shared" si="23"/>
        <v>0</v>
      </c>
      <c r="H418" s="122"/>
    </row>
    <row r="419" spans="2:8" s="34" customFormat="1" hidden="1" x14ac:dyDescent="0.2">
      <c r="B419" s="135"/>
      <c r="C419" s="244" t="s">
        <v>225</v>
      </c>
      <c r="D419" s="239" t="s">
        <v>149</v>
      </c>
      <c r="E419" s="240"/>
      <c r="F419" s="273">
        <v>0</v>
      </c>
      <c r="G419" s="274">
        <f t="shared" si="23"/>
        <v>0</v>
      </c>
      <c r="H419" s="122"/>
    </row>
    <row r="420" spans="2:8" s="34" customFormat="1" hidden="1" x14ac:dyDescent="0.2">
      <c r="B420" s="135"/>
      <c r="C420" s="245" t="s">
        <v>226</v>
      </c>
      <c r="D420" s="239" t="s">
        <v>149</v>
      </c>
      <c r="E420" s="240"/>
      <c r="F420" s="273">
        <v>0</v>
      </c>
      <c r="G420" s="274">
        <f t="shared" si="23"/>
        <v>0</v>
      </c>
      <c r="H420" s="122"/>
    </row>
    <row r="421" spans="2:8" s="34" customFormat="1" hidden="1" x14ac:dyDescent="0.2">
      <c r="B421" s="135"/>
      <c r="C421" s="245" t="s">
        <v>217</v>
      </c>
      <c r="D421" s="239" t="s">
        <v>149</v>
      </c>
      <c r="E421" s="240"/>
      <c r="F421" s="273">
        <v>0</v>
      </c>
      <c r="G421" s="274">
        <f t="shared" si="23"/>
        <v>0</v>
      </c>
      <c r="H421" s="122"/>
    </row>
    <row r="422" spans="2:8" s="34" customFormat="1" hidden="1" x14ac:dyDescent="0.2">
      <c r="B422" s="135"/>
      <c r="C422" s="245" t="s">
        <v>354</v>
      </c>
      <c r="D422" s="239" t="s">
        <v>149</v>
      </c>
      <c r="E422" s="240"/>
      <c r="F422" s="273">
        <v>0</v>
      </c>
      <c r="G422" s="274">
        <f t="shared" si="23"/>
        <v>0</v>
      </c>
      <c r="H422" s="122"/>
    </row>
    <row r="423" spans="2:8" s="34" customFormat="1" hidden="1" x14ac:dyDescent="0.2">
      <c r="B423" s="135"/>
      <c r="C423" s="245" t="s">
        <v>227</v>
      </c>
      <c r="D423" s="239" t="s">
        <v>149</v>
      </c>
      <c r="E423" s="240"/>
      <c r="F423" s="273">
        <v>0</v>
      </c>
      <c r="G423" s="274">
        <f t="shared" si="23"/>
        <v>0</v>
      </c>
      <c r="H423" s="122"/>
    </row>
    <row r="424" spans="2:8" s="34" customFormat="1" hidden="1" x14ac:dyDescent="0.2">
      <c r="B424" s="135"/>
      <c r="C424" s="246" t="s">
        <v>198</v>
      </c>
      <c r="D424" s="239" t="s">
        <v>149</v>
      </c>
      <c r="E424" s="240"/>
      <c r="F424" s="273">
        <v>0</v>
      </c>
      <c r="G424" s="274">
        <f t="shared" si="23"/>
        <v>0</v>
      </c>
      <c r="H424" s="122"/>
    </row>
    <row r="425" spans="2:8" s="34" customFormat="1" hidden="1" x14ac:dyDescent="0.2">
      <c r="B425" s="135"/>
      <c r="C425" s="238" t="s">
        <v>222</v>
      </c>
      <c r="D425" s="239"/>
      <c r="E425" s="240"/>
      <c r="F425" s="241">
        <v>0</v>
      </c>
      <c r="G425" s="242"/>
      <c r="H425" s="122"/>
    </row>
    <row r="426" spans="2:8" s="34" customFormat="1" hidden="1" x14ac:dyDescent="0.2">
      <c r="B426" s="135"/>
      <c r="C426" s="243" t="s">
        <v>207</v>
      </c>
      <c r="D426" s="239" t="s">
        <v>149</v>
      </c>
      <c r="E426" s="240"/>
      <c r="F426" s="273">
        <v>0</v>
      </c>
      <c r="G426" s="274">
        <f t="shared" ref="G426:G436" si="24">E426*F426</f>
        <v>0</v>
      </c>
      <c r="H426" s="122"/>
    </row>
    <row r="427" spans="2:8" s="34" customFormat="1" ht="24" hidden="1" customHeight="1" x14ac:dyDescent="0.2">
      <c r="B427" s="135"/>
      <c r="C427" s="244" t="s">
        <v>223</v>
      </c>
      <c r="D427" s="239" t="s">
        <v>149</v>
      </c>
      <c r="E427" s="240"/>
      <c r="F427" s="273">
        <v>0</v>
      </c>
      <c r="G427" s="274">
        <f t="shared" si="24"/>
        <v>0</v>
      </c>
      <c r="H427" s="122"/>
    </row>
    <row r="428" spans="2:8" s="34" customFormat="1" hidden="1" x14ac:dyDescent="0.2">
      <c r="B428" s="135"/>
      <c r="C428" s="244" t="s">
        <v>213</v>
      </c>
      <c r="D428" s="239" t="s">
        <v>149</v>
      </c>
      <c r="E428" s="240"/>
      <c r="F428" s="273">
        <v>0</v>
      </c>
      <c r="G428" s="274">
        <f t="shared" si="24"/>
        <v>0</v>
      </c>
      <c r="H428" s="122"/>
    </row>
    <row r="429" spans="2:8" s="34" customFormat="1" hidden="1" x14ac:dyDescent="0.2">
      <c r="B429" s="135"/>
      <c r="C429" s="244" t="s">
        <v>224</v>
      </c>
      <c r="D429" s="239" t="s">
        <v>149</v>
      </c>
      <c r="E429" s="240"/>
      <c r="F429" s="273">
        <v>0</v>
      </c>
      <c r="G429" s="274">
        <f t="shared" si="24"/>
        <v>0</v>
      </c>
      <c r="H429" s="122"/>
    </row>
    <row r="430" spans="2:8" s="34" customFormat="1" hidden="1" x14ac:dyDescent="0.2">
      <c r="B430" s="135"/>
      <c r="C430" s="244" t="s">
        <v>225</v>
      </c>
      <c r="D430" s="239" t="s">
        <v>149</v>
      </c>
      <c r="E430" s="240"/>
      <c r="F430" s="273">
        <v>0</v>
      </c>
      <c r="G430" s="274">
        <f t="shared" si="24"/>
        <v>0</v>
      </c>
      <c r="H430" s="122"/>
    </row>
    <row r="431" spans="2:8" s="34" customFormat="1" hidden="1" x14ac:dyDescent="0.2">
      <c r="B431" s="135"/>
      <c r="C431" s="245" t="s">
        <v>226</v>
      </c>
      <c r="D431" s="239" t="s">
        <v>149</v>
      </c>
      <c r="E431" s="240"/>
      <c r="F431" s="273">
        <v>0</v>
      </c>
      <c r="G431" s="274">
        <f t="shared" si="24"/>
        <v>0</v>
      </c>
      <c r="H431" s="122"/>
    </row>
    <row r="432" spans="2:8" s="34" customFormat="1" hidden="1" x14ac:dyDescent="0.2">
      <c r="B432" s="135"/>
      <c r="C432" s="245" t="s">
        <v>217</v>
      </c>
      <c r="D432" s="239" t="s">
        <v>149</v>
      </c>
      <c r="E432" s="240"/>
      <c r="F432" s="273">
        <v>0</v>
      </c>
      <c r="G432" s="274">
        <f t="shared" si="24"/>
        <v>0</v>
      </c>
      <c r="H432" s="122"/>
    </row>
    <row r="433" spans="2:8" s="34" customFormat="1" hidden="1" x14ac:dyDescent="0.2">
      <c r="B433" s="135"/>
      <c r="C433" s="245" t="s">
        <v>195</v>
      </c>
      <c r="D433" s="239" t="s">
        <v>149</v>
      </c>
      <c r="E433" s="240"/>
      <c r="F433" s="273">
        <v>0</v>
      </c>
      <c r="G433" s="274">
        <f t="shared" si="24"/>
        <v>0</v>
      </c>
      <c r="H433" s="122"/>
    </row>
    <row r="434" spans="2:8" s="34" customFormat="1" hidden="1" x14ac:dyDescent="0.2">
      <c r="B434" s="135"/>
      <c r="C434" s="245" t="s">
        <v>218</v>
      </c>
      <c r="D434" s="239" t="s">
        <v>149</v>
      </c>
      <c r="E434" s="240"/>
      <c r="F434" s="273">
        <v>0</v>
      </c>
      <c r="G434" s="274">
        <f t="shared" si="24"/>
        <v>0</v>
      </c>
      <c r="H434" s="122"/>
    </row>
    <row r="435" spans="2:8" s="34" customFormat="1" hidden="1" x14ac:dyDescent="0.2">
      <c r="B435" s="135"/>
      <c r="C435" s="245" t="s">
        <v>227</v>
      </c>
      <c r="D435" s="239" t="s">
        <v>149</v>
      </c>
      <c r="E435" s="240"/>
      <c r="F435" s="273">
        <v>0</v>
      </c>
      <c r="G435" s="274">
        <f t="shared" si="24"/>
        <v>0</v>
      </c>
      <c r="H435" s="122"/>
    </row>
    <row r="436" spans="2:8" s="34" customFormat="1" hidden="1" x14ac:dyDescent="0.2">
      <c r="B436" s="135"/>
      <c r="C436" s="246" t="s">
        <v>198</v>
      </c>
      <c r="D436" s="239" t="s">
        <v>149</v>
      </c>
      <c r="E436" s="240"/>
      <c r="F436" s="273">
        <v>0</v>
      </c>
      <c r="G436" s="274">
        <f t="shared" si="24"/>
        <v>0</v>
      </c>
      <c r="H436" s="122"/>
    </row>
    <row r="437" spans="2:8" s="34" customFormat="1" hidden="1" x14ac:dyDescent="0.2">
      <c r="B437" s="135"/>
      <c r="C437" s="238" t="s">
        <v>1771</v>
      </c>
      <c r="D437" s="239"/>
      <c r="E437" s="240"/>
      <c r="F437" s="241">
        <v>0</v>
      </c>
      <c r="G437" s="242"/>
      <c r="H437" s="122"/>
    </row>
    <row r="438" spans="2:8" s="34" customFormat="1" hidden="1" x14ac:dyDescent="0.2">
      <c r="B438" s="135"/>
      <c r="C438" s="243" t="s">
        <v>207</v>
      </c>
      <c r="D438" s="239" t="s">
        <v>149</v>
      </c>
      <c r="E438" s="240"/>
      <c r="F438" s="273">
        <v>0</v>
      </c>
      <c r="G438" s="274">
        <f t="shared" ref="G438:G449" si="25">E438*F438</f>
        <v>0</v>
      </c>
      <c r="H438" s="122"/>
    </row>
    <row r="439" spans="2:8" s="34" customFormat="1" ht="24.75" hidden="1" customHeight="1" x14ac:dyDescent="0.2">
      <c r="B439" s="135"/>
      <c r="C439" s="244" t="s">
        <v>223</v>
      </c>
      <c r="D439" s="239" t="s">
        <v>149</v>
      </c>
      <c r="E439" s="240"/>
      <c r="F439" s="273">
        <v>0</v>
      </c>
      <c r="G439" s="274">
        <f t="shared" si="25"/>
        <v>0</v>
      </c>
      <c r="H439" s="122"/>
    </row>
    <row r="440" spans="2:8" s="34" customFormat="1" hidden="1" x14ac:dyDescent="0.2">
      <c r="B440" s="135"/>
      <c r="C440" s="244" t="s">
        <v>213</v>
      </c>
      <c r="D440" s="239" t="s">
        <v>149</v>
      </c>
      <c r="E440" s="240"/>
      <c r="F440" s="273">
        <v>0</v>
      </c>
      <c r="G440" s="274">
        <f t="shared" si="25"/>
        <v>0</v>
      </c>
      <c r="H440" s="122"/>
    </row>
    <row r="441" spans="2:8" s="34" customFormat="1" hidden="1" x14ac:dyDescent="0.2">
      <c r="B441" s="135"/>
      <c r="C441" s="244" t="s">
        <v>224</v>
      </c>
      <c r="D441" s="239" t="s">
        <v>149</v>
      </c>
      <c r="E441" s="240"/>
      <c r="F441" s="273">
        <v>0</v>
      </c>
      <c r="G441" s="274">
        <f t="shared" si="25"/>
        <v>0</v>
      </c>
      <c r="H441" s="122"/>
    </row>
    <row r="442" spans="2:8" s="34" customFormat="1" hidden="1" x14ac:dyDescent="0.2">
      <c r="B442" s="135"/>
      <c r="C442" s="244" t="s">
        <v>225</v>
      </c>
      <c r="D442" s="239" t="s">
        <v>149</v>
      </c>
      <c r="E442" s="240"/>
      <c r="F442" s="273">
        <v>0</v>
      </c>
      <c r="G442" s="274">
        <f t="shared" si="25"/>
        <v>0</v>
      </c>
      <c r="H442" s="122"/>
    </row>
    <row r="443" spans="2:8" s="34" customFormat="1" hidden="1" x14ac:dyDescent="0.2">
      <c r="B443" s="135"/>
      <c r="C443" s="245" t="s">
        <v>226</v>
      </c>
      <c r="D443" s="239" t="s">
        <v>149</v>
      </c>
      <c r="E443" s="240"/>
      <c r="F443" s="273">
        <v>0</v>
      </c>
      <c r="G443" s="274">
        <f t="shared" si="25"/>
        <v>0</v>
      </c>
      <c r="H443" s="122"/>
    </row>
    <row r="444" spans="2:8" s="34" customFormat="1" hidden="1" x14ac:dyDescent="0.2">
      <c r="B444" s="135"/>
      <c r="C444" s="245" t="s">
        <v>217</v>
      </c>
      <c r="D444" s="239" t="s">
        <v>149</v>
      </c>
      <c r="E444" s="240"/>
      <c r="F444" s="273">
        <v>0</v>
      </c>
      <c r="G444" s="274">
        <f t="shared" si="25"/>
        <v>0</v>
      </c>
      <c r="H444" s="122"/>
    </row>
    <row r="445" spans="2:8" s="34" customFormat="1" hidden="1" x14ac:dyDescent="0.2">
      <c r="B445" s="135"/>
      <c r="C445" s="245" t="s">
        <v>235</v>
      </c>
      <c r="D445" s="239" t="s">
        <v>149</v>
      </c>
      <c r="E445" s="240"/>
      <c r="F445" s="273">
        <v>0</v>
      </c>
      <c r="G445" s="274">
        <f t="shared" si="25"/>
        <v>0</v>
      </c>
      <c r="H445" s="122"/>
    </row>
    <row r="446" spans="2:8" s="34" customFormat="1" hidden="1" x14ac:dyDescent="0.2">
      <c r="B446" s="135"/>
      <c r="C446" s="245" t="s">
        <v>236</v>
      </c>
      <c r="D446" s="239" t="s">
        <v>149</v>
      </c>
      <c r="E446" s="240"/>
      <c r="F446" s="273">
        <v>0</v>
      </c>
      <c r="G446" s="274">
        <f t="shared" si="25"/>
        <v>0</v>
      </c>
      <c r="H446" s="122"/>
    </row>
    <row r="447" spans="2:8" s="34" customFormat="1" hidden="1" x14ac:dyDescent="0.2">
      <c r="B447" s="135"/>
      <c r="C447" s="245" t="s">
        <v>227</v>
      </c>
      <c r="D447" s="239" t="s">
        <v>149</v>
      </c>
      <c r="E447" s="240"/>
      <c r="F447" s="273">
        <v>0</v>
      </c>
      <c r="G447" s="274">
        <f t="shared" si="25"/>
        <v>0</v>
      </c>
      <c r="H447" s="122"/>
    </row>
    <row r="448" spans="2:8" s="34" customFormat="1" hidden="1" x14ac:dyDescent="0.2">
      <c r="B448" s="135"/>
      <c r="C448" s="246" t="s">
        <v>198</v>
      </c>
      <c r="D448" s="239" t="s">
        <v>149</v>
      </c>
      <c r="E448" s="240"/>
      <c r="F448" s="273">
        <v>0</v>
      </c>
      <c r="G448" s="274">
        <f t="shared" si="25"/>
        <v>0</v>
      </c>
      <c r="H448" s="122"/>
    </row>
    <row r="449" spans="2:8" ht="30" hidden="1" customHeight="1" x14ac:dyDescent="0.2">
      <c r="B449" s="309" t="s">
        <v>228</v>
      </c>
      <c r="C449" s="238" t="s">
        <v>229</v>
      </c>
      <c r="D449" s="239" t="s">
        <v>149</v>
      </c>
      <c r="E449" s="240"/>
      <c r="F449" s="273">
        <v>0</v>
      </c>
      <c r="G449" s="274">
        <f t="shared" si="25"/>
        <v>0</v>
      </c>
      <c r="H449" s="122"/>
    </row>
    <row r="450" spans="2:8" s="34" customFormat="1" hidden="1" x14ac:dyDescent="0.2">
      <c r="B450" s="292" t="s">
        <v>330</v>
      </c>
      <c r="C450" s="247" t="s">
        <v>331</v>
      </c>
      <c r="D450" s="247"/>
      <c r="E450" s="247"/>
      <c r="F450" s="247"/>
      <c r="G450" s="247"/>
      <c r="H450" s="122"/>
    </row>
    <row r="451" spans="2:8" s="34" customFormat="1" hidden="1" x14ac:dyDescent="0.2">
      <c r="B451" s="135"/>
      <c r="C451" s="247" t="s">
        <v>2352</v>
      </c>
      <c r="D451" s="202"/>
      <c r="E451" s="248"/>
      <c r="F451" s="249">
        <v>0</v>
      </c>
      <c r="G451" s="205"/>
      <c r="H451" s="122"/>
    </row>
    <row r="452" spans="2:8" s="34" customFormat="1" hidden="1" x14ac:dyDescent="0.2">
      <c r="B452" s="135"/>
      <c r="C452" s="262" t="s">
        <v>2309</v>
      </c>
      <c r="D452" s="202" t="s">
        <v>149</v>
      </c>
      <c r="E452" s="248"/>
      <c r="F452" s="275">
        <v>0</v>
      </c>
      <c r="G452" s="276">
        <f t="shared" ref="G452:G457" si="26">E452*F452</f>
        <v>0</v>
      </c>
      <c r="H452" s="122"/>
    </row>
    <row r="453" spans="2:8" s="34" customFormat="1" ht="12.75" hidden="1" customHeight="1" x14ac:dyDescent="0.2">
      <c r="B453" s="135"/>
      <c r="C453" s="262" t="s">
        <v>2310</v>
      </c>
      <c r="D453" s="202" t="s">
        <v>149</v>
      </c>
      <c r="E453" s="248"/>
      <c r="F453" s="275">
        <v>0</v>
      </c>
      <c r="G453" s="276">
        <f t="shared" si="26"/>
        <v>0</v>
      </c>
      <c r="H453" s="122"/>
    </row>
    <row r="454" spans="2:8" s="34" customFormat="1" hidden="1" x14ac:dyDescent="0.2">
      <c r="B454" s="135"/>
      <c r="C454" s="250" t="s">
        <v>2334</v>
      </c>
      <c r="D454" s="202" t="s">
        <v>149</v>
      </c>
      <c r="E454" s="248"/>
      <c r="F454" s="275">
        <v>0</v>
      </c>
      <c r="G454" s="276">
        <f t="shared" si="26"/>
        <v>0</v>
      </c>
      <c r="H454" s="122"/>
    </row>
    <row r="455" spans="2:8" s="34" customFormat="1" hidden="1" x14ac:dyDescent="0.2">
      <c r="B455" s="135"/>
      <c r="C455" s="251" t="s">
        <v>2297</v>
      </c>
      <c r="D455" s="202" t="s">
        <v>149</v>
      </c>
      <c r="E455" s="248"/>
      <c r="F455" s="275">
        <v>0</v>
      </c>
      <c r="G455" s="276">
        <f t="shared" si="26"/>
        <v>0</v>
      </c>
      <c r="H455" s="122"/>
    </row>
    <row r="456" spans="2:8" s="34" customFormat="1" hidden="1" x14ac:dyDescent="0.2">
      <c r="B456" s="135"/>
      <c r="C456" s="251" t="s">
        <v>227</v>
      </c>
      <c r="D456" s="202" t="s">
        <v>149</v>
      </c>
      <c r="E456" s="248"/>
      <c r="F456" s="275">
        <v>0</v>
      </c>
      <c r="G456" s="276">
        <f t="shared" si="26"/>
        <v>0</v>
      </c>
      <c r="H456" s="122"/>
    </row>
    <row r="457" spans="2:8" s="34" customFormat="1" hidden="1" x14ac:dyDescent="0.2">
      <c r="B457" s="135"/>
      <c r="C457" s="252" t="s">
        <v>198</v>
      </c>
      <c r="D457" s="202" t="s">
        <v>149</v>
      </c>
      <c r="E457" s="248"/>
      <c r="F457" s="275">
        <v>0</v>
      </c>
      <c r="G457" s="276">
        <f t="shared" si="26"/>
        <v>0</v>
      </c>
      <c r="H457" s="122"/>
    </row>
    <row r="458" spans="2:8" s="34" customFormat="1" hidden="1" x14ac:dyDescent="0.2">
      <c r="B458" s="135"/>
      <c r="C458" s="247" t="s">
        <v>2353</v>
      </c>
      <c r="D458" s="202"/>
      <c r="E458" s="248"/>
      <c r="F458" s="249">
        <v>0</v>
      </c>
      <c r="G458" s="205"/>
      <c r="H458" s="122"/>
    </row>
    <row r="459" spans="2:8" s="34" customFormat="1" hidden="1" x14ac:dyDescent="0.2">
      <c r="B459" s="135"/>
      <c r="C459" s="262" t="s">
        <v>2354</v>
      </c>
      <c r="D459" s="202" t="s">
        <v>149</v>
      </c>
      <c r="E459" s="248"/>
      <c r="F459" s="275">
        <v>0</v>
      </c>
      <c r="G459" s="276">
        <f>E459*F459</f>
        <v>0</v>
      </c>
      <c r="H459" s="122"/>
    </row>
    <row r="460" spans="2:8" s="34" customFormat="1" hidden="1" x14ac:dyDescent="0.2">
      <c r="B460" s="135"/>
      <c r="C460" s="251" t="s">
        <v>2341</v>
      </c>
      <c r="D460" s="202" t="s">
        <v>149</v>
      </c>
      <c r="E460" s="248"/>
      <c r="F460" s="275">
        <v>0</v>
      </c>
      <c r="G460" s="276">
        <f>E460*F460</f>
        <v>0</v>
      </c>
      <c r="H460" s="122"/>
    </row>
    <row r="461" spans="2:8" s="34" customFormat="1" hidden="1" x14ac:dyDescent="0.2">
      <c r="B461" s="135"/>
      <c r="C461" s="251" t="s">
        <v>227</v>
      </c>
      <c r="D461" s="202" t="s">
        <v>149</v>
      </c>
      <c r="E461" s="248"/>
      <c r="F461" s="275">
        <v>0</v>
      </c>
      <c r="G461" s="276">
        <f>E461*F461</f>
        <v>0</v>
      </c>
      <c r="H461" s="122"/>
    </row>
    <row r="462" spans="2:8" s="34" customFormat="1" hidden="1" x14ac:dyDescent="0.2">
      <c r="B462" s="135"/>
      <c r="C462" s="252" t="s">
        <v>198</v>
      </c>
      <c r="D462" s="202" t="s">
        <v>149</v>
      </c>
      <c r="E462" s="248"/>
      <c r="F462" s="275">
        <v>0</v>
      </c>
      <c r="G462" s="276">
        <f>E462*F462</f>
        <v>0</v>
      </c>
      <c r="H462" s="122"/>
    </row>
    <row r="463" spans="2:8" s="34" customFormat="1" hidden="1" x14ac:dyDescent="0.2">
      <c r="B463" s="135"/>
      <c r="C463" s="247" t="s">
        <v>2355</v>
      </c>
      <c r="D463" s="202"/>
      <c r="E463" s="248"/>
      <c r="F463" s="249">
        <v>0</v>
      </c>
      <c r="G463" s="205"/>
      <c r="H463" s="122"/>
    </row>
    <row r="464" spans="2:8" s="34" customFormat="1" hidden="1" x14ac:dyDescent="0.2">
      <c r="B464" s="135"/>
      <c r="C464" s="262" t="s">
        <v>2356</v>
      </c>
      <c r="D464" s="202" t="s">
        <v>149</v>
      </c>
      <c r="E464" s="248"/>
      <c r="F464" s="275">
        <v>0</v>
      </c>
      <c r="G464" s="276">
        <f>E464*F464</f>
        <v>0</v>
      </c>
      <c r="H464" s="122"/>
    </row>
    <row r="465" spans="2:8" s="34" customFormat="1" hidden="1" x14ac:dyDescent="0.2">
      <c r="B465" s="135"/>
      <c r="C465" s="251" t="s">
        <v>353</v>
      </c>
      <c r="D465" s="202" t="s">
        <v>149</v>
      </c>
      <c r="E465" s="248"/>
      <c r="F465" s="275">
        <v>0</v>
      </c>
      <c r="G465" s="276">
        <f>E465*F465</f>
        <v>0</v>
      </c>
      <c r="H465" s="122"/>
    </row>
    <row r="466" spans="2:8" s="34" customFormat="1" hidden="1" x14ac:dyDescent="0.2">
      <c r="B466" s="135"/>
      <c r="C466" s="251" t="s">
        <v>227</v>
      </c>
      <c r="D466" s="202" t="s">
        <v>149</v>
      </c>
      <c r="E466" s="248"/>
      <c r="F466" s="275">
        <v>0</v>
      </c>
      <c r="G466" s="276">
        <f>E466*F466</f>
        <v>0</v>
      </c>
      <c r="H466" s="122"/>
    </row>
    <row r="467" spans="2:8" s="34" customFormat="1" hidden="1" x14ac:dyDescent="0.2">
      <c r="B467" s="135"/>
      <c r="C467" s="252" t="s">
        <v>198</v>
      </c>
      <c r="D467" s="202" t="s">
        <v>149</v>
      </c>
      <c r="E467" s="248"/>
      <c r="F467" s="275">
        <v>0</v>
      </c>
      <c r="G467" s="276">
        <f>E467*F467</f>
        <v>0</v>
      </c>
      <c r="H467" s="122"/>
    </row>
    <row r="468" spans="2:8" s="34" customFormat="1" hidden="1" x14ac:dyDescent="0.2">
      <c r="B468" s="135"/>
      <c r="C468" s="247" t="s">
        <v>332</v>
      </c>
      <c r="D468" s="202"/>
      <c r="E468" s="248"/>
      <c r="F468" s="249">
        <v>0</v>
      </c>
      <c r="G468" s="205"/>
      <c r="H468" s="122"/>
    </row>
    <row r="469" spans="2:8" s="34" customFormat="1" hidden="1" x14ac:dyDescent="0.2">
      <c r="B469" s="135"/>
      <c r="C469" s="262" t="s">
        <v>2357</v>
      </c>
      <c r="D469" s="202" t="s">
        <v>149</v>
      </c>
      <c r="E469" s="248"/>
      <c r="F469" s="275">
        <v>0</v>
      </c>
      <c r="G469" s="276">
        <f>E469*F469</f>
        <v>0</v>
      </c>
      <c r="H469" s="122"/>
    </row>
    <row r="470" spans="2:8" s="34" customFormat="1" hidden="1" x14ac:dyDescent="0.2">
      <c r="B470" s="135"/>
      <c r="C470" s="251" t="s">
        <v>323</v>
      </c>
      <c r="D470" s="202" t="s">
        <v>149</v>
      </c>
      <c r="E470" s="248"/>
      <c r="F470" s="275">
        <v>0</v>
      </c>
      <c r="G470" s="276">
        <f>E470*F470</f>
        <v>0</v>
      </c>
      <c r="H470" s="122"/>
    </row>
    <row r="471" spans="2:8" s="34" customFormat="1" hidden="1" x14ac:dyDescent="0.2">
      <c r="B471" s="135"/>
      <c r="C471" s="251" t="s">
        <v>227</v>
      </c>
      <c r="D471" s="202" t="s">
        <v>149</v>
      </c>
      <c r="E471" s="248"/>
      <c r="F471" s="275">
        <v>0</v>
      </c>
      <c r="G471" s="276">
        <f>E471*F471</f>
        <v>0</v>
      </c>
      <c r="H471" s="122"/>
    </row>
    <row r="472" spans="2:8" s="34" customFormat="1" hidden="1" x14ac:dyDescent="0.2">
      <c r="B472" s="135"/>
      <c r="C472" s="252" t="s">
        <v>198</v>
      </c>
      <c r="D472" s="202" t="s">
        <v>149</v>
      </c>
      <c r="E472" s="248"/>
      <c r="F472" s="275">
        <v>0</v>
      </c>
      <c r="G472" s="276">
        <f>E472*F472</f>
        <v>0</v>
      </c>
      <c r="H472" s="122"/>
    </row>
    <row r="473" spans="2:8" s="34" customFormat="1" hidden="1" x14ac:dyDescent="0.2">
      <c r="B473" s="135"/>
      <c r="C473" s="247" t="s">
        <v>1742</v>
      </c>
      <c r="D473" s="202"/>
      <c r="E473" s="248"/>
      <c r="F473" s="249">
        <v>0</v>
      </c>
      <c r="G473" s="205"/>
      <c r="H473" s="122"/>
    </row>
    <row r="474" spans="2:8" s="34" customFormat="1" hidden="1" x14ac:dyDescent="0.2">
      <c r="B474" s="135"/>
      <c r="C474" s="262" t="s">
        <v>2358</v>
      </c>
      <c r="D474" s="202" t="s">
        <v>149</v>
      </c>
      <c r="E474" s="248"/>
      <c r="F474" s="275">
        <v>0</v>
      </c>
      <c r="G474" s="276">
        <f>E474*F474</f>
        <v>0</v>
      </c>
      <c r="H474" s="122"/>
    </row>
    <row r="475" spans="2:8" s="34" customFormat="1" hidden="1" x14ac:dyDescent="0.2">
      <c r="B475" s="135"/>
      <c r="C475" s="251" t="s">
        <v>354</v>
      </c>
      <c r="D475" s="202" t="s">
        <v>149</v>
      </c>
      <c r="E475" s="248"/>
      <c r="F475" s="275">
        <v>0</v>
      </c>
      <c r="G475" s="276">
        <f>E475*F475</f>
        <v>0</v>
      </c>
      <c r="H475" s="122"/>
    </row>
    <row r="476" spans="2:8" s="34" customFormat="1" hidden="1" x14ac:dyDescent="0.2">
      <c r="B476" s="135"/>
      <c r="C476" s="251" t="s">
        <v>227</v>
      </c>
      <c r="D476" s="202" t="s">
        <v>149</v>
      </c>
      <c r="E476" s="248"/>
      <c r="F476" s="275">
        <v>0</v>
      </c>
      <c r="G476" s="276">
        <f>E476*F476</f>
        <v>0</v>
      </c>
      <c r="H476" s="122"/>
    </row>
    <row r="477" spans="2:8" s="34" customFormat="1" hidden="1" x14ac:dyDescent="0.2">
      <c r="B477" s="135"/>
      <c r="C477" s="252" t="s">
        <v>198</v>
      </c>
      <c r="D477" s="202" t="s">
        <v>149</v>
      </c>
      <c r="E477" s="248"/>
      <c r="F477" s="275">
        <v>0</v>
      </c>
      <c r="G477" s="276">
        <f>E477*F477</f>
        <v>0</v>
      </c>
      <c r="H477" s="122"/>
    </row>
    <row r="478" spans="2:8" s="34" customFormat="1" hidden="1" x14ac:dyDescent="0.2">
      <c r="B478" s="135"/>
      <c r="C478" s="247" t="s">
        <v>1772</v>
      </c>
      <c r="D478" s="202"/>
      <c r="E478" s="248"/>
      <c r="F478" s="249">
        <v>0</v>
      </c>
      <c r="G478" s="205"/>
      <c r="H478" s="122"/>
    </row>
    <row r="479" spans="2:8" s="34" customFormat="1" hidden="1" x14ac:dyDescent="0.2">
      <c r="B479" s="135"/>
      <c r="C479" s="262" t="s">
        <v>2359</v>
      </c>
      <c r="D479" s="202" t="s">
        <v>149</v>
      </c>
      <c r="E479" s="248"/>
      <c r="F479" s="275">
        <v>0</v>
      </c>
      <c r="G479" s="276">
        <f>E479*F479</f>
        <v>0</v>
      </c>
      <c r="H479" s="122"/>
    </row>
    <row r="480" spans="2:8" s="34" customFormat="1" hidden="1" x14ac:dyDescent="0.2">
      <c r="B480" s="135"/>
      <c r="C480" s="251" t="s">
        <v>195</v>
      </c>
      <c r="D480" s="202" t="s">
        <v>149</v>
      </c>
      <c r="E480" s="248"/>
      <c r="F480" s="275">
        <v>0</v>
      </c>
      <c r="G480" s="276">
        <f>E480*F480</f>
        <v>0</v>
      </c>
      <c r="H480" s="122"/>
    </row>
    <row r="481" spans="2:8" s="34" customFormat="1" hidden="1" x14ac:dyDescent="0.2">
      <c r="B481" s="135"/>
      <c r="C481" s="251" t="s">
        <v>218</v>
      </c>
      <c r="D481" s="202" t="s">
        <v>149</v>
      </c>
      <c r="E481" s="248"/>
      <c r="F481" s="275">
        <v>0</v>
      </c>
      <c r="G481" s="276">
        <f>E481*F481</f>
        <v>0</v>
      </c>
      <c r="H481" s="122"/>
    </row>
    <row r="482" spans="2:8" s="34" customFormat="1" hidden="1" x14ac:dyDescent="0.2">
      <c r="B482" s="135"/>
      <c r="C482" s="251" t="s">
        <v>227</v>
      </c>
      <c r="D482" s="202" t="s">
        <v>149</v>
      </c>
      <c r="E482" s="248"/>
      <c r="F482" s="275">
        <v>0</v>
      </c>
      <c r="G482" s="276">
        <f>E482*F482</f>
        <v>0</v>
      </c>
      <c r="H482" s="122"/>
    </row>
    <row r="483" spans="2:8" s="34" customFormat="1" hidden="1" x14ac:dyDescent="0.2">
      <c r="B483" s="135"/>
      <c r="C483" s="252" t="s">
        <v>198</v>
      </c>
      <c r="D483" s="202" t="s">
        <v>149</v>
      </c>
      <c r="E483" s="248"/>
      <c r="F483" s="275">
        <v>0</v>
      </c>
      <c r="G483" s="276">
        <f>E483*F483</f>
        <v>0</v>
      </c>
      <c r="H483" s="122"/>
    </row>
    <row r="484" spans="2:8" s="34" customFormat="1" hidden="1" x14ac:dyDescent="0.2">
      <c r="B484" s="135"/>
      <c r="C484" s="247" t="s">
        <v>1752</v>
      </c>
      <c r="D484" s="202"/>
      <c r="E484" s="248"/>
      <c r="F484" s="249">
        <v>0</v>
      </c>
      <c r="G484" s="205"/>
      <c r="H484" s="122"/>
    </row>
    <row r="485" spans="2:8" s="34" customFormat="1" hidden="1" x14ac:dyDescent="0.2">
      <c r="B485" s="135"/>
      <c r="C485" s="262" t="s">
        <v>2359</v>
      </c>
      <c r="D485" s="202" t="s">
        <v>149</v>
      </c>
      <c r="E485" s="248"/>
      <c r="F485" s="275">
        <v>0</v>
      </c>
      <c r="G485" s="276">
        <f>E485*F485</f>
        <v>0</v>
      </c>
      <c r="H485" s="122"/>
    </row>
    <row r="486" spans="2:8" s="34" customFormat="1" hidden="1" x14ac:dyDescent="0.2">
      <c r="B486" s="135"/>
      <c r="C486" s="251" t="s">
        <v>235</v>
      </c>
      <c r="D486" s="202" t="s">
        <v>149</v>
      </c>
      <c r="E486" s="248"/>
      <c r="F486" s="275">
        <v>0</v>
      </c>
      <c r="G486" s="276">
        <f>E486*F486</f>
        <v>0</v>
      </c>
      <c r="H486" s="122"/>
    </row>
    <row r="487" spans="2:8" s="34" customFormat="1" hidden="1" x14ac:dyDescent="0.2">
      <c r="B487" s="135"/>
      <c r="C487" s="251" t="s">
        <v>236</v>
      </c>
      <c r="D487" s="202" t="s">
        <v>149</v>
      </c>
      <c r="E487" s="248"/>
      <c r="F487" s="275">
        <v>0</v>
      </c>
      <c r="G487" s="276">
        <f>E487*F487</f>
        <v>0</v>
      </c>
      <c r="H487" s="122"/>
    </row>
    <row r="488" spans="2:8" s="34" customFormat="1" hidden="1" x14ac:dyDescent="0.2">
      <c r="B488" s="135"/>
      <c r="C488" s="251" t="s">
        <v>227</v>
      </c>
      <c r="D488" s="202" t="s">
        <v>149</v>
      </c>
      <c r="E488" s="248"/>
      <c r="F488" s="275">
        <v>0</v>
      </c>
      <c r="G488" s="276">
        <f>E488*F488</f>
        <v>0</v>
      </c>
      <c r="H488" s="122"/>
    </row>
    <row r="489" spans="2:8" s="34" customFormat="1" hidden="1" x14ac:dyDescent="0.2">
      <c r="B489" s="135"/>
      <c r="C489" s="252" t="s">
        <v>198</v>
      </c>
      <c r="D489" s="202" t="s">
        <v>149</v>
      </c>
      <c r="E489" s="248"/>
      <c r="F489" s="275">
        <v>0</v>
      </c>
      <c r="G489" s="276">
        <f>E489*F489</f>
        <v>0</v>
      </c>
      <c r="H489" s="122"/>
    </row>
    <row r="490" spans="2:8" s="34" customFormat="1" hidden="1" x14ac:dyDescent="0.2">
      <c r="B490" s="135"/>
      <c r="C490" s="247" t="s">
        <v>2360</v>
      </c>
      <c r="D490" s="202"/>
      <c r="E490" s="248"/>
      <c r="F490" s="249">
        <v>0</v>
      </c>
      <c r="G490" s="205"/>
      <c r="H490" s="122"/>
    </row>
    <row r="491" spans="2:8" s="34" customFormat="1" hidden="1" x14ac:dyDescent="0.2">
      <c r="B491" s="135"/>
      <c r="C491" s="262" t="s">
        <v>2361</v>
      </c>
      <c r="D491" s="202" t="s">
        <v>149</v>
      </c>
      <c r="E491" s="248"/>
      <c r="F491" s="275">
        <v>0</v>
      </c>
      <c r="G491" s="276">
        <f>E491*F491</f>
        <v>0</v>
      </c>
      <c r="H491" s="122"/>
    </row>
    <row r="492" spans="2:8" s="34" customFormat="1" hidden="1" x14ac:dyDescent="0.2">
      <c r="B492" s="135"/>
      <c r="C492" s="251" t="s">
        <v>239</v>
      </c>
      <c r="D492" s="202" t="s">
        <v>149</v>
      </c>
      <c r="E492" s="248"/>
      <c r="F492" s="275">
        <v>0</v>
      </c>
      <c r="G492" s="276">
        <f>E492*F492</f>
        <v>0</v>
      </c>
      <c r="H492" s="122"/>
    </row>
    <row r="493" spans="2:8" s="34" customFormat="1" hidden="1" x14ac:dyDescent="0.2">
      <c r="B493" s="135"/>
      <c r="C493" s="251" t="s">
        <v>240</v>
      </c>
      <c r="D493" s="202" t="s">
        <v>149</v>
      </c>
      <c r="E493" s="248"/>
      <c r="F493" s="275">
        <v>0</v>
      </c>
      <c r="G493" s="276">
        <f>E493*F493</f>
        <v>0</v>
      </c>
      <c r="H493" s="122"/>
    </row>
    <row r="494" spans="2:8" s="34" customFormat="1" hidden="1" x14ac:dyDescent="0.2">
      <c r="B494" s="135"/>
      <c r="C494" s="251" t="s">
        <v>227</v>
      </c>
      <c r="D494" s="202" t="s">
        <v>149</v>
      </c>
      <c r="E494" s="248"/>
      <c r="F494" s="275">
        <v>0</v>
      </c>
      <c r="G494" s="276">
        <f>E494*F494</f>
        <v>0</v>
      </c>
      <c r="H494" s="122"/>
    </row>
    <row r="495" spans="2:8" s="34" customFormat="1" hidden="1" x14ac:dyDescent="0.2">
      <c r="B495" s="135"/>
      <c r="C495" s="252" t="s">
        <v>198</v>
      </c>
      <c r="D495" s="202" t="s">
        <v>149</v>
      </c>
      <c r="E495" s="248"/>
      <c r="F495" s="275">
        <v>0</v>
      </c>
      <c r="G495" s="276">
        <f>E495*F495</f>
        <v>0</v>
      </c>
      <c r="H495" s="122"/>
    </row>
    <row r="496" spans="2:8" s="34" customFormat="1" hidden="1" x14ac:dyDescent="0.2">
      <c r="B496" s="292" t="s">
        <v>230</v>
      </c>
      <c r="C496" s="253" t="s">
        <v>231</v>
      </c>
      <c r="D496" s="254"/>
      <c r="E496" s="255"/>
      <c r="F496" s="256"/>
      <c r="G496" s="257"/>
      <c r="H496" s="122"/>
    </row>
    <row r="497" spans="2:8" s="34" customFormat="1" hidden="1" x14ac:dyDescent="0.2">
      <c r="B497" s="135"/>
      <c r="C497" s="253" t="s">
        <v>2362</v>
      </c>
      <c r="D497" s="254"/>
      <c r="E497" s="255"/>
      <c r="F497" s="256">
        <v>0</v>
      </c>
      <c r="G497" s="257"/>
      <c r="H497" s="122"/>
    </row>
    <row r="498" spans="2:8" s="34" customFormat="1" hidden="1" x14ac:dyDescent="0.2">
      <c r="B498" s="135"/>
      <c r="C498" s="258" t="s">
        <v>2363</v>
      </c>
      <c r="D498" s="254" t="s">
        <v>149</v>
      </c>
      <c r="E498" s="255"/>
      <c r="F498" s="277">
        <v>0</v>
      </c>
      <c r="G498" s="278">
        <f t="shared" ref="G498:G504" si="27">E498*F498</f>
        <v>0</v>
      </c>
      <c r="H498" s="122"/>
    </row>
    <row r="499" spans="2:8" s="34" customFormat="1" hidden="1" x14ac:dyDescent="0.2">
      <c r="B499" s="135"/>
      <c r="C499" s="259" t="s">
        <v>2364</v>
      </c>
      <c r="D499" s="254" t="s">
        <v>149</v>
      </c>
      <c r="E499" s="255"/>
      <c r="F499" s="277">
        <v>0</v>
      </c>
      <c r="G499" s="278">
        <f t="shared" si="27"/>
        <v>0</v>
      </c>
      <c r="H499" s="122"/>
    </row>
    <row r="500" spans="2:8" s="34" customFormat="1" hidden="1" x14ac:dyDescent="0.2">
      <c r="B500" s="135"/>
      <c r="C500" s="259" t="s">
        <v>2318</v>
      </c>
      <c r="D500" s="254" t="s">
        <v>149</v>
      </c>
      <c r="E500" s="255"/>
      <c r="F500" s="277">
        <v>0</v>
      </c>
      <c r="G500" s="278">
        <f t="shared" si="27"/>
        <v>0</v>
      </c>
      <c r="H500" s="122"/>
    </row>
    <row r="501" spans="2:8" s="34" customFormat="1" hidden="1" x14ac:dyDescent="0.2">
      <c r="B501" s="135"/>
      <c r="C501" s="260" t="s">
        <v>2297</v>
      </c>
      <c r="D501" s="254" t="s">
        <v>149</v>
      </c>
      <c r="E501" s="255"/>
      <c r="F501" s="277">
        <v>0</v>
      </c>
      <c r="G501" s="278">
        <f t="shared" si="27"/>
        <v>0</v>
      </c>
      <c r="H501" s="122"/>
    </row>
    <row r="502" spans="2:8" s="34" customFormat="1" hidden="1" x14ac:dyDescent="0.2">
      <c r="B502" s="135"/>
      <c r="C502" s="260" t="s">
        <v>2321</v>
      </c>
      <c r="D502" s="254" t="s">
        <v>149</v>
      </c>
      <c r="E502" s="255"/>
      <c r="F502" s="277">
        <v>0</v>
      </c>
      <c r="G502" s="278">
        <f t="shared" si="27"/>
        <v>0</v>
      </c>
      <c r="H502" s="122"/>
    </row>
    <row r="503" spans="2:8" s="34" customFormat="1" hidden="1" x14ac:dyDescent="0.2">
      <c r="B503" s="135"/>
      <c r="C503" s="260" t="s">
        <v>227</v>
      </c>
      <c r="D503" s="254" t="s">
        <v>149</v>
      </c>
      <c r="E503" s="255"/>
      <c r="F503" s="277">
        <v>0</v>
      </c>
      <c r="G503" s="278">
        <f t="shared" si="27"/>
        <v>0</v>
      </c>
      <c r="H503" s="122"/>
    </row>
    <row r="504" spans="2:8" s="34" customFormat="1" hidden="1" x14ac:dyDescent="0.2">
      <c r="B504" s="135"/>
      <c r="C504" s="261" t="s">
        <v>198</v>
      </c>
      <c r="D504" s="254" t="s">
        <v>149</v>
      </c>
      <c r="E504" s="255"/>
      <c r="F504" s="277">
        <v>0</v>
      </c>
      <c r="G504" s="278">
        <f t="shared" si="27"/>
        <v>0</v>
      </c>
      <c r="H504" s="122"/>
    </row>
    <row r="505" spans="2:8" s="34" customFormat="1" hidden="1" x14ac:dyDescent="0.2">
      <c r="B505" s="135"/>
      <c r="C505" s="253" t="s">
        <v>2365</v>
      </c>
      <c r="D505" s="254"/>
      <c r="E505" s="255"/>
      <c r="F505" s="256">
        <v>0</v>
      </c>
      <c r="G505" s="257"/>
      <c r="H505" s="122"/>
    </row>
    <row r="506" spans="2:8" s="34" customFormat="1" hidden="1" x14ac:dyDescent="0.2">
      <c r="B506" s="135"/>
      <c r="C506" s="258" t="s">
        <v>2366</v>
      </c>
      <c r="D506" s="254" t="s">
        <v>149</v>
      </c>
      <c r="E506" s="255"/>
      <c r="F506" s="277">
        <v>0</v>
      </c>
      <c r="G506" s="278">
        <f t="shared" ref="G506:G512" si="28">E506*F506</f>
        <v>0</v>
      </c>
      <c r="H506" s="122"/>
    </row>
    <row r="507" spans="2:8" s="34" customFormat="1" hidden="1" x14ac:dyDescent="0.2">
      <c r="B507" s="135"/>
      <c r="C507" s="259" t="s">
        <v>2367</v>
      </c>
      <c r="D507" s="254" t="s">
        <v>149</v>
      </c>
      <c r="E507" s="255"/>
      <c r="F507" s="277">
        <v>0</v>
      </c>
      <c r="G507" s="278">
        <f t="shared" si="28"/>
        <v>0</v>
      </c>
      <c r="H507" s="122"/>
    </row>
    <row r="508" spans="2:8" s="34" customFormat="1" hidden="1" x14ac:dyDescent="0.2">
      <c r="B508" s="135"/>
      <c r="C508" s="259" t="s">
        <v>2323</v>
      </c>
      <c r="D508" s="254" t="s">
        <v>149</v>
      </c>
      <c r="E508" s="255"/>
      <c r="F508" s="277">
        <v>0</v>
      </c>
      <c r="G508" s="278">
        <f t="shared" si="28"/>
        <v>0</v>
      </c>
      <c r="H508" s="122"/>
    </row>
    <row r="509" spans="2:8" s="34" customFormat="1" hidden="1" x14ac:dyDescent="0.2">
      <c r="B509" s="135"/>
      <c r="C509" s="260" t="s">
        <v>2297</v>
      </c>
      <c r="D509" s="254" t="s">
        <v>149</v>
      </c>
      <c r="E509" s="255"/>
      <c r="F509" s="277">
        <v>0</v>
      </c>
      <c r="G509" s="278">
        <f t="shared" si="28"/>
        <v>0</v>
      </c>
      <c r="H509" s="122"/>
    </row>
    <row r="510" spans="2:8" s="34" customFormat="1" hidden="1" x14ac:dyDescent="0.2">
      <c r="B510" s="135"/>
      <c r="C510" s="260" t="s">
        <v>2329</v>
      </c>
      <c r="D510" s="254" t="s">
        <v>149</v>
      </c>
      <c r="E510" s="255"/>
      <c r="F510" s="277">
        <v>0</v>
      </c>
      <c r="G510" s="278">
        <f t="shared" si="28"/>
        <v>0</v>
      </c>
      <c r="H510" s="122"/>
    </row>
    <row r="511" spans="2:8" s="34" customFormat="1" hidden="1" x14ac:dyDescent="0.2">
      <c r="B511" s="135"/>
      <c r="C511" s="260" t="s">
        <v>227</v>
      </c>
      <c r="D511" s="254" t="s">
        <v>149</v>
      </c>
      <c r="E511" s="255"/>
      <c r="F511" s="277">
        <v>0</v>
      </c>
      <c r="G511" s="278">
        <f t="shared" si="28"/>
        <v>0</v>
      </c>
      <c r="H511" s="122"/>
    </row>
    <row r="512" spans="2:8" s="34" customFormat="1" hidden="1" x14ac:dyDescent="0.2">
      <c r="B512" s="135"/>
      <c r="C512" s="261" t="s">
        <v>198</v>
      </c>
      <c r="D512" s="254" t="s">
        <v>149</v>
      </c>
      <c r="E512" s="255"/>
      <c r="F512" s="277">
        <v>0</v>
      </c>
      <c r="G512" s="278">
        <f t="shared" si="28"/>
        <v>0</v>
      </c>
      <c r="H512" s="122"/>
    </row>
    <row r="513" spans="2:8" s="34" customFormat="1" hidden="1" x14ac:dyDescent="0.2">
      <c r="B513" s="135"/>
      <c r="C513" s="253" t="s">
        <v>2368</v>
      </c>
      <c r="D513" s="254"/>
      <c r="E513" s="255"/>
      <c r="F513" s="256">
        <v>0</v>
      </c>
      <c r="G513" s="257"/>
      <c r="H513" s="122"/>
    </row>
    <row r="514" spans="2:8" s="34" customFormat="1" hidden="1" x14ac:dyDescent="0.2">
      <c r="B514" s="135"/>
      <c r="C514" s="258" t="s">
        <v>2369</v>
      </c>
      <c r="D514" s="254" t="s">
        <v>149</v>
      </c>
      <c r="E514" s="255"/>
      <c r="F514" s="277">
        <v>0</v>
      </c>
      <c r="G514" s="278">
        <f t="shared" ref="G514:G520" si="29">E514*F514</f>
        <v>0</v>
      </c>
      <c r="H514" s="122"/>
    </row>
    <row r="515" spans="2:8" s="34" customFormat="1" hidden="1" x14ac:dyDescent="0.2">
      <c r="B515" s="135"/>
      <c r="C515" s="259" t="s">
        <v>2370</v>
      </c>
      <c r="D515" s="254" t="s">
        <v>149</v>
      </c>
      <c r="E515" s="255"/>
      <c r="F515" s="277">
        <v>0</v>
      </c>
      <c r="G515" s="278">
        <f t="shared" si="29"/>
        <v>0</v>
      </c>
      <c r="H515" s="122"/>
    </row>
    <row r="516" spans="2:8" s="34" customFormat="1" hidden="1" x14ac:dyDescent="0.2">
      <c r="B516" s="135"/>
      <c r="C516" s="259" t="s">
        <v>2371</v>
      </c>
      <c r="D516" s="254" t="s">
        <v>149</v>
      </c>
      <c r="E516" s="255"/>
      <c r="F516" s="277">
        <v>0</v>
      </c>
      <c r="G516" s="278">
        <f t="shared" si="29"/>
        <v>0</v>
      </c>
      <c r="H516" s="122"/>
    </row>
    <row r="517" spans="2:8" s="34" customFormat="1" hidden="1" x14ac:dyDescent="0.2">
      <c r="B517" s="135"/>
      <c r="C517" s="260" t="s">
        <v>2297</v>
      </c>
      <c r="D517" s="254" t="s">
        <v>149</v>
      </c>
      <c r="E517" s="255"/>
      <c r="F517" s="277">
        <v>0</v>
      </c>
      <c r="G517" s="278">
        <f t="shared" si="29"/>
        <v>0</v>
      </c>
      <c r="H517" s="122"/>
    </row>
    <row r="518" spans="2:8" s="34" customFormat="1" hidden="1" x14ac:dyDescent="0.2">
      <c r="B518" s="135"/>
      <c r="C518" s="260" t="s">
        <v>323</v>
      </c>
      <c r="D518" s="254" t="s">
        <v>149</v>
      </c>
      <c r="E518" s="255"/>
      <c r="F518" s="277">
        <v>0</v>
      </c>
      <c r="G518" s="278">
        <f t="shared" si="29"/>
        <v>0</v>
      </c>
      <c r="H518" s="122"/>
    </row>
    <row r="519" spans="2:8" s="34" customFormat="1" hidden="1" x14ac:dyDescent="0.2">
      <c r="B519" s="135"/>
      <c r="C519" s="260" t="s">
        <v>227</v>
      </c>
      <c r="D519" s="254" t="s">
        <v>149</v>
      </c>
      <c r="E519" s="255"/>
      <c r="F519" s="277">
        <v>0</v>
      </c>
      <c r="G519" s="278">
        <f t="shared" si="29"/>
        <v>0</v>
      </c>
      <c r="H519" s="122"/>
    </row>
    <row r="520" spans="2:8" s="34" customFormat="1" hidden="1" x14ac:dyDescent="0.2">
      <c r="B520" s="135"/>
      <c r="C520" s="261" t="s">
        <v>198</v>
      </c>
      <c r="D520" s="254" t="s">
        <v>149</v>
      </c>
      <c r="E520" s="255"/>
      <c r="F520" s="277">
        <v>0</v>
      </c>
      <c r="G520" s="278">
        <f t="shared" si="29"/>
        <v>0</v>
      </c>
      <c r="H520" s="122"/>
    </row>
    <row r="521" spans="2:8" s="34" customFormat="1" hidden="1" x14ac:dyDescent="0.2">
      <c r="B521" s="135"/>
      <c r="C521" s="253" t="s">
        <v>2372</v>
      </c>
      <c r="D521" s="254"/>
      <c r="E521" s="255"/>
      <c r="F521" s="256">
        <v>0</v>
      </c>
      <c r="G521" s="257"/>
      <c r="H521" s="122"/>
    </row>
    <row r="522" spans="2:8" s="34" customFormat="1" hidden="1" x14ac:dyDescent="0.2">
      <c r="B522" s="135"/>
      <c r="C522" s="258" t="s">
        <v>2373</v>
      </c>
      <c r="D522" s="254" t="s">
        <v>149</v>
      </c>
      <c r="E522" s="255"/>
      <c r="F522" s="277">
        <v>0</v>
      </c>
      <c r="G522" s="278">
        <f t="shared" ref="G522:G528" si="30">E522*F522</f>
        <v>0</v>
      </c>
      <c r="H522" s="122"/>
    </row>
    <row r="523" spans="2:8" s="34" customFormat="1" hidden="1" x14ac:dyDescent="0.2">
      <c r="B523" s="135"/>
      <c r="C523" s="259" t="s">
        <v>2374</v>
      </c>
      <c r="D523" s="254" t="s">
        <v>149</v>
      </c>
      <c r="E523" s="255"/>
      <c r="F523" s="277">
        <v>0</v>
      </c>
      <c r="G523" s="278">
        <f t="shared" si="30"/>
        <v>0</v>
      </c>
      <c r="H523" s="122"/>
    </row>
    <row r="524" spans="2:8" s="34" customFormat="1" hidden="1" x14ac:dyDescent="0.2">
      <c r="B524" s="135"/>
      <c r="C524" s="259" t="s">
        <v>2375</v>
      </c>
      <c r="D524" s="254" t="s">
        <v>149</v>
      </c>
      <c r="E524" s="255"/>
      <c r="F524" s="277">
        <v>0</v>
      </c>
      <c r="G524" s="278">
        <f t="shared" si="30"/>
        <v>0</v>
      </c>
      <c r="H524" s="122"/>
    </row>
    <row r="525" spans="2:8" s="34" customFormat="1" hidden="1" x14ac:dyDescent="0.2">
      <c r="B525" s="135"/>
      <c r="C525" s="260" t="s">
        <v>2297</v>
      </c>
      <c r="D525" s="254" t="s">
        <v>149</v>
      </c>
      <c r="E525" s="255"/>
      <c r="F525" s="277">
        <v>0</v>
      </c>
      <c r="G525" s="278">
        <f t="shared" si="30"/>
        <v>0</v>
      </c>
      <c r="H525" s="122"/>
    </row>
    <row r="526" spans="2:8" s="34" customFormat="1" hidden="1" x14ac:dyDescent="0.2">
      <c r="B526" s="135"/>
      <c r="C526" s="260" t="s">
        <v>354</v>
      </c>
      <c r="D526" s="254" t="s">
        <v>149</v>
      </c>
      <c r="E526" s="255"/>
      <c r="F526" s="277">
        <v>0</v>
      </c>
      <c r="G526" s="278">
        <f t="shared" si="30"/>
        <v>0</v>
      </c>
      <c r="H526" s="122"/>
    </row>
    <row r="527" spans="2:8" s="34" customFormat="1" hidden="1" x14ac:dyDescent="0.2">
      <c r="B527" s="135"/>
      <c r="C527" s="260" t="s">
        <v>227</v>
      </c>
      <c r="D527" s="254" t="s">
        <v>149</v>
      </c>
      <c r="E527" s="255"/>
      <c r="F527" s="277">
        <v>0</v>
      </c>
      <c r="G527" s="278">
        <f t="shared" si="30"/>
        <v>0</v>
      </c>
      <c r="H527" s="122"/>
    </row>
    <row r="528" spans="2:8" s="34" customFormat="1" hidden="1" x14ac:dyDescent="0.2">
      <c r="B528" s="135"/>
      <c r="C528" s="261" t="s">
        <v>198</v>
      </c>
      <c r="D528" s="254" t="s">
        <v>149</v>
      </c>
      <c r="E528" s="255"/>
      <c r="F528" s="277">
        <v>0</v>
      </c>
      <c r="G528" s="278">
        <f t="shared" si="30"/>
        <v>0</v>
      </c>
      <c r="H528" s="122"/>
    </row>
    <row r="529" spans="2:8" s="34" customFormat="1" hidden="1" x14ac:dyDescent="0.2">
      <c r="B529" s="135"/>
      <c r="C529" s="253" t="s">
        <v>2376</v>
      </c>
      <c r="D529" s="254"/>
      <c r="E529" s="255"/>
      <c r="F529" s="256">
        <v>0</v>
      </c>
      <c r="G529" s="257"/>
      <c r="H529" s="122"/>
    </row>
    <row r="530" spans="2:8" s="34" customFormat="1" hidden="1" x14ac:dyDescent="0.2">
      <c r="B530" s="135"/>
      <c r="C530" s="258" t="s">
        <v>2377</v>
      </c>
      <c r="D530" s="254" t="s">
        <v>149</v>
      </c>
      <c r="E530" s="255"/>
      <c r="F530" s="277">
        <v>0</v>
      </c>
      <c r="G530" s="278">
        <f t="shared" ref="G530:G537" si="31">E530*F530</f>
        <v>0</v>
      </c>
      <c r="H530" s="122"/>
    </row>
    <row r="531" spans="2:8" s="34" customFormat="1" hidden="1" x14ac:dyDescent="0.2">
      <c r="B531" s="135"/>
      <c r="C531" s="259" t="s">
        <v>2378</v>
      </c>
      <c r="D531" s="254" t="s">
        <v>149</v>
      </c>
      <c r="E531" s="255"/>
      <c r="F531" s="277">
        <v>0</v>
      </c>
      <c r="G531" s="278">
        <f t="shared" si="31"/>
        <v>0</v>
      </c>
      <c r="H531" s="122"/>
    </row>
    <row r="532" spans="2:8" s="34" customFormat="1" hidden="1" x14ac:dyDescent="0.2">
      <c r="B532" s="135"/>
      <c r="C532" s="259" t="s">
        <v>2379</v>
      </c>
      <c r="D532" s="254" t="s">
        <v>149</v>
      </c>
      <c r="E532" s="255"/>
      <c r="F532" s="277">
        <v>0</v>
      </c>
      <c r="G532" s="278">
        <f t="shared" si="31"/>
        <v>0</v>
      </c>
      <c r="H532" s="122"/>
    </row>
    <row r="533" spans="2:8" s="34" customFormat="1" hidden="1" x14ac:dyDescent="0.2">
      <c r="B533" s="135"/>
      <c r="C533" s="260" t="s">
        <v>2297</v>
      </c>
      <c r="D533" s="254" t="s">
        <v>149</v>
      </c>
      <c r="E533" s="255"/>
      <c r="F533" s="277">
        <v>0</v>
      </c>
      <c r="G533" s="278">
        <f t="shared" si="31"/>
        <v>0</v>
      </c>
      <c r="H533" s="122"/>
    </row>
    <row r="534" spans="2:8" s="34" customFormat="1" hidden="1" x14ac:dyDescent="0.2">
      <c r="B534" s="135"/>
      <c r="C534" s="260" t="s">
        <v>195</v>
      </c>
      <c r="D534" s="254" t="s">
        <v>149</v>
      </c>
      <c r="E534" s="255"/>
      <c r="F534" s="277">
        <v>0</v>
      </c>
      <c r="G534" s="278">
        <f t="shared" si="31"/>
        <v>0</v>
      </c>
      <c r="H534" s="122"/>
    </row>
    <row r="535" spans="2:8" s="34" customFormat="1" hidden="1" x14ac:dyDescent="0.2">
      <c r="B535" s="135"/>
      <c r="C535" s="260" t="s">
        <v>218</v>
      </c>
      <c r="D535" s="254" t="s">
        <v>149</v>
      </c>
      <c r="E535" s="255"/>
      <c r="F535" s="277">
        <v>0</v>
      </c>
      <c r="G535" s="278">
        <f t="shared" si="31"/>
        <v>0</v>
      </c>
      <c r="H535" s="122"/>
    </row>
    <row r="536" spans="2:8" s="34" customFormat="1" hidden="1" x14ac:dyDescent="0.2">
      <c r="B536" s="135"/>
      <c r="C536" s="260" t="s">
        <v>227</v>
      </c>
      <c r="D536" s="254" t="s">
        <v>149</v>
      </c>
      <c r="E536" s="255"/>
      <c r="F536" s="277">
        <v>0</v>
      </c>
      <c r="G536" s="278">
        <f t="shared" si="31"/>
        <v>0</v>
      </c>
      <c r="H536" s="122"/>
    </row>
    <row r="537" spans="2:8" s="34" customFormat="1" hidden="1" x14ac:dyDescent="0.2">
      <c r="B537" s="135"/>
      <c r="C537" s="261" t="s">
        <v>198</v>
      </c>
      <c r="D537" s="254" t="s">
        <v>149</v>
      </c>
      <c r="E537" s="255"/>
      <c r="F537" s="277">
        <v>0</v>
      </c>
      <c r="G537" s="278">
        <f t="shared" si="31"/>
        <v>0</v>
      </c>
      <c r="H537" s="122"/>
    </row>
    <row r="538" spans="2:8" s="34" customFormat="1" hidden="1" x14ac:dyDescent="0.2">
      <c r="B538" s="135"/>
      <c r="C538" s="253" t="s">
        <v>2380</v>
      </c>
      <c r="D538" s="254"/>
      <c r="E538" s="255"/>
      <c r="F538" s="256">
        <v>0</v>
      </c>
      <c r="G538" s="257"/>
      <c r="H538" s="122"/>
    </row>
    <row r="539" spans="2:8" s="34" customFormat="1" hidden="1" x14ac:dyDescent="0.2">
      <c r="B539" s="135"/>
      <c r="C539" s="258" t="s">
        <v>2377</v>
      </c>
      <c r="D539" s="254" t="s">
        <v>149</v>
      </c>
      <c r="E539" s="255"/>
      <c r="F539" s="277">
        <v>0</v>
      </c>
      <c r="G539" s="278">
        <f t="shared" ref="G539:G546" si="32">E539*F539</f>
        <v>0</v>
      </c>
      <c r="H539" s="122"/>
    </row>
    <row r="540" spans="2:8" s="34" customFormat="1" hidden="1" x14ac:dyDescent="0.2">
      <c r="B540" s="135"/>
      <c r="C540" s="259" t="s">
        <v>2378</v>
      </c>
      <c r="D540" s="254" t="s">
        <v>149</v>
      </c>
      <c r="E540" s="255"/>
      <c r="F540" s="277">
        <v>0</v>
      </c>
      <c r="G540" s="278">
        <f t="shared" si="32"/>
        <v>0</v>
      </c>
      <c r="H540" s="122"/>
    </row>
    <row r="541" spans="2:8" s="34" customFormat="1" hidden="1" x14ac:dyDescent="0.2">
      <c r="B541" s="135"/>
      <c r="C541" s="259" t="s">
        <v>2379</v>
      </c>
      <c r="D541" s="254" t="s">
        <v>149</v>
      </c>
      <c r="E541" s="255"/>
      <c r="F541" s="277">
        <v>0</v>
      </c>
      <c r="G541" s="278">
        <f t="shared" si="32"/>
        <v>0</v>
      </c>
      <c r="H541" s="122"/>
    </row>
    <row r="542" spans="2:8" s="34" customFormat="1" hidden="1" x14ac:dyDescent="0.2">
      <c r="B542" s="135"/>
      <c r="C542" s="260" t="s">
        <v>2297</v>
      </c>
      <c r="D542" s="254" t="s">
        <v>149</v>
      </c>
      <c r="E542" s="255"/>
      <c r="F542" s="277">
        <v>0</v>
      </c>
      <c r="G542" s="278">
        <f t="shared" si="32"/>
        <v>0</v>
      </c>
      <c r="H542" s="122"/>
    </row>
    <row r="543" spans="2:8" s="34" customFormat="1" hidden="1" x14ac:dyDescent="0.2">
      <c r="B543" s="135"/>
      <c r="C543" s="260" t="s">
        <v>235</v>
      </c>
      <c r="D543" s="254" t="s">
        <v>149</v>
      </c>
      <c r="E543" s="255"/>
      <c r="F543" s="277">
        <v>0</v>
      </c>
      <c r="G543" s="278">
        <f t="shared" si="32"/>
        <v>0</v>
      </c>
      <c r="H543" s="122"/>
    </row>
    <row r="544" spans="2:8" s="34" customFormat="1" hidden="1" x14ac:dyDescent="0.2">
      <c r="B544" s="135"/>
      <c r="C544" s="260" t="s">
        <v>236</v>
      </c>
      <c r="D544" s="254" t="s">
        <v>149</v>
      </c>
      <c r="E544" s="255"/>
      <c r="F544" s="277">
        <v>0</v>
      </c>
      <c r="G544" s="278">
        <f t="shared" si="32"/>
        <v>0</v>
      </c>
      <c r="H544" s="122"/>
    </row>
    <row r="545" spans="2:8" s="34" customFormat="1" hidden="1" x14ac:dyDescent="0.2">
      <c r="B545" s="135"/>
      <c r="C545" s="260" t="s">
        <v>227</v>
      </c>
      <c r="D545" s="254" t="s">
        <v>149</v>
      </c>
      <c r="E545" s="255"/>
      <c r="F545" s="277">
        <v>0</v>
      </c>
      <c r="G545" s="278">
        <f t="shared" si="32"/>
        <v>0</v>
      </c>
      <c r="H545" s="122"/>
    </row>
    <row r="546" spans="2:8" s="34" customFormat="1" hidden="1" x14ac:dyDescent="0.2">
      <c r="B546" s="135"/>
      <c r="C546" s="261" t="s">
        <v>198</v>
      </c>
      <c r="D546" s="254" t="s">
        <v>149</v>
      </c>
      <c r="E546" s="255"/>
      <c r="F546" s="277">
        <v>0</v>
      </c>
      <c r="G546" s="278">
        <f t="shared" si="32"/>
        <v>0</v>
      </c>
      <c r="H546" s="122"/>
    </row>
    <row r="547" spans="2:8" s="34" customFormat="1" hidden="1" x14ac:dyDescent="0.2">
      <c r="B547" s="135"/>
      <c r="C547" s="253" t="s">
        <v>2381</v>
      </c>
      <c r="D547" s="254"/>
      <c r="E547" s="255"/>
      <c r="F547" s="256">
        <v>0</v>
      </c>
      <c r="G547" s="257"/>
      <c r="H547" s="122"/>
    </row>
    <row r="548" spans="2:8" s="34" customFormat="1" hidden="1" x14ac:dyDescent="0.2">
      <c r="B548" s="135"/>
      <c r="C548" s="258" t="s">
        <v>2333</v>
      </c>
      <c r="D548" s="254" t="s">
        <v>149</v>
      </c>
      <c r="E548" s="255"/>
      <c r="F548" s="277">
        <v>0</v>
      </c>
      <c r="G548" s="278">
        <f t="shared" ref="G548:G555" si="33">E548*F548</f>
        <v>0</v>
      </c>
      <c r="H548" s="122"/>
    </row>
    <row r="549" spans="2:8" s="34" customFormat="1" hidden="1" x14ac:dyDescent="0.2">
      <c r="B549" s="135"/>
      <c r="C549" s="259" t="s">
        <v>2337</v>
      </c>
      <c r="D549" s="254" t="s">
        <v>149</v>
      </c>
      <c r="E549" s="255"/>
      <c r="F549" s="277">
        <v>0</v>
      </c>
      <c r="G549" s="278">
        <f t="shared" si="33"/>
        <v>0</v>
      </c>
      <c r="H549" s="122"/>
    </row>
    <row r="550" spans="2:8" s="34" customFormat="1" hidden="1" x14ac:dyDescent="0.2">
      <c r="B550" s="135"/>
      <c r="C550" s="259" t="s">
        <v>2382</v>
      </c>
      <c r="D550" s="254" t="s">
        <v>149</v>
      </c>
      <c r="E550" s="255"/>
      <c r="F550" s="277">
        <v>0</v>
      </c>
      <c r="G550" s="278">
        <f t="shared" si="33"/>
        <v>0</v>
      </c>
      <c r="H550" s="122"/>
    </row>
    <row r="551" spans="2:8" s="34" customFormat="1" hidden="1" x14ac:dyDescent="0.2">
      <c r="B551" s="135"/>
      <c r="C551" s="260" t="s">
        <v>2297</v>
      </c>
      <c r="D551" s="254" t="s">
        <v>149</v>
      </c>
      <c r="E551" s="255"/>
      <c r="F551" s="277">
        <v>0</v>
      </c>
      <c r="G551" s="278">
        <f t="shared" si="33"/>
        <v>0</v>
      </c>
      <c r="H551" s="122"/>
    </row>
    <row r="552" spans="2:8" s="34" customFormat="1" hidden="1" x14ac:dyDescent="0.2">
      <c r="B552" s="135"/>
      <c r="C552" s="260" t="s">
        <v>239</v>
      </c>
      <c r="D552" s="254" t="s">
        <v>149</v>
      </c>
      <c r="E552" s="255"/>
      <c r="F552" s="277">
        <v>0</v>
      </c>
      <c r="G552" s="278">
        <f t="shared" si="33"/>
        <v>0</v>
      </c>
      <c r="H552" s="122"/>
    </row>
    <row r="553" spans="2:8" s="34" customFormat="1" hidden="1" x14ac:dyDescent="0.2">
      <c r="B553" s="135"/>
      <c r="C553" s="260" t="s">
        <v>240</v>
      </c>
      <c r="D553" s="254" t="s">
        <v>149</v>
      </c>
      <c r="E553" s="255"/>
      <c r="F553" s="277">
        <v>0</v>
      </c>
      <c r="G553" s="278">
        <f t="shared" si="33"/>
        <v>0</v>
      </c>
      <c r="H553" s="122"/>
    </row>
    <row r="554" spans="2:8" s="34" customFormat="1" hidden="1" x14ac:dyDescent="0.2">
      <c r="B554" s="135"/>
      <c r="C554" s="260" t="s">
        <v>227</v>
      </c>
      <c r="D554" s="254" t="s">
        <v>149</v>
      </c>
      <c r="E554" s="255"/>
      <c r="F554" s="277">
        <v>0</v>
      </c>
      <c r="G554" s="278">
        <f t="shared" si="33"/>
        <v>0</v>
      </c>
      <c r="H554" s="122"/>
    </row>
    <row r="555" spans="2:8" s="34" customFormat="1" hidden="1" x14ac:dyDescent="0.2">
      <c r="B555" s="135"/>
      <c r="C555" s="261" t="s">
        <v>198</v>
      </c>
      <c r="D555" s="254" t="s">
        <v>149</v>
      </c>
      <c r="E555" s="255"/>
      <c r="F555" s="277">
        <v>0</v>
      </c>
      <c r="G555" s="278">
        <f t="shared" si="33"/>
        <v>0</v>
      </c>
      <c r="H555" s="122"/>
    </row>
    <row r="556" spans="2:8" s="34" customFormat="1" hidden="1" x14ac:dyDescent="0.2">
      <c r="B556" s="135"/>
      <c r="C556" s="253" t="s">
        <v>2383</v>
      </c>
      <c r="D556" s="254"/>
      <c r="E556" s="255"/>
      <c r="F556" s="256">
        <v>0</v>
      </c>
      <c r="G556" s="257"/>
      <c r="H556" s="122"/>
    </row>
    <row r="557" spans="2:8" s="34" customFormat="1" hidden="1" x14ac:dyDescent="0.2">
      <c r="B557" s="135"/>
      <c r="C557" s="258" t="s">
        <v>2333</v>
      </c>
      <c r="D557" s="254" t="s">
        <v>149</v>
      </c>
      <c r="E557" s="255"/>
      <c r="F557" s="277">
        <v>0</v>
      </c>
      <c r="G557" s="278">
        <f t="shared" ref="G557:G566" si="34">E557*F557</f>
        <v>0</v>
      </c>
      <c r="H557" s="122"/>
    </row>
    <row r="558" spans="2:8" s="34" customFormat="1" hidden="1" x14ac:dyDescent="0.2">
      <c r="B558" s="135"/>
      <c r="C558" s="259" t="s">
        <v>2337</v>
      </c>
      <c r="D558" s="254" t="s">
        <v>149</v>
      </c>
      <c r="E558" s="255"/>
      <c r="F558" s="277">
        <v>0</v>
      </c>
      <c r="G558" s="278">
        <f t="shared" si="34"/>
        <v>0</v>
      </c>
      <c r="H558" s="122"/>
    </row>
    <row r="559" spans="2:8" s="34" customFormat="1" hidden="1" x14ac:dyDescent="0.2">
      <c r="B559" s="135"/>
      <c r="C559" s="259" t="s">
        <v>2382</v>
      </c>
      <c r="D559" s="254" t="s">
        <v>149</v>
      </c>
      <c r="E559" s="255"/>
      <c r="F559" s="277">
        <v>0</v>
      </c>
      <c r="G559" s="278">
        <f t="shared" si="34"/>
        <v>0</v>
      </c>
      <c r="H559" s="122"/>
    </row>
    <row r="560" spans="2:8" s="34" customFormat="1" hidden="1" x14ac:dyDescent="0.2">
      <c r="B560" s="135"/>
      <c r="C560" s="260" t="s">
        <v>2297</v>
      </c>
      <c r="D560" s="254" t="s">
        <v>149</v>
      </c>
      <c r="E560" s="255"/>
      <c r="F560" s="277">
        <v>0</v>
      </c>
      <c r="G560" s="278">
        <f t="shared" si="34"/>
        <v>0</v>
      </c>
      <c r="H560" s="122"/>
    </row>
    <row r="561" spans="2:8" s="34" customFormat="1" hidden="1" x14ac:dyDescent="0.2">
      <c r="B561" s="135"/>
      <c r="C561" s="260" t="s">
        <v>239</v>
      </c>
      <c r="D561" s="254" t="s">
        <v>149</v>
      </c>
      <c r="E561" s="255"/>
      <c r="F561" s="277">
        <v>0</v>
      </c>
      <c r="G561" s="278">
        <f t="shared" si="34"/>
        <v>0</v>
      </c>
      <c r="H561" s="122"/>
    </row>
    <row r="562" spans="2:8" s="34" customFormat="1" hidden="1" x14ac:dyDescent="0.2">
      <c r="B562" s="135"/>
      <c r="C562" s="260" t="s">
        <v>240</v>
      </c>
      <c r="D562" s="254" t="s">
        <v>149</v>
      </c>
      <c r="E562" s="255"/>
      <c r="F562" s="277">
        <v>0</v>
      </c>
      <c r="G562" s="278">
        <f t="shared" si="34"/>
        <v>0</v>
      </c>
      <c r="H562" s="122"/>
    </row>
    <row r="563" spans="2:8" s="34" customFormat="1" hidden="1" x14ac:dyDescent="0.2">
      <c r="B563" s="135"/>
      <c r="C563" s="260" t="s">
        <v>241</v>
      </c>
      <c r="D563" s="254" t="s">
        <v>149</v>
      </c>
      <c r="E563" s="255"/>
      <c r="F563" s="277">
        <v>0</v>
      </c>
      <c r="G563" s="278">
        <f t="shared" si="34"/>
        <v>0</v>
      </c>
      <c r="H563" s="122"/>
    </row>
    <row r="564" spans="2:8" s="34" customFormat="1" hidden="1" x14ac:dyDescent="0.2">
      <c r="B564" s="135"/>
      <c r="C564" s="260" t="s">
        <v>242</v>
      </c>
      <c r="D564" s="254" t="s">
        <v>149</v>
      </c>
      <c r="E564" s="255"/>
      <c r="F564" s="277">
        <v>0</v>
      </c>
      <c r="G564" s="278">
        <f t="shared" si="34"/>
        <v>0</v>
      </c>
      <c r="H564" s="122"/>
    </row>
    <row r="565" spans="2:8" s="34" customFormat="1" hidden="1" x14ac:dyDescent="0.2">
      <c r="B565" s="135"/>
      <c r="C565" s="260" t="s">
        <v>227</v>
      </c>
      <c r="D565" s="254" t="s">
        <v>149</v>
      </c>
      <c r="E565" s="255"/>
      <c r="F565" s="277">
        <v>0</v>
      </c>
      <c r="G565" s="278">
        <f t="shared" si="34"/>
        <v>0</v>
      </c>
      <c r="H565" s="122"/>
    </row>
    <row r="566" spans="2:8" s="34" customFormat="1" hidden="1" x14ac:dyDescent="0.2">
      <c r="B566" s="135"/>
      <c r="C566" s="261" t="s">
        <v>198</v>
      </c>
      <c r="D566" s="254" t="s">
        <v>149</v>
      </c>
      <c r="E566" s="255"/>
      <c r="F566" s="277">
        <v>0</v>
      </c>
      <c r="G566" s="278">
        <f t="shared" si="34"/>
        <v>0</v>
      </c>
      <c r="H566" s="122"/>
    </row>
    <row r="567" spans="2:8" s="34" customFormat="1" hidden="1" x14ac:dyDescent="0.2">
      <c r="B567" s="135"/>
      <c r="C567" s="253" t="s">
        <v>2384</v>
      </c>
      <c r="D567" s="254"/>
      <c r="E567" s="255"/>
      <c r="F567" s="256">
        <v>0</v>
      </c>
      <c r="G567" s="257"/>
      <c r="H567" s="122"/>
    </row>
    <row r="568" spans="2:8" s="34" customFormat="1" hidden="1" x14ac:dyDescent="0.2">
      <c r="B568" s="135"/>
      <c r="C568" s="258" t="s">
        <v>2385</v>
      </c>
      <c r="D568" s="254" t="s">
        <v>149</v>
      </c>
      <c r="E568" s="255"/>
      <c r="F568" s="277">
        <v>0</v>
      </c>
      <c r="G568" s="278">
        <f t="shared" ref="G568:G573" si="35">E568*F568</f>
        <v>0</v>
      </c>
      <c r="H568" s="122"/>
    </row>
    <row r="569" spans="2:8" s="34" customFormat="1" hidden="1" x14ac:dyDescent="0.2">
      <c r="B569" s="135"/>
      <c r="C569" s="259" t="s">
        <v>2364</v>
      </c>
      <c r="D569" s="254" t="s">
        <v>149</v>
      </c>
      <c r="E569" s="255"/>
      <c r="F569" s="277">
        <v>0</v>
      </c>
      <c r="G569" s="278">
        <f t="shared" si="35"/>
        <v>0</v>
      </c>
      <c r="H569" s="122"/>
    </row>
    <row r="570" spans="2:8" s="34" customFormat="1" hidden="1" x14ac:dyDescent="0.2">
      <c r="B570" s="135"/>
      <c r="C570" s="259" t="s">
        <v>2318</v>
      </c>
      <c r="D570" s="254" t="s">
        <v>149</v>
      </c>
      <c r="E570" s="255"/>
      <c r="F570" s="277">
        <v>0</v>
      </c>
      <c r="G570" s="278">
        <f t="shared" si="35"/>
        <v>0</v>
      </c>
      <c r="H570" s="122"/>
    </row>
    <row r="571" spans="2:8" s="34" customFormat="1" hidden="1" x14ac:dyDescent="0.2">
      <c r="B571" s="135"/>
      <c r="C571" s="260" t="s">
        <v>336</v>
      </c>
      <c r="D571" s="254" t="s">
        <v>149</v>
      </c>
      <c r="E571" s="255"/>
      <c r="F571" s="277">
        <v>0</v>
      </c>
      <c r="G571" s="278">
        <f t="shared" si="35"/>
        <v>0</v>
      </c>
      <c r="H571" s="122"/>
    </row>
    <row r="572" spans="2:8" s="34" customFormat="1" hidden="1" x14ac:dyDescent="0.2">
      <c r="B572" s="135"/>
      <c r="C572" s="260" t="s">
        <v>227</v>
      </c>
      <c r="D572" s="254" t="s">
        <v>149</v>
      </c>
      <c r="E572" s="255"/>
      <c r="F572" s="277">
        <v>0</v>
      </c>
      <c r="G572" s="278">
        <f t="shared" si="35"/>
        <v>0</v>
      </c>
      <c r="H572" s="122"/>
    </row>
    <row r="573" spans="2:8" s="34" customFormat="1" hidden="1" x14ac:dyDescent="0.2">
      <c r="B573" s="135"/>
      <c r="C573" s="261" t="s">
        <v>198</v>
      </c>
      <c r="D573" s="254" t="s">
        <v>149</v>
      </c>
      <c r="E573" s="255"/>
      <c r="F573" s="277">
        <v>0</v>
      </c>
      <c r="G573" s="278">
        <f t="shared" si="35"/>
        <v>0</v>
      </c>
      <c r="H573" s="122"/>
    </row>
    <row r="574" spans="2:8" s="34" customFormat="1" hidden="1" x14ac:dyDescent="0.2">
      <c r="B574" s="135"/>
      <c r="C574" s="253" t="s">
        <v>2386</v>
      </c>
      <c r="D574" s="254"/>
      <c r="E574" s="255"/>
      <c r="F574" s="256">
        <v>0</v>
      </c>
      <c r="G574" s="257"/>
      <c r="H574" s="122"/>
    </row>
    <row r="575" spans="2:8" s="34" customFormat="1" hidden="1" x14ac:dyDescent="0.2">
      <c r="B575" s="135"/>
      <c r="C575" s="258" t="s">
        <v>2387</v>
      </c>
      <c r="D575" s="254" t="s">
        <v>149</v>
      </c>
      <c r="E575" s="255"/>
      <c r="F575" s="277">
        <v>0</v>
      </c>
      <c r="G575" s="278">
        <f t="shared" ref="G575:G581" si="36">E575*F575</f>
        <v>0</v>
      </c>
      <c r="H575" s="122"/>
    </row>
    <row r="576" spans="2:8" s="34" customFormat="1" hidden="1" x14ac:dyDescent="0.2">
      <c r="B576" s="135"/>
      <c r="C576" s="259" t="s">
        <v>2367</v>
      </c>
      <c r="D576" s="254" t="s">
        <v>149</v>
      </c>
      <c r="E576" s="255"/>
      <c r="F576" s="277">
        <v>0</v>
      </c>
      <c r="G576" s="278">
        <f t="shared" si="36"/>
        <v>0</v>
      </c>
      <c r="H576" s="122"/>
    </row>
    <row r="577" spans="2:8" s="34" customFormat="1" hidden="1" x14ac:dyDescent="0.2">
      <c r="B577" s="135"/>
      <c r="C577" s="259" t="s">
        <v>2323</v>
      </c>
      <c r="D577" s="254" t="s">
        <v>149</v>
      </c>
      <c r="E577" s="255"/>
      <c r="F577" s="277">
        <v>0</v>
      </c>
      <c r="G577" s="278">
        <f t="shared" si="36"/>
        <v>0</v>
      </c>
      <c r="H577" s="122"/>
    </row>
    <row r="578" spans="2:8" s="34" customFormat="1" hidden="1" x14ac:dyDescent="0.2">
      <c r="B578" s="135"/>
      <c r="C578" s="260" t="s">
        <v>336</v>
      </c>
      <c r="D578" s="254" t="s">
        <v>149</v>
      </c>
      <c r="E578" s="255"/>
      <c r="F578" s="277">
        <v>0</v>
      </c>
      <c r="G578" s="278">
        <f t="shared" si="36"/>
        <v>0</v>
      </c>
      <c r="H578" s="122"/>
    </row>
    <row r="579" spans="2:8" s="34" customFormat="1" hidden="1" x14ac:dyDescent="0.2">
      <c r="B579" s="135"/>
      <c r="C579" s="260" t="s">
        <v>2388</v>
      </c>
      <c r="D579" s="254" t="s">
        <v>149</v>
      </c>
      <c r="E579" s="255"/>
      <c r="F579" s="277">
        <v>0</v>
      </c>
      <c r="G579" s="278">
        <f t="shared" si="36"/>
        <v>0</v>
      </c>
      <c r="H579" s="122"/>
    </row>
    <row r="580" spans="2:8" s="34" customFormat="1" hidden="1" x14ac:dyDescent="0.2">
      <c r="B580" s="135"/>
      <c r="C580" s="260" t="s">
        <v>227</v>
      </c>
      <c r="D580" s="254" t="s">
        <v>149</v>
      </c>
      <c r="E580" s="255"/>
      <c r="F580" s="277">
        <v>0</v>
      </c>
      <c r="G580" s="278">
        <f t="shared" si="36"/>
        <v>0</v>
      </c>
      <c r="H580" s="122"/>
    </row>
    <row r="581" spans="2:8" s="34" customFormat="1" hidden="1" x14ac:dyDescent="0.2">
      <c r="B581" s="135"/>
      <c r="C581" s="261" t="s">
        <v>198</v>
      </c>
      <c r="D581" s="254" t="s">
        <v>149</v>
      </c>
      <c r="E581" s="255"/>
      <c r="F581" s="277">
        <v>0</v>
      </c>
      <c r="G581" s="278">
        <f t="shared" si="36"/>
        <v>0</v>
      </c>
      <c r="H581" s="122"/>
    </row>
    <row r="582" spans="2:8" s="34" customFormat="1" hidden="1" x14ac:dyDescent="0.2">
      <c r="B582" s="135"/>
      <c r="C582" s="253" t="s">
        <v>334</v>
      </c>
      <c r="D582" s="254"/>
      <c r="E582" s="255"/>
      <c r="F582" s="256">
        <v>0</v>
      </c>
      <c r="G582" s="257"/>
      <c r="H582" s="122"/>
    </row>
    <row r="583" spans="2:8" s="34" customFormat="1" hidden="1" x14ac:dyDescent="0.2">
      <c r="B583" s="135"/>
      <c r="C583" s="258" t="s">
        <v>335</v>
      </c>
      <c r="D583" s="254" t="s">
        <v>149</v>
      </c>
      <c r="E583" s="255"/>
      <c r="F583" s="277">
        <v>0</v>
      </c>
      <c r="G583" s="278">
        <f t="shared" ref="G583:G588" si="37">E583*F583</f>
        <v>0</v>
      </c>
      <c r="H583" s="122"/>
    </row>
    <row r="584" spans="2:8" s="34" customFormat="1" hidden="1" x14ac:dyDescent="0.2">
      <c r="B584" s="135"/>
      <c r="C584" s="259" t="s">
        <v>326</v>
      </c>
      <c r="D584" s="254" t="s">
        <v>149</v>
      </c>
      <c r="E584" s="255"/>
      <c r="F584" s="277">
        <v>0</v>
      </c>
      <c r="G584" s="278">
        <f t="shared" si="37"/>
        <v>0</v>
      </c>
      <c r="H584" s="122"/>
    </row>
    <row r="585" spans="2:8" s="34" customFormat="1" hidden="1" x14ac:dyDescent="0.2">
      <c r="B585" s="135"/>
      <c r="C585" s="260" t="s">
        <v>336</v>
      </c>
      <c r="D585" s="254" t="s">
        <v>149</v>
      </c>
      <c r="E585" s="255"/>
      <c r="F585" s="277">
        <v>0</v>
      </c>
      <c r="G585" s="278">
        <f t="shared" si="37"/>
        <v>0</v>
      </c>
      <c r="H585" s="122"/>
    </row>
    <row r="586" spans="2:8" s="34" customFormat="1" hidden="1" x14ac:dyDescent="0.2">
      <c r="B586" s="135"/>
      <c r="C586" s="260" t="s">
        <v>323</v>
      </c>
      <c r="D586" s="254" t="s">
        <v>149</v>
      </c>
      <c r="E586" s="255"/>
      <c r="F586" s="277">
        <v>0</v>
      </c>
      <c r="G586" s="278">
        <f t="shared" si="37"/>
        <v>0</v>
      </c>
      <c r="H586" s="122"/>
    </row>
    <row r="587" spans="2:8" s="34" customFormat="1" hidden="1" x14ac:dyDescent="0.2">
      <c r="B587" s="135"/>
      <c r="C587" s="260" t="s">
        <v>227</v>
      </c>
      <c r="D587" s="254" t="s">
        <v>149</v>
      </c>
      <c r="E587" s="255"/>
      <c r="F587" s="277">
        <v>0</v>
      </c>
      <c r="G587" s="278">
        <f t="shared" si="37"/>
        <v>0</v>
      </c>
      <c r="H587" s="122"/>
    </row>
    <row r="588" spans="2:8" s="34" customFormat="1" hidden="1" x14ac:dyDescent="0.2">
      <c r="B588" s="135"/>
      <c r="C588" s="261" t="s">
        <v>198</v>
      </c>
      <c r="D588" s="254" t="s">
        <v>149</v>
      </c>
      <c r="E588" s="255"/>
      <c r="F588" s="277">
        <v>0</v>
      </c>
      <c r="G588" s="278">
        <f t="shared" si="37"/>
        <v>0</v>
      </c>
      <c r="H588" s="122"/>
    </row>
    <row r="589" spans="2:8" s="34" customFormat="1" hidden="1" x14ac:dyDescent="0.2">
      <c r="B589" s="135"/>
      <c r="C589" s="253" t="s">
        <v>2389</v>
      </c>
      <c r="D589" s="254"/>
      <c r="E589" s="255"/>
      <c r="F589" s="256">
        <v>0</v>
      </c>
      <c r="G589" s="257"/>
      <c r="H589" s="122"/>
    </row>
    <row r="590" spans="2:8" s="34" customFormat="1" hidden="1" x14ac:dyDescent="0.2">
      <c r="B590" s="135"/>
      <c r="C590" s="258" t="s">
        <v>2390</v>
      </c>
      <c r="D590" s="254" t="s">
        <v>149</v>
      </c>
      <c r="E590" s="255"/>
      <c r="F590" s="277">
        <v>0</v>
      </c>
      <c r="G590" s="278">
        <f t="shared" ref="G590:G595" si="38">E590*F590</f>
        <v>0</v>
      </c>
      <c r="H590" s="122"/>
    </row>
    <row r="591" spans="2:8" s="34" customFormat="1" hidden="1" x14ac:dyDescent="0.2">
      <c r="B591" s="135"/>
      <c r="C591" s="259" t="s">
        <v>342</v>
      </c>
      <c r="D591" s="254" t="s">
        <v>149</v>
      </c>
      <c r="E591" s="255"/>
      <c r="F591" s="277">
        <v>0</v>
      </c>
      <c r="G591" s="278">
        <f t="shared" si="38"/>
        <v>0</v>
      </c>
      <c r="H591" s="122"/>
    </row>
    <row r="592" spans="2:8" s="34" customFormat="1" hidden="1" x14ac:dyDescent="0.2">
      <c r="B592" s="135"/>
      <c r="C592" s="260" t="s">
        <v>2341</v>
      </c>
      <c r="D592" s="254" t="s">
        <v>149</v>
      </c>
      <c r="E592" s="255"/>
      <c r="F592" s="277">
        <v>0</v>
      </c>
      <c r="G592" s="278">
        <f t="shared" si="38"/>
        <v>0</v>
      </c>
      <c r="H592" s="122"/>
    </row>
    <row r="593" spans="2:8" s="34" customFormat="1" hidden="1" x14ac:dyDescent="0.2">
      <c r="B593" s="135"/>
      <c r="C593" s="260" t="s">
        <v>354</v>
      </c>
      <c r="D593" s="254" t="s">
        <v>149</v>
      </c>
      <c r="E593" s="255"/>
      <c r="F593" s="277">
        <v>0</v>
      </c>
      <c r="G593" s="278">
        <f t="shared" si="38"/>
        <v>0</v>
      </c>
      <c r="H593" s="122"/>
    </row>
    <row r="594" spans="2:8" s="34" customFormat="1" hidden="1" x14ac:dyDescent="0.2">
      <c r="B594" s="135"/>
      <c r="C594" s="260" t="s">
        <v>227</v>
      </c>
      <c r="D594" s="254" t="s">
        <v>149</v>
      </c>
      <c r="E594" s="255"/>
      <c r="F594" s="277">
        <v>0</v>
      </c>
      <c r="G594" s="278">
        <f t="shared" si="38"/>
        <v>0</v>
      </c>
      <c r="H594" s="122"/>
    </row>
    <row r="595" spans="2:8" s="34" customFormat="1" hidden="1" x14ac:dyDescent="0.2">
      <c r="B595" s="135"/>
      <c r="C595" s="261" t="s">
        <v>198</v>
      </c>
      <c r="D595" s="254" t="s">
        <v>149</v>
      </c>
      <c r="E595" s="255"/>
      <c r="F595" s="277">
        <v>0</v>
      </c>
      <c r="G595" s="278">
        <f t="shared" si="38"/>
        <v>0</v>
      </c>
      <c r="H595" s="122"/>
    </row>
    <row r="596" spans="2:8" s="34" customFormat="1" hidden="1" x14ac:dyDescent="0.2">
      <c r="B596" s="135"/>
      <c r="C596" s="253" t="s">
        <v>2391</v>
      </c>
      <c r="D596" s="254"/>
      <c r="E596" s="255"/>
      <c r="F596" s="256">
        <v>0</v>
      </c>
      <c r="G596" s="257"/>
      <c r="H596" s="122"/>
    </row>
    <row r="597" spans="2:8" s="34" customFormat="1" hidden="1" x14ac:dyDescent="0.2">
      <c r="B597" s="135"/>
      <c r="C597" s="258" t="s">
        <v>2392</v>
      </c>
      <c r="D597" s="254" t="s">
        <v>149</v>
      </c>
      <c r="E597" s="255"/>
      <c r="F597" s="277">
        <v>0</v>
      </c>
      <c r="G597" s="278">
        <f t="shared" ref="G597:G603" si="39">E597*F597</f>
        <v>0</v>
      </c>
      <c r="H597" s="122"/>
    </row>
    <row r="598" spans="2:8" s="34" customFormat="1" hidden="1" x14ac:dyDescent="0.2">
      <c r="B598" s="135"/>
      <c r="C598" s="259" t="s">
        <v>208</v>
      </c>
      <c r="D598" s="254" t="s">
        <v>149</v>
      </c>
      <c r="E598" s="255"/>
      <c r="F598" s="277">
        <v>0</v>
      </c>
      <c r="G598" s="278">
        <f t="shared" si="39"/>
        <v>0</v>
      </c>
      <c r="H598" s="122"/>
    </row>
    <row r="599" spans="2:8" s="34" customFormat="1" hidden="1" x14ac:dyDescent="0.2">
      <c r="B599" s="135"/>
      <c r="C599" s="260" t="s">
        <v>2341</v>
      </c>
      <c r="D599" s="254" t="s">
        <v>149</v>
      </c>
      <c r="E599" s="255"/>
      <c r="F599" s="277">
        <v>0</v>
      </c>
      <c r="G599" s="278">
        <f t="shared" si="39"/>
        <v>0</v>
      </c>
      <c r="H599" s="122"/>
    </row>
    <row r="600" spans="2:8" s="34" customFormat="1" hidden="1" x14ac:dyDescent="0.2">
      <c r="B600" s="135"/>
      <c r="C600" s="260" t="s">
        <v>195</v>
      </c>
      <c r="D600" s="254" t="s">
        <v>149</v>
      </c>
      <c r="E600" s="255"/>
      <c r="F600" s="277">
        <v>0</v>
      </c>
      <c r="G600" s="278">
        <f t="shared" si="39"/>
        <v>0</v>
      </c>
      <c r="H600" s="122"/>
    </row>
    <row r="601" spans="2:8" s="34" customFormat="1" hidden="1" x14ac:dyDescent="0.2">
      <c r="B601" s="135"/>
      <c r="C601" s="260" t="s">
        <v>218</v>
      </c>
      <c r="D601" s="254" t="s">
        <v>149</v>
      </c>
      <c r="E601" s="255"/>
      <c r="F601" s="277">
        <v>0</v>
      </c>
      <c r="G601" s="278">
        <f t="shared" si="39"/>
        <v>0</v>
      </c>
      <c r="H601" s="122"/>
    </row>
    <row r="602" spans="2:8" s="34" customFormat="1" hidden="1" x14ac:dyDescent="0.2">
      <c r="B602" s="135"/>
      <c r="C602" s="260" t="s">
        <v>227</v>
      </c>
      <c r="D602" s="254" t="s">
        <v>149</v>
      </c>
      <c r="E602" s="255"/>
      <c r="F602" s="277">
        <v>0</v>
      </c>
      <c r="G602" s="278">
        <f t="shared" si="39"/>
        <v>0</v>
      </c>
      <c r="H602" s="122"/>
    </row>
    <row r="603" spans="2:8" s="34" customFormat="1" hidden="1" x14ac:dyDescent="0.2">
      <c r="B603" s="135"/>
      <c r="C603" s="261" t="s">
        <v>198</v>
      </c>
      <c r="D603" s="254" t="s">
        <v>149</v>
      </c>
      <c r="E603" s="255"/>
      <c r="F603" s="277">
        <v>0</v>
      </c>
      <c r="G603" s="278">
        <f t="shared" si="39"/>
        <v>0</v>
      </c>
      <c r="H603" s="122"/>
    </row>
    <row r="604" spans="2:8" s="34" customFormat="1" hidden="1" x14ac:dyDescent="0.2">
      <c r="B604" s="135"/>
      <c r="C604" s="253" t="s">
        <v>2393</v>
      </c>
      <c r="D604" s="254"/>
      <c r="E604" s="255"/>
      <c r="F604" s="256">
        <v>0</v>
      </c>
      <c r="G604" s="257"/>
      <c r="H604" s="122"/>
    </row>
    <row r="605" spans="2:8" s="34" customFormat="1" hidden="1" x14ac:dyDescent="0.2">
      <c r="B605" s="135"/>
      <c r="C605" s="258" t="s">
        <v>2392</v>
      </c>
      <c r="D605" s="254" t="s">
        <v>149</v>
      </c>
      <c r="E605" s="255"/>
      <c r="F605" s="277">
        <v>0</v>
      </c>
      <c r="G605" s="278">
        <f t="shared" ref="G605:G611" si="40">E605*F605</f>
        <v>0</v>
      </c>
      <c r="H605" s="122"/>
    </row>
    <row r="606" spans="2:8" s="34" customFormat="1" hidden="1" x14ac:dyDescent="0.2">
      <c r="B606" s="135"/>
      <c r="C606" s="259" t="s">
        <v>208</v>
      </c>
      <c r="D606" s="254" t="s">
        <v>149</v>
      </c>
      <c r="E606" s="255"/>
      <c r="F606" s="277">
        <v>0</v>
      </c>
      <c r="G606" s="278">
        <f t="shared" si="40"/>
        <v>0</v>
      </c>
      <c r="H606" s="122"/>
    </row>
    <row r="607" spans="2:8" s="34" customFormat="1" hidden="1" x14ac:dyDescent="0.2">
      <c r="B607" s="135"/>
      <c r="C607" s="260" t="s">
        <v>2341</v>
      </c>
      <c r="D607" s="254" t="s">
        <v>149</v>
      </c>
      <c r="E607" s="255"/>
      <c r="F607" s="277">
        <v>0</v>
      </c>
      <c r="G607" s="278">
        <f t="shared" si="40"/>
        <v>0</v>
      </c>
      <c r="H607" s="122"/>
    </row>
    <row r="608" spans="2:8" s="34" customFormat="1" hidden="1" x14ac:dyDescent="0.2">
      <c r="B608" s="135"/>
      <c r="C608" s="260" t="s">
        <v>235</v>
      </c>
      <c r="D608" s="254" t="s">
        <v>149</v>
      </c>
      <c r="E608" s="255"/>
      <c r="F608" s="277">
        <v>0</v>
      </c>
      <c r="G608" s="278">
        <f t="shared" si="40"/>
        <v>0</v>
      </c>
      <c r="H608" s="122"/>
    </row>
    <row r="609" spans="2:8" s="34" customFormat="1" hidden="1" x14ac:dyDescent="0.2">
      <c r="B609" s="135"/>
      <c r="C609" s="260" t="s">
        <v>236</v>
      </c>
      <c r="D609" s="254" t="s">
        <v>149</v>
      </c>
      <c r="E609" s="255"/>
      <c r="F609" s="277">
        <v>0</v>
      </c>
      <c r="G609" s="278">
        <f t="shared" si="40"/>
        <v>0</v>
      </c>
      <c r="H609" s="122"/>
    </row>
    <row r="610" spans="2:8" s="34" customFormat="1" hidden="1" x14ac:dyDescent="0.2">
      <c r="B610" s="135"/>
      <c r="C610" s="260" t="s">
        <v>227</v>
      </c>
      <c r="D610" s="254" t="s">
        <v>149</v>
      </c>
      <c r="E610" s="255"/>
      <c r="F610" s="277">
        <v>0</v>
      </c>
      <c r="G610" s="278">
        <f t="shared" si="40"/>
        <v>0</v>
      </c>
      <c r="H610" s="122"/>
    </row>
    <row r="611" spans="2:8" s="34" customFormat="1" hidden="1" x14ac:dyDescent="0.2">
      <c r="B611" s="135"/>
      <c r="C611" s="261" t="s">
        <v>198</v>
      </c>
      <c r="D611" s="254" t="s">
        <v>149</v>
      </c>
      <c r="E611" s="255"/>
      <c r="F611" s="277">
        <v>0</v>
      </c>
      <c r="G611" s="278">
        <f t="shared" si="40"/>
        <v>0</v>
      </c>
      <c r="H611" s="122"/>
    </row>
    <row r="612" spans="2:8" s="34" customFormat="1" hidden="1" x14ac:dyDescent="0.2">
      <c r="B612" s="135"/>
      <c r="C612" s="253" t="s">
        <v>2394</v>
      </c>
      <c r="D612" s="254"/>
      <c r="E612" s="255"/>
      <c r="F612" s="256">
        <v>0</v>
      </c>
      <c r="G612" s="257"/>
      <c r="H612" s="122"/>
    </row>
    <row r="613" spans="2:8" s="34" customFormat="1" hidden="1" x14ac:dyDescent="0.2">
      <c r="B613" s="135"/>
      <c r="C613" s="258" t="s">
        <v>2395</v>
      </c>
      <c r="D613" s="254" t="s">
        <v>149</v>
      </c>
      <c r="E613" s="255"/>
      <c r="F613" s="277">
        <v>0</v>
      </c>
      <c r="G613" s="278">
        <f t="shared" ref="G613:G619" si="41">E613*F613</f>
        <v>0</v>
      </c>
      <c r="H613" s="122"/>
    </row>
    <row r="614" spans="2:8" s="34" customFormat="1" hidden="1" x14ac:dyDescent="0.2">
      <c r="B614" s="135"/>
      <c r="C614" s="259" t="s">
        <v>213</v>
      </c>
      <c r="D614" s="254" t="s">
        <v>149</v>
      </c>
      <c r="E614" s="255"/>
      <c r="F614" s="277">
        <v>0</v>
      </c>
      <c r="G614" s="278">
        <f t="shared" si="41"/>
        <v>0</v>
      </c>
      <c r="H614" s="122"/>
    </row>
    <row r="615" spans="2:8" s="34" customFormat="1" hidden="1" x14ac:dyDescent="0.2">
      <c r="B615" s="135"/>
      <c r="C615" s="260" t="s">
        <v>336</v>
      </c>
      <c r="D615" s="254" t="s">
        <v>149</v>
      </c>
      <c r="E615" s="255"/>
      <c r="F615" s="277">
        <v>0</v>
      </c>
      <c r="G615" s="278">
        <f t="shared" si="41"/>
        <v>0</v>
      </c>
      <c r="H615" s="122"/>
    </row>
    <row r="616" spans="2:8" s="34" customFormat="1" hidden="1" x14ac:dyDescent="0.2">
      <c r="B616" s="135"/>
      <c r="C616" s="260" t="s">
        <v>239</v>
      </c>
      <c r="D616" s="254" t="s">
        <v>149</v>
      </c>
      <c r="E616" s="255"/>
      <c r="F616" s="277">
        <v>0</v>
      </c>
      <c r="G616" s="278">
        <f t="shared" si="41"/>
        <v>0</v>
      </c>
      <c r="H616" s="122"/>
    </row>
    <row r="617" spans="2:8" s="34" customFormat="1" hidden="1" x14ac:dyDescent="0.2">
      <c r="B617" s="135"/>
      <c r="C617" s="260" t="s">
        <v>240</v>
      </c>
      <c r="D617" s="254" t="s">
        <v>149</v>
      </c>
      <c r="E617" s="255"/>
      <c r="F617" s="277">
        <v>0</v>
      </c>
      <c r="G617" s="278">
        <f t="shared" si="41"/>
        <v>0</v>
      </c>
      <c r="H617" s="122"/>
    </row>
    <row r="618" spans="2:8" s="34" customFormat="1" hidden="1" x14ac:dyDescent="0.2">
      <c r="B618" s="135"/>
      <c r="C618" s="260" t="s">
        <v>227</v>
      </c>
      <c r="D618" s="254" t="s">
        <v>149</v>
      </c>
      <c r="E618" s="255"/>
      <c r="F618" s="277">
        <v>0</v>
      </c>
      <c r="G618" s="278">
        <f t="shared" si="41"/>
        <v>0</v>
      </c>
      <c r="H618" s="122"/>
    </row>
    <row r="619" spans="2:8" s="34" customFormat="1" hidden="1" x14ac:dyDescent="0.2">
      <c r="B619" s="135"/>
      <c r="C619" s="261" t="s">
        <v>198</v>
      </c>
      <c r="D619" s="254" t="s">
        <v>149</v>
      </c>
      <c r="E619" s="255"/>
      <c r="F619" s="277">
        <v>0</v>
      </c>
      <c r="G619" s="278">
        <f t="shared" si="41"/>
        <v>0</v>
      </c>
      <c r="H619" s="122"/>
    </row>
    <row r="620" spans="2:8" s="34" customFormat="1" hidden="1" x14ac:dyDescent="0.2">
      <c r="B620" s="135"/>
      <c r="C620" s="253" t="s">
        <v>857</v>
      </c>
      <c r="D620" s="254"/>
      <c r="E620" s="255"/>
      <c r="F620" s="256">
        <v>0</v>
      </c>
      <c r="G620" s="257"/>
      <c r="H620" s="122"/>
    </row>
    <row r="621" spans="2:8" s="34" customFormat="1" hidden="1" x14ac:dyDescent="0.2">
      <c r="B621" s="135"/>
      <c r="C621" s="258" t="s">
        <v>858</v>
      </c>
      <c r="D621" s="254" t="s">
        <v>149</v>
      </c>
      <c r="E621" s="255"/>
      <c r="F621" s="277">
        <v>0</v>
      </c>
      <c r="G621" s="278">
        <f t="shared" ref="G621:G630" si="42">E621*F621</f>
        <v>0</v>
      </c>
      <c r="H621" s="122"/>
    </row>
    <row r="622" spans="2:8" s="34" customFormat="1" hidden="1" x14ac:dyDescent="0.2">
      <c r="B622" s="135"/>
      <c r="C622" s="259" t="s">
        <v>213</v>
      </c>
      <c r="D622" s="254" t="s">
        <v>149</v>
      </c>
      <c r="E622" s="255"/>
      <c r="F622" s="277">
        <v>0</v>
      </c>
      <c r="G622" s="278">
        <f t="shared" si="42"/>
        <v>0</v>
      </c>
      <c r="H622" s="122"/>
    </row>
    <row r="623" spans="2:8" s="34" customFormat="1" hidden="1" x14ac:dyDescent="0.2">
      <c r="B623" s="135"/>
      <c r="C623" s="259" t="s">
        <v>859</v>
      </c>
      <c r="D623" s="254" t="s">
        <v>149</v>
      </c>
      <c r="E623" s="255"/>
      <c r="F623" s="277">
        <v>0</v>
      </c>
      <c r="G623" s="278">
        <f t="shared" si="42"/>
        <v>0</v>
      </c>
      <c r="H623" s="122"/>
    </row>
    <row r="624" spans="2:8" s="34" customFormat="1" hidden="1" x14ac:dyDescent="0.2">
      <c r="B624" s="135"/>
      <c r="C624" s="260" t="s">
        <v>336</v>
      </c>
      <c r="D624" s="254" t="s">
        <v>149</v>
      </c>
      <c r="E624" s="255"/>
      <c r="F624" s="277">
        <v>0</v>
      </c>
      <c r="G624" s="278">
        <f t="shared" si="42"/>
        <v>0</v>
      </c>
      <c r="H624" s="122"/>
    </row>
    <row r="625" spans="2:8" s="34" customFormat="1" hidden="1" x14ac:dyDescent="0.2">
      <c r="B625" s="135"/>
      <c r="C625" s="260" t="s">
        <v>239</v>
      </c>
      <c r="D625" s="254" t="s">
        <v>149</v>
      </c>
      <c r="E625" s="255"/>
      <c r="F625" s="277">
        <v>0</v>
      </c>
      <c r="G625" s="278">
        <f t="shared" si="42"/>
        <v>0</v>
      </c>
      <c r="H625" s="122"/>
    </row>
    <row r="626" spans="2:8" s="34" customFormat="1" hidden="1" x14ac:dyDescent="0.2">
      <c r="B626" s="135"/>
      <c r="C626" s="260" t="s">
        <v>240</v>
      </c>
      <c r="D626" s="254" t="s">
        <v>149</v>
      </c>
      <c r="E626" s="255"/>
      <c r="F626" s="277">
        <v>0</v>
      </c>
      <c r="G626" s="278">
        <f t="shared" si="42"/>
        <v>0</v>
      </c>
      <c r="H626" s="122"/>
    </row>
    <row r="627" spans="2:8" s="34" customFormat="1" hidden="1" x14ac:dyDescent="0.2">
      <c r="B627" s="135"/>
      <c r="C627" s="260" t="s">
        <v>241</v>
      </c>
      <c r="D627" s="254" t="s">
        <v>149</v>
      </c>
      <c r="E627" s="255"/>
      <c r="F627" s="277">
        <v>0</v>
      </c>
      <c r="G627" s="278">
        <f t="shared" si="42"/>
        <v>0</v>
      </c>
      <c r="H627" s="122"/>
    </row>
    <row r="628" spans="2:8" s="34" customFormat="1" hidden="1" x14ac:dyDescent="0.2">
      <c r="B628" s="135"/>
      <c r="C628" s="260" t="s">
        <v>242</v>
      </c>
      <c r="D628" s="254" t="s">
        <v>149</v>
      </c>
      <c r="E628" s="255"/>
      <c r="F628" s="277">
        <v>0</v>
      </c>
      <c r="G628" s="278">
        <f t="shared" si="42"/>
        <v>0</v>
      </c>
      <c r="H628" s="122"/>
    </row>
    <row r="629" spans="2:8" s="34" customFormat="1" hidden="1" x14ac:dyDescent="0.2">
      <c r="B629" s="135"/>
      <c r="C629" s="260" t="s">
        <v>227</v>
      </c>
      <c r="D629" s="254" t="s">
        <v>149</v>
      </c>
      <c r="E629" s="255"/>
      <c r="F629" s="277">
        <v>0</v>
      </c>
      <c r="G629" s="278">
        <f t="shared" si="42"/>
        <v>0</v>
      </c>
      <c r="H629" s="122"/>
    </row>
    <row r="630" spans="2:8" s="34" customFormat="1" hidden="1" x14ac:dyDescent="0.2">
      <c r="B630" s="135"/>
      <c r="C630" s="261" t="s">
        <v>198</v>
      </c>
      <c r="D630" s="254" t="s">
        <v>149</v>
      </c>
      <c r="E630" s="255"/>
      <c r="F630" s="277">
        <v>0</v>
      </c>
      <c r="G630" s="278">
        <f t="shared" si="42"/>
        <v>0</v>
      </c>
      <c r="H630" s="122"/>
    </row>
    <row r="631" spans="2:8" s="34" customFormat="1" hidden="1" x14ac:dyDescent="0.2">
      <c r="B631" s="135"/>
      <c r="C631" s="253" t="s">
        <v>2396</v>
      </c>
      <c r="D631" s="254"/>
      <c r="E631" s="255"/>
      <c r="F631" s="256">
        <v>0</v>
      </c>
      <c r="G631" s="257"/>
      <c r="H631" s="122"/>
    </row>
    <row r="632" spans="2:8" s="34" customFormat="1" ht="14.25" hidden="1" customHeight="1" x14ac:dyDescent="0.2">
      <c r="B632" s="135"/>
      <c r="C632" s="258" t="s">
        <v>2397</v>
      </c>
      <c r="D632" s="254" t="s">
        <v>149</v>
      </c>
      <c r="E632" s="255"/>
      <c r="F632" s="277">
        <v>0</v>
      </c>
      <c r="G632" s="278">
        <f>E632*F632</f>
        <v>0</v>
      </c>
      <c r="H632" s="122"/>
    </row>
    <row r="633" spans="2:8" s="34" customFormat="1" hidden="1" x14ac:dyDescent="0.2">
      <c r="B633" s="135"/>
      <c r="C633" s="260" t="s">
        <v>323</v>
      </c>
      <c r="D633" s="254" t="s">
        <v>149</v>
      </c>
      <c r="E633" s="255"/>
      <c r="F633" s="277">
        <v>0</v>
      </c>
      <c r="G633" s="278">
        <f>E633*F633</f>
        <v>0</v>
      </c>
      <c r="H633" s="122"/>
    </row>
    <row r="634" spans="2:8" s="34" customFormat="1" hidden="1" x14ac:dyDescent="0.2">
      <c r="B634" s="135"/>
      <c r="C634" s="260" t="s">
        <v>227</v>
      </c>
      <c r="D634" s="254" t="s">
        <v>149</v>
      </c>
      <c r="E634" s="255"/>
      <c r="F634" s="277">
        <v>0</v>
      </c>
      <c r="G634" s="278">
        <f>E634*F634</f>
        <v>0</v>
      </c>
      <c r="H634" s="122"/>
    </row>
    <row r="635" spans="2:8" s="34" customFormat="1" hidden="1" x14ac:dyDescent="0.2">
      <c r="B635" s="135"/>
      <c r="C635" s="261" t="s">
        <v>198</v>
      </c>
      <c r="D635" s="254" t="s">
        <v>149</v>
      </c>
      <c r="E635" s="255"/>
      <c r="F635" s="277">
        <v>0</v>
      </c>
      <c r="G635" s="278">
        <f>E635*F635</f>
        <v>0</v>
      </c>
      <c r="H635" s="122"/>
    </row>
    <row r="636" spans="2:8" s="34" customFormat="1" hidden="1" x14ac:dyDescent="0.2">
      <c r="B636" s="135"/>
      <c r="C636" s="253" t="s">
        <v>2398</v>
      </c>
      <c r="D636" s="254"/>
      <c r="E636" s="255"/>
      <c r="F636" s="256">
        <v>0</v>
      </c>
      <c r="G636" s="257"/>
      <c r="H636" s="122"/>
    </row>
    <row r="637" spans="2:8" s="34" customFormat="1" ht="14.25" hidden="1" customHeight="1" x14ac:dyDescent="0.2">
      <c r="B637" s="135"/>
      <c r="C637" s="258" t="s">
        <v>2399</v>
      </c>
      <c r="D637" s="254" t="s">
        <v>149</v>
      </c>
      <c r="E637" s="255"/>
      <c r="F637" s="277">
        <v>0</v>
      </c>
      <c r="G637" s="278">
        <f>E637*F637</f>
        <v>0</v>
      </c>
      <c r="H637" s="122"/>
    </row>
    <row r="638" spans="2:8" s="34" customFormat="1" hidden="1" x14ac:dyDescent="0.2">
      <c r="B638" s="135"/>
      <c r="C638" s="260" t="s">
        <v>323</v>
      </c>
      <c r="D638" s="254" t="s">
        <v>149</v>
      </c>
      <c r="E638" s="255"/>
      <c r="F638" s="277">
        <v>0</v>
      </c>
      <c r="G638" s="278">
        <f>E638*F638</f>
        <v>0</v>
      </c>
      <c r="H638" s="122"/>
    </row>
    <row r="639" spans="2:8" s="34" customFormat="1" hidden="1" x14ac:dyDescent="0.2">
      <c r="B639" s="135"/>
      <c r="C639" s="260" t="s">
        <v>354</v>
      </c>
      <c r="D639" s="254" t="s">
        <v>149</v>
      </c>
      <c r="E639" s="255"/>
      <c r="F639" s="277">
        <v>0</v>
      </c>
      <c r="G639" s="278">
        <f>E639*F639</f>
        <v>0</v>
      </c>
      <c r="H639" s="122"/>
    </row>
    <row r="640" spans="2:8" s="34" customFormat="1" hidden="1" x14ac:dyDescent="0.2">
      <c r="B640" s="135"/>
      <c r="C640" s="260" t="s">
        <v>227</v>
      </c>
      <c r="D640" s="254" t="s">
        <v>149</v>
      </c>
      <c r="E640" s="255"/>
      <c r="F640" s="277">
        <v>0</v>
      </c>
      <c r="G640" s="278">
        <f>E640*F640</f>
        <v>0</v>
      </c>
      <c r="H640" s="122"/>
    </row>
    <row r="641" spans="2:8" s="34" customFormat="1" hidden="1" x14ac:dyDescent="0.2">
      <c r="B641" s="135"/>
      <c r="C641" s="261" t="s">
        <v>198</v>
      </c>
      <c r="D641" s="254" t="s">
        <v>149</v>
      </c>
      <c r="E641" s="255"/>
      <c r="F641" s="277">
        <v>0</v>
      </c>
      <c r="G641" s="278">
        <f>E641*F641</f>
        <v>0</v>
      </c>
      <c r="H641" s="122"/>
    </row>
    <row r="642" spans="2:8" s="34" customFormat="1" hidden="1" x14ac:dyDescent="0.2">
      <c r="B642" s="135"/>
      <c r="C642" s="253" t="s">
        <v>2400</v>
      </c>
      <c r="D642" s="254"/>
      <c r="E642" s="255"/>
      <c r="F642" s="256">
        <v>0</v>
      </c>
      <c r="G642" s="257"/>
      <c r="H642" s="122"/>
    </row>
    <row r="643" spans="2:8" s="34" customFormat="1" ht="14.25" hidden="1" customHeight="1" x14ac:dyDescent="0.2">
      <c r="B643" s="135"/>
      <c r="C643" s="258" t="s">
        <v>2401</v>
      </c>
      <c r="D643" s="254" t="s">
        <v>149</v>
      </c>
      <c r="E643" s="255"/>
      <c r="F643" s="277">
        <v>0</v>
      </c>
      <c r="G643" s="278">
        <f t="shared" ref="G643:G648" si="43">E643*F643</f>
        <v>0</v>
      </c>
      <c r="H643" s="122"/>
    </row>
    <row r="644" spans="2:8" s="34" customFormat="1" hidden="1" x14ac:dyDescent="0.2">
      <c r="B644" s="135"/>
      <c r="C644" s="260" t="s">
        <v>323</v>
      </c>
      <c r="D644" s="254" t="s">
        <v>149</v>
      </c>
      <c r="E644" s="255"/>
      <c r="F644" s="277">
        <v>0</v>
      </c>
      <c r="G644" s="278">
        <f t="shared" si="43"/>
        <v>0</v>
      </c>
      <c r="H644" s="122"/>
    </row>
    <row r="645" spans="2:8" s="34" customFormat="1" hidden="1" x14ac:dyDescent="0.2">
      <c r="B645" s="135"/>
      <c r="C645" s="260" t="s">
        <v>195</v>
      </c>
      <c r="D645" s="254" t="s">
        <v>149</v>
      </c>
      <c r="E645" s="255"/>
      <c r="F645" s="277">
        <v>0</v>
      </c>
      <c r="G645" s="278">
        <f t="shared" si="43"/>
        <v>0</v>
      </c>
      <c r="H645" s="122"/>
    </row>
    <row r="646" spans="2:8" s="34" customFormat="1" hidden="1" x14ac:dyDescent="0.2">
      <c r="B646" s="135"/>
      <c r="C646" s="260" t="s">
        <v>218</v>
      </c>
      <c r="D646" s="254" t="s">
        <v>149</v>
      </c>
      <c r="E646" s="255"/>
      <c r="F646" s="277">
        <v>0</v>
      </c>
      <c r="G646" s="278">
        <f t="shared" si="43"/>
        <v>0</v>
      </c>
      <c r="H646" s="122"/>
    </row>
    <row r="647" spans="2:8" s="34" customFormat="1" hidden="1" x14ac:dyDescent="0.2">
      <c r="B647" s="135"/>
      <c r="C647" s="260" t="s">
        <v>227</v>
      </c>
      <c r="D647" s="254" t="s">
        <v>149</v>
      </c>
      <c r="E647" s="255"/>
      <c r="F647" s="277">
        <v>0</v>
      </c>
      <c r="G647" s="278">
        <f t="shared" si="43"/>
        <v>0</v>
      </c>
      <c r="H647" s="122"/>
    </row>
    <row r="648" spans="2:8" s="34" customFormat="1" hidden="1" x14ac:dyDescent="0.2">
      <c r="B648" s="135"/>
      <c r="C648" s="261" t="s">
        <v>198</v>
      </c>
      <c r="D648" s="254" t="s">
        <v>149</v>
      </c>
      <c r="E648" s="255"/>
      <c r="F648" s="277">
        <v>0</v>
      </c>
      <c r="G648" s="278">
        <f t="shared" si="43"/>
        <v>0</v>
      </c>
      <c r="H648" s="122"/>
    </row>
    <row r="649" spans="2:8" s="34" customFormat="1" hidden="1" x14ac:dyDescent="0.2">
      <c r="B649" s="135"/>
      <c r="C649" s="253" t="s">
        <v>2402</v>
      </c>
      <c r="D649" s="254"/>
      <c r="E649" s="255"/>
      <c r="F649" s="256">
        <v>0</v>
      </c>
      <c r="G649" s="257"/>
      <c r="H649" s="122"/>
    </row>
    <row r="650" spans="2:8" s="34" customFormat="1" ht="14.25" hidden="1" customHeight="1" x14ac:dyDescent="0.2">
      <c r="B650" s="135"/>
      <c r="C650" s="258" t="s">
        <v>2401</v>
      </c>
      <c r="D650" s="254" t="s">
        <v>149</v>
      </c>
      <c r="E650" s="255"/>
      <c r="F650" s="277">
        <v>0</v>
      </c>
      <c r="G650" s="278">
        <f t="shared" ref="G650:G655" si="44">E650*F650</f>
        <v>0</v>
      </c>
      <c r="H650" s="122"/>
    </row>
    <row r="651" spans="2:8" s="34" customFormat="1" hidden="1" x14ac:dyDescent="0.2">
      <c r="B651" s="135"/>
      <c r="C651" s="260" t="s">
        <v>323</v>
      </c>
      <c r="D651" s="254" t="s">
        <v>149</v>
      </c>
      <c r="E651" s="255"/>
      <c r="F651" s="277">
        <v>0</v>
      </c>
      <c r="G651" s="278">
        <f t="shared" si="44"/>
        <v>0</v>
      </c>
      <c r="H651" s="122"/>
    </row>
    <row r="652" spans="2:8" s="34" customFormat="1" hidden="1" x14ac:dyDescent="0.2">
      <c r="B652" s="135"/>
      <c r="C652" s="260" t="s">
        <v>235</v>
      </c>
      <c r="D652" s="254" t="s">
        <v>149</v>
      </c>
      <c r="E652" s="255"/>
      <c r="F652" s="277">
        <v>0</v>
      </c>
      <c r="G652" s="278">
        <f t="shared" si="44"/>
        <v>0</v>
      </c>
      <c r="H652" s="122"/>
    </row>
    <row r="653" spans="2:8" s="34" customFormat="1" hidden="1" x14ac:dyDescent="0.2">
      <c r="B653" s="135"/>
      <c r="C653" s="260" t="s">
        <v>236</v>
      </c>
      <c r="D653" s="254" t="s">
        <v>149</v>
      </c>
      <c r="E653" s="255"/>
      <c r="F653" s="277">
        <v>0</v>
      </c>
      <c r="G653" s="278">
        <f t="shared" si="44"/>
        <v>0</v>
      </c>
      <c r="H653" s="122"/>
    </row>
    <row r="654" spans="2:8" s="34" customFormat="1" hidden="1" x14ac:dyDescent="0.2">
      <c r="B654" s="135"/>
      <c r="C654" s="260" t="s">
        <v>227</v>
      </c>
      <c r="D654" s="254" t="s">
        <v>149</v>
      </c>
      <c r="E654" s="255"/>
      <c r="F654" s="277">
        <v>0</v>
      </c>
      <c r="G654" s="278">
        <f t="shared" si="44"/>
        <v>0</v>
      </c>
      <c r="H654" s="122"/>
    </row>
    <row r="655" spans="2:8" s="34" customFormat="1" hidden="1" x14ac:dyDescent="0.2">
      <c r="B655" s="135"/>
      <c r="C655" s="261" t="s">
        <v>198</v>
      </c>
      <c r="D655" s="254" t="s">
        <v>149</v>
      </c>
      <c r="E655" s="255"/>
      <c r="F655" s="277">
        <v>0</v>
      </c>
      <c r="G655" s="278">
        <f t="shared" si="44"/>
        <v>0</v>
      </c>
      <c r="H655" s="122"/>
    </row>
    <row r="656" spans="2:8" s="34" customFormat="1" hidden="1" x14ac:dyDescent="0.2">
      <c r="B656" s="135"/>
      <c r="C656" s="253" t="s">
        <v>2403</v>
      </c>
      <c r="D656" s="254"/>
      <c r="E656" s="255"/>
      <c r="F656" s="256">
        <v>0</v>
      </c>
      <c r="G656" s="257"/>
      <c r="H656" s="122"/>
    </row>
    <row r="657" spans="2:8" s="34" customFormat="1" ht="14.25" hidden="1" customHeight="1" x14ac:dyDescent="0.2">
      <c r="B657" s="135"/>
      <c r="C657" s="258" t="s">
        <v>2404</v>
      </c>
      <c r="D657" s="254" t="s">
        <v>149</v>
      </c>
      <c r="E657" s="255"/>
      <c r="F657" s="277">
        <v>0</v>
      </c>
      <c r="G657" s="278">
        <f t="shared" ref="G657:G662" si="45">E657*F657</f>
        <v>0</v>
      </c>
      <c r="H657" s="122"/>
    </row>
    <row r="658" spans="2:8" s="34" customFormat="1" hidden="1" x14ac:dyDescent="0.2">
      <c r="B658" s="135"/>
      <c r="C658" s="260" t="s">
        <v>323</v>
      </c>
      <c r="D658" s="254" t="s">
        <v>149</v>
      </c>
      <c r="E658" s="255"/>
      <c r="F658" s="277">
        <v>0</v>
      </c>
      <c r="G658" s="278">
        <f t="shared" si="45"/>
        <v>0</v>
      </c>
      <c r="H658" s="122"/>
    </row>
    <row r="659" spans="2:8" s="34" customFormat="1" hidden="1" x14ac:dyDescent="0.2">
      <c r="B659" s="135"/>
      <c r="C659" s="260" t="s">
        <v>239</v>
      </c>
      <c r="D659" s="254" t="s">
        <v>149</v>
      </c>
      <c r="E659" s="255"/>
      <c r="F659" s="277">
        <v>0</v>
      </c>
      <c r="G659" s="278">
        <f t="shared" si="45"/>
        <v>0</v>
      </c>
      <c r="H659" s="122"/>
    </row>
    <row r="660" spans="2:8" s="34" customFormat="1" hidden="1" x14ac:dyDescent="0.2">
      <c r="B660" s="135"/>
      <c r="C660" s="260" t="s">
        <v>240</v>
      </c>
      <c r="D660" s="254" t="s">
        <v>149</v>
      </c>
      <c r="E660" s="255"/>
      <c r="F660" s="277">
        <v>0</v>
      </c>
      <c r="G660" s="278">
        <f t="shared" si="45"/>
        <v>0</v>
      </c>
      <c r="H660" s="122"/>
    </row>
    <row r="661" spans="2:8" s="34" customFormat="1" hidden="1" x14ac:dyDescent="0.2">
      <c r="B661" s="135"/>
      <c r="C661" s="260" t="s">
        <v>227</v>
      </c>
      <c r="D661" s="254" t="s">
        <v>149</v>
      </c>
      <c r="E661" s="255"/>
      <c r="F661" s="277">
        <v>0</v>
      </c>
      <c r="G661" s="278">
        <f t="shared" si="45"/>
        <v>0</v>
      </c>
      <c r="H661" s="122"/>
    </row>
    <row r="662" spans="2:8" s="34" customFormat="1" hidden="1" x14ac:dyDescent="0.2">
      <c r="B662" s="135"/>
      <c r="C662" s="261" t="s">
        <v>198</v>
      </c>
      <c r="D662" s="254" t="s">
        <v>149</v>
      </c>
      <c r="E662" s="255"/>
      <c r="F662" s="277">
        <v>0</v>
      </c>
      <c r="G662" s="278">
        <f t="shared" si="45"/>
        <v>0</v>
      </c>
      <c r="H662" s="122"/>
    </row>
    <row r="663" spans="2:8" s="34" customFormat="1" hidden="1" x14ac:dyDescent="0.2">
      <c r="B663" s="135"/>
      <c r="C663" s="253" t="s">
        <v>2405</v>
      </c>
      <c r="D663" s="254"/>
      <c r="E663" s="255"/>
      <c r="F663" s="256">
        <v>0</v>
      </c>
      <c r="G663" s="257"/>
      <c r="H663" s="122"/>
    </row>
    <row r="664" spans="2:8" s="34" customFormat="1" ht="14.25" hidden="1" customHeight="1" x14ac:dyDescent="0.2">
      <c r="B664" s="135"/>
      <c r="C664" s="258" t="s">
        <v>2404</v>
      </c>
      <c r="D664" s="254" t="s">
        <v>149</v>
      </c>
      <c r="E664" s="255"/>
      <c r="F664" s="277">
        <v>0</v>
      </c>
      <c r="G664" s="278">
        <f t="shared" ref="G664:G671" si="46">E664*F664</f>
        <v>0</v>
      </c>
      <c r="H664" s="122"/>
    </row>
    <row r="665" spans="2:8" s="34" customFormat="1" hidden="1" x14ac:dyDescent="0.2">
      <c r="B665" s="135"/>
      <c r="C665" s="260" t="s">
        <v>323</v>
      </c>
      <c r="D665" s="254" t="s">
        <v>149</v>
      </c>
      <c r="E665" s="255"/>
      <c r="F665" s="277">
        <v>0</v>
      </c>
      <c r="G665" s="278">
        <f t="shared" si="46"/>
        <v>0</v>
      </c>
      <c r="H665" s="122"/>
    </row>
    <row r="666" spans="2:8" s="34" customFormat="1" hidden="1" x14ac:dyDescent="0.2">
      <c r="B666" s="135"/>
      <c r="C666" s="260" t="s">
        <v>239</v>
      </c>
      <c r="D666" s="254" t="s">
        <v>149</v>
      </c>
      <c r="E666" s="255"/>
      <c r="F666" s="277">
        <v>0</v>
      </c>
      <c r="G666" s="278">
        <f t="shared" si="46"/>
        <v>0</v>
      </c>
      <c r="H666" s="122"/>
    </row>
    <row r="667" spans="2:8" s="34" customFormat="1" hidden="1" x14ac:dyDescent="0.2">
      <c r="B667" s="135"/>
      <c r="C667" s="260" t="s">
        <v>240</v>
      </c>
      <c r="D667" s="254" t="s">
        <v>149</v>
      </c>
      <c r="E667" s="255"/>
      <c r="F667" s="277">
        <v>0</v>
      </c>
      <c r="G667" s="278">
        <f t="shared" si="46"/>
        <v>0</v>
      </c>
      <c r="H667" s="122"/>
    </row>
    <row r="668" spans="2:8" s="34" customFormat="1" hidden="1" x14ac:dyDescent="0.2">
      <c r="B668" s="135"/>
      <c r="C668" s="260" t="s">
        <v>241</v>
      </c>
      <c r="D668" s="254" t="s">
        <v>149</v>
      </c>
      <c r="E668" s="255"/>
      <c r="F668" s="277">
        <v>0</v>
      </c>
      <c r="G668" s="278">
        <f t="shared" si="46"/>
        <v>0</v>
      </c>
      <c r="H668" s="122"/>
    </row>
    <row r="669" spans="2:8" s="34" customFormat="1" hidden="1" x14ac:dyDescent="0.2">
      <c r="B669" s="135"/>
      <c r="C669" s="260" t="s">
        <v>242</v>
      </c>
      <c r="D669" s="254" t="s">
        <v>149</v>
      </c>
      <c r="E669" s="255"/>
      <c r="F669" s="277">
        <v>0</v>
      </c>
      <c r="G669" s="278">
        <f t="shared" si="46"/>
        <v>0</v>
      </c>
      <c r="H669" s="122"/>
    </row>
    <row r="670" spans="2:8" s="34" customFormat="1" hidden="1" x14ac:dyDescent="0.2">
      <c r="B670" s="135"/>
      <c r="C670" s="260" t="s">
        <v>227</v>
      </c>
      <c r="D670" s="254" t="s">
        <v>149</v>
      </c>
      <c r="E670" s="255"/>
      <c r="F670" s="277">
        <v>0</v>
      </c>
      <c r="G670" s="278">
        <f t="shared" si="46"/>
        <v>0</v>
      </c>
      <c r="H670" s="122"/>
    </row>
    <row r="671" spans="2:8" s="34" customFormat="1" hidden="1" x14ac:dyDescent="0.2">
      <c r="B671" s="135"/>
      <c r="C671" s="261" t="s">
        <v>198</v>
      </c>
      <c r="D671" s="254" t="s">
        <v>149</v>
      </c>
      <c r="E671" s="255"/>
      <c r="F671" s="277">
        <v>0</v>
      </c>
      <c r="G671" s="278">
        <f t="shared" si="46"/>
        <v>0</v>
      </c>
      <c r="H671" s="122"/>
    </row>
    <row r="672" spans="2:8" s="34" customFormat="1" hidden="1" x14ac:dyDescent="0.2">
      <c r="B672" s="135"/>
      <c r="C672" s="253" t="s">
        <v>1744</v>
      </c>
      <c r="D672" s="254"/>
      <c r="E672" s="255"/>
      <c r="F672" s="256">
        <v>0</v>
      </c>
      <c r="G672" s="257"/>
      <c r="H672" s="122"/>
    </row>
    <row r="673" spans="2:8" s="34" customFormat="1" ht="14.25" hidden="1" customHeight="1" x14ac:dyDescent="0.2">
      <c r="B673" s="135"/>
      <c r="C673" s="258" t="s">
        <v>2406</v>
      </c>
      <c r="D673" s="254" t="s">
        <v>149</v>
      </c>
      <c r="E673" s="255"/>
      <c r="F673" s="277">
        <v>0</v>
      </c>
      <c r="G673" s="278">
        <f>E673*F673</f>
        <v>0</v>
      </c>
      <c r="H673" s="122"/>
    </row>
    <row r="674" spans="2:8" s="34" customFormat="1" hidden="1" x14ac:dyDescent="0.2">
      <c r="B674" s="135"/>
      <c r="C674" s="260" t="s">
        <v>354</v>
      </c>
      <c r="D674" s="254" t="s">
        <v>149</v>
      </c>
      <c r="E674" s="255"/>
      <c r="F674" s="277">
        <v>0</v>
      </c>
      <c r="G674" s="278">
        <f>E674*F674</f>
        <v>0</v>
      </c>
      <c r="H674" s="122"/>
    </row>
    <row r="675" spans="2:8" s="34" customFormat="1" hidden="1" x14ac:dyDescent="0.2">
      <c r="B675" s="135"/>
      <c r="C675" s="260" t="s">
        <v>227</v>
      </c>
      <c r="D675" s="254" t="s">
        <v>149</v>
      </c>
      <c r="E675" s="255"/>
      <c r="F675" s="277">
        <v>0</v>
      </c>
      <c r="G675" s="278">
        <f>E675*F675</f>
        <v>0</v>
      </c>
      <c r="H675" s="122"/>
    </row>
    <row r="676" spans="2:8" s="34" customFormat="1" hidden="1" x14ac:dyDescent="0.2">
      <c r="B676" s="135"/>
      <c r="C676" s="261" t="s">
        <v>198</v>
      </c>
      <c r="D676" s="254" t="s">
        <v>149</v>
      </c>
      <c r="E676" s="255"/>
      <c r="F676" s="277">
        <v>0</v>
      </c>
      <c r="G676" s="278">
        <f>E676*F676</f>
        <v>0</v>
      </c>
      <c r="H676" s="122"/>
    </row>
    <row r="677" spans="2:8" s="34" customFormat="1" hidden="1" x14ac:dyDescent="0.2">
      <c r="B677" s="135"/>
      <c r="C677" s="253" t="s">
        <v>1724</v>
      </c>
      <c r="D677" s="254"/>
      <c r="E677" s="255"/>
      <c r="F677" s="256">
        <v>0</v>
      </c>
      <c r="G677" s="257"/>
      <c r="H677" s="122"/>
    </row>
    <row r="678" spans="2:8" s="34" customFormat="1" ht="14.25" hidden="1" customHeight="1" x14ac:dyDescent="0.2">
      <c r="B678" s="135"/>
      <c r="C678" s="258" t="s">
        <v>2407</v>
      </c>
      <c r="D678" s="254" t="s">
        <v>149</v>
      </c>
      <c r="E678" s="255"/>
      <c r="F678" s="277">
        <v>0</v>
      </c>
      <c r="G678" s="278">
        <f t="shared" ref="G678:G683" si="47">E678*F678</f>
        <v>0</v>
      </c>
      <c r="H678" s="122"/>
    </row>
    <row r="679" spans="2:8" s="34" customFormat="1" hidden="1" x14ac:dyDescent="0.2">
      <c r="B679" s="135"/>
      <c r="C679" s="260" t="s">
        <v>354</v>
      </c>
      <c r="D679" s="254" t="s">
        <v>149</v>
      </c>
      <c r="E679" s="255"/>
      <c r="F679" s="277">
        <v>0</v>
      </c>
      <c r="G679" s="278">
        <f t="shared" si="47"/>
        <v>0</v>
      </c>
      <c r="H679" s="122"/>
    </row>
    <row r="680" spans="2:8" s="34" customFormat="1" hidden="1" x14ac:dyDescent="0.2">
      <c r="B680" s="135"/>
      <c r="C680" s="260" t="s">
        <v>195</v>
      </c>
      <c r="D680" s="254" t="s">
        <v>149</v>
      </c>
      <c r="E680" s="255"/>
      <c r="F680" s="277">
        <v>0</v>
      </c>
      <c r="G680" s="278">
        <f t="shared" si="47"/>
        <v>0</v>
      </c>
      <c r="H680" s="122"/>
    </row>
    <row r="681" spans="2:8" s="34" customFormat="1" hidden="1" x14ac:dyDescent="0.2">
      <c r="B681" s="135"/>
      <c r="C681" s="260" t="s">
        <v>218</v>
      </c>
      <c r="D681" s="254" t="s">
        <v>149</v>
      </c>
      <c r="E681" s="255"/>
      <c r="F681" s="277">
        <v>0</v>
      </c>
      <c r="G681" s="278">
        <f t="shared" si="47"/>
        <v>0</v>
      </c>
      <c r="H681" s="122"/>
    </row>
    <row r="682" spans="2:8" s="34" customFormat="1" hidden="1" x14ac:dyDescent="0.2">
      <c r="B682" s="135"/>
      <c r="C682" s="260" t="s">
        <v>227</v>
      </c>
      <c r="D682" s="254" t="s">
        <v>149</v>
      </c>
      <c r="E682" s="255"/>
      <c r="F682" s="277">
        <v>0</v>
      </c>
      <c r="G682" s="278">
        <f t="shared" si="47"/>
        <v>0</v>
      </c>
      <c r="H682" s="122"/>
    </row>
    <row r="683" spans="2:8" s="34" customFormat="1" hidden="1" x14ac:dyDescent="0.2">
      <c r="B683" s="135"/>
      <c r="C683" s="261" t="s">
        <v>198</v>
      </c>
      <c r="D683" s="254" t="s">
        <v>149</v>
      </c>
      <c r="E683" s="255"/>
      <c r="F683" s="277">
        <v>0</v>
      </c>
      <c r="G683" s="278">
        <f t="shared" si="47"/>
        <v>0</v>
      </c>
      <c r="H683" s="122"/>
    </row>
    <row r="684" spans="2:8" s="34" customFormat="1" hidden="1" x14ac:dyDescent="0.2">
      <c r="B684" s="135"/>
      <c r="C684" s="253" t="s">
        <v>1746</v>
      </c>
      <c r="D684" s="254"/>
      <c r="E684" s="255"/>
      <c r="F684" s="256">
        <v>0</v>
      </c>
      <c r="G684" s="257"/>
      <c r="H684" s="122"/>
    </row>
    <row r="685" spans="2:8" s="34" customFormat="1" ht="14.25" hidden="1" customHeight="1" x14ac:dyDescent="0.2">
      <c r="B685" s="135"/>
      <c r="C685" s="258" t="s">
        <v>2407</v>
      </c>
      <c r="D685" s="254" t="s">
        <v>149</v>
      </c>
      <c r="E685" s="255"/>
      <c r="F685" s="277">
        <v>0</v>
      </c>
      <c r="G685" s="278">
        <f t="shared" ref="G685:G690" si="48">E685*F685</f>
        <v>0</v>
      </c>
      <c r="H685" s="122"/>
    </row>
    <row r="686" spans="2:8" s="34" customFormat="1" hidden="1" x14ac:dyDescent="0.2">
      <c r="B686" s="135"/>
      <c r="C686" s="260" t="s">
        <v>354</v>
      </c>
      <c r="D686" s="254" t="s">
        <v>149</v>
      </c>
      <c r="E686" s="255"/>
      <c r="F686" s="277">
        <v>0</v>
      </c>
      <c r="G686" s="278">
        <f t="shared" si="48"/>
        <v>0</v>
      </c>
      <c r="H686" s="122"/>
    </row>
    <row r="687" spans="2:8" s="34" customFormat="1" hidden="1" x14ac:dyDescent="0.2">
      <c r="B687" s="135"/>
      <c r="C687" s="260" t="s">
        <v>235</v>
      </c>
      <c r="D687" s="254" t="s">
        <v>149</v>
      </c>
      <c r="E687" s="255"/>
      <c r="F687" s="277">
        <v>0</v>
      </c>
      <c r="G687" s="278">
        <f t="shared" si="48"/>
        <v>0</v>
      </c>
      <c r="H687" s="122"/>
    </row>
    <row r="688" spans="2:8" s="34" customFormat="1" hidden="1" x14ac:dyDescent="0.2">
      <c r="B688" s="135"/>
      <c r="C688" s="260" t="s">
        <v>236</v>
      </c>
      <c r="D688" s="254" t="s">
        <v>149</v>
      </c>
      <c r="E688" s="255"/>
      <c r="F688" s="277">
        <v>0</v>
      </c>
      <c r="G688" s="278">
        <f t="shared" si="48"/>
        <v>0</v>
      </c>
      <c r="H688" s="122"/>
    </row>
    <row r="689" spans="2:8" s="34" customFormat="1" hidden="1" x14ac:dyDescent="0.2">
      <c r="B689" s="135"/>
      <c r="C689" s="260" t="s">
        <v>227</v>
      </c>
      <c r="D689" s="254" t="s">
        <v>149</v>
      </c>
      <c r="E689" s="255"/>
      <c r="F689" s="277">
        <v>0</v>
      </c>
      <c r="G689" s="278">
        <f t="shared" si="48"/>
        <v>0</v>
      </c>
      <c r="H689" s="122"/>
    </row>
    <row r="690" spans="2:8" s="34" customFormat="1" hidden="1" x14ac:dyDescent="0.2">
      <c r="B690" s="135"/>
      <c r="C690" s="261" t="s">
        <v>198</v>
      </c>
      <c r="D690" s="254" t="s">
        <v>149</v>
      </c>
      <c r="E690" s="255"/>
      <c r="F690" s="277">
        <v>0</v>
      </c>
      <c r="G690" s="278">
        <f t="shared" si="48"/>
        <v>0</v>
      </c>
      <c r="H690" s="122"/>
    </row>
    <row r="691" spans="2:8" s="34" customFormat="1" hidden="1" x14ac:dyDescent="0.2">
      <c r="B691" s="135"/>
      <c r="C691" s="253" t="s">
        <v>2408</v>
      </c>
      <c r="D691" s="254"/>
      <c r="E691" s="255"/>
      <c r="F691" s="256">
        <v>0</v>
      </c>
      <c r="G691" s="257"/>
      <c r="H691" s="122"/>
    </row>
    <row r="692" spans="2:8" s="34" customFormat="1" ht="14.25" hidden="1" customHeight="1" x14ac:dyDescent="0.2">
      <c r="B692" s="135"/>
      <c r="C692" s="258" t="s">
        <v>2409</v>
      </c>
      <c r="D692" s="254" t="s">
        <v>149</v>
      </c>
      <c r="E692" s="255"/>
      <c r="F692" s="277">
        <v>0</v>
      </c>
      <c r="G692" s="278">
        <f t="shared" ref="G692:G697" si="49">E692*F692</f>
        <v>0</v>
      </c>
      <c r="H692" s="122"/>
    </row>
    <row r="693" spans="2:8" s="34" customFormat="1" hidden="1" x14ac:dyDescent="0.2">
      <c r="B693" s="135"/>
      <c r="C693" s="260" t="s">
        <v>354</v>
      </c>
      <c r="D693" s="254" t="s">
        <v>149</v>
      </c>
      <c r="E693" s="255"/>
      <c r="F693" s="277">
        <v>0</v>
      </c>
      <c r="G693" s="278">
        <f t="shared" si="49"/>
        <v>0</v>
      </c>
      <c r="H693" s="122"/>
    </row>
    <row r="694" spans="2:8" s="34" customFormat="1" hidden="1" x14ac:dyDescent="0.2">
      <c r="B694" s="135"/>
      <c r="C694" s="260" t="s">
        <v>239</v>
      </c>
      <c r="D694" s="254" t="s">
        <v>149</v>
      </c>
      <c r="E694" s="255"/>
      <c r="F694" s="277">
        <v>0</v>
      </c>
      <c r="G694" s="278">
        <f t="shared" si="49"/>
        <v>0</v>
      </c>
      <c r="H694" s="122"/>
    </row>
    <row r="695" spans="2:8" s="34" customFormat="1" hidden="1" x14ac:dyDescent="0.2">
      <c r="B695" s="135"/>
      <c r="C695" s="260" t="s">
        <v>240</v>
      </c>
      <c r="D695" s="254" t="s">
        <v>149</v>
      </c>
      <c r="E695" s="255"/>
      <c r="F695" s="277">
        <v>0</v>
      </c>
      <c r="G695" s="278">
        <f t="shared" si="49"/>
        <v>0</v>
      </c>
      <c r="H695" s="122"/>
    </row>
    <row r="696" spans="2:8" s="34" customFormat="1" hidden="1" x14ac:dyDescent="0.2">
      <c r="B696" s="135"/>
      <c r="C696" s="260" t="s">
        <v>227</v>
      </c>
      <c r="D696" s="254" t="s">
        <v>149</v>
      </c>
      <c r="E696" s="255"/>
      <c r="F696" s="277">
        <v>0</v>
      </c>
      <c r="G696" s="278">
        <f t="shared" si="49"/>
        <v>0</v>
      </c>
      <c r="H696" s="122"/>
    </row>
    <row r="697" spans="2:8" s="34" customFormat="1" hidden="1" x14ac:dyDescent="0.2">
      <c r="B697" s="135"/>
      <c r="C697" s="261" t="s">
        <v>198</v>
      </c>
      <c r="D697" s="254" t="s">
        <v>149</v>
      </c>
      <c r="E697" s="255"/>
      <c r="F697" s="277">
        <v>0</v>
      </c>
      <c r="G697" s="278">
        <f t="shared" si="49"/>
        <v>0</v>
      </c>
      <c r="H697" s="122"/>
    </row>
    <row r="698" spans="2:8" s="34" customFormat="1" hidden="1" x14ac:dyDescent="0.2">
      <c r="B698" s="135"/>
      <c r="C698" s="253" t="s">
        <v>1747</v>
      </c>
      <c r="D698" s="254"/>
      <c r="E698" s="255"/>
      <c r="F698" s="256">
        <v>0</v>
      </c>
      <c r="G698" s="257"/>
      <c r="H698" s="122"/>
    </row>
    <row r="699" spans="2:8" s="34" customFormat="1" ht="14.25" hidden="1" customHeight="1" x14ac:dyDescent="0.2">
      <c r="B699" s="135"/>
      <c r="C699" s="258" t="s">
        <v>2409</v>
      </c>
      <c r="D699" s="254" t="s">
        <v>149</v>
      </c>
      <c r="E699" s="255"/>
      <c r="F699" s="277">
        <v>0</v>
      </c>
      <c r="G699" s="278">
        <f t="shared" ref="G699:G706" si="50">E699*F699</f>
        <v>0</v>
      </c>
      <c r="H699" s="122"/>
    </row>
    <row r="700" spans="2:8" s="34" customFormat="1" hidden="1" x14ac:dyDescent="0.2">
      <c r="B700" s="135"/>
      <c r="C700" s="260" t="s">
        <v>354</v>
      </c>
      <c r="D700" s="254" t="s">
        <v>149</v>
      </c>
      <c r="E700" s="255"/>
      <c r="F700" s="277">
        <v>0</v>
      </c>
      <c r="G700" s="278">
        <f t="shared" si="50"/>
        <v>0</v>
      </c>
      <c r="H700" s="122"/>
    </row>
    <row r="701" spans="2:8" s="34" customFormat="1" hidden="1" x14ac:dyDescent="0.2">
      <c r="B701" s="135"/>
      <c r="C701" s="260" t="s">
        <v>239</v>
      </c>
      <c r="D701" s="254" t="s">
        <v>149</v>
      </c>
      <c r="E701" s="255"/>
      <c r="F701" s="277">
        <v>0</v>
      </c>
      <c r="G701" s="278">
        <f t="shared" si="50"/>
        <v>0</v>
      </c>
      <c r="H701" s="122"/>
    </row>
    <row r="702" spans="2:8" s="34" customFormat="1" hidden="1" x14ac:dyDescent="0.2">
      <c r="B702" s="135"/>
      <c r="C702" s="260" t="s">
        <v>240</v>
      </c>
      <c r="D702" s="254" t="s">
        <v>149</v>
      </c>
      <c r="E702" s="255"/>
      <c r="F702" s="277">
        <v>0</v>
      </c>
      <c r="G702" s="278">
        <f t="shared" si="50"/>
        <v>0</v>
      </c>
      <c r="H702" s="122"/>
    </row>
    <row r="703" spans="2:8" s="34" customFormat="1" hidden="1" x14ac:dyDescent="0.2">
      <c r="B703" s="135"/>
      <c r="C703" s="260" t="s">
        <v>241</v>
      </c>
      <c r="D703" s="254" t="s">
        <v>149</v>
      </c>
      <c r="E703" s="255"/>
      <c r="F703" s="277">
        <v>0</v>
      </c>
      <c r="G703" s="278">
        <f t="shared" si="50"/>
        <v>0</v>
      </c>
      <c r="H703" s="122"/>
    </row>
    <row r="704" spans="2:8" s="34" customFormat="1" hidden="1" x14ac:dyDescent="0.2">
      <c r="B704" s="135"/>
      <c r="C704" s="260" t="s">
        <v>242</v>
      </c>
      <c r="D704" s="254" t="s">
        <v>149</v>
      </c>
      <c r="E704" s="255"/>
      <c r="F704" s="277">
        <v>0</v>
      </c>
      <c r="G704" s="278">
        <f t="shared" si="50"/>
        <v>0</v>
      </c>
      <c r="H704" s="122"/>
    </row>
    <row r="705" spans="2:8" s="34" customFormat="1" hidden="1" x14ac:dyDescent="0.2">
      <c r="B705" s="135"/>
      <c r="C705" s="260" t="s">
        <v>227</v>
      </c>
      <c r="D705" s="254" t="s">
        <v>149</v>
      </c>
      <c r="E705" s="255"/>
      <c r="F705" s="277">
        <v>0</v>
      </c>
      <c r="G705" s="278">
        <f t="shared" si="50"/>
        <v>0</v>
      </c>
      <c r="H705" s="122"/>
    </row>
    <row r="706" spans="2:8" s="34" customFormat="1" hidden="1" x14ac:dyDescent="0.2">
      <c r="B706" s="135"/>
      <c r="C706" s="261" t="s">
        <v>198</v>
      </c>
      <c r="D706" s="254" t="s">
        <v>149</v>
      </c>
      <c r="E706" s="255"/>
      <c r="F706" s="277">
        <v>0</v>
      </c>
      <c r="G706" s="278">
        <f t="shared" si="50"/>
        <v>0</v>
      </c>
      <c r="H706" s="122"/>
    </row>
    <row r="707" spans="2:8" s="34" customFormat="1" hidden="1" x14ac:dyDescent="0.2">
      <c r="B707" s="135"/>
      <c r="C707" s="253" t="s">
        <v>232</v>
      </c>
      <c r="D707" s="254"/>
      <c r="E707" s="255"/>
      <c r="F707" s="256">
        <v>0</v>
      </c>
      <c r="G707" s="257"/>
      <c r="H707" s="122"/>
    </row>
    <row r="708" spans="2:8" s="34" customFormat="1" ht="14.25" hidden="1" customHeight="1" x14ac:dyDescent="0.2">
      <c r="B708" s="135"/>
      <c r="C708" s="258" t="s">
        <v>1804</v>
      </c>
      <c r="D708" s="254" t="s">
        <v>149</v>
      </c>
      <c r="E708" s="255"/>
      <c r="F708" s="277">
        <v>0</v>
      </c>
      <c r="G708" s="278">
        <f>E708*F708</f>
        <v>0</v>
      </c>
      <c r="H708" s="122"/>
    </row>
    <row r="709" spans="2:8" s="34" customFormat="1" hidden="1" x14ac:dyDescent="0.2">
      <c r="B709" s="135"/>
      <c r="C709" s="260" t="s">
        <v>195</v>
      </c>
      <c r="D709" s="254" t="s">
        <v>149</v>
      </c>
      <c r="E709" s="255"/>
      <c r="F709" s="277">
        <v>0</v>
      </c>
      <c r="G709" s="278">
        <f>E709*F709</f>
        <v>0</v>
      </c>
      <c r="H709" s="122"/>
    </row>
    <row r="710" spans="2:8" s="34" customFormat="1" hidden="1" x14ac:dyDescent="0.2">
      <c r="B710" s="135"/>
      <c r="C710" s="260" t="s">
        <v>218</v>
      </c>
      <c r="D710" s="254" t="s">
        <v>149</v>
      </c>
      <c r="E710" s="255"/>
      <c r="F710" s="277">
        <v>0</v>
      </c>
      <c r="G710" s="278">
        <f>E710*F710</f>
        <v>0</v>
      </c>
      <c r="H710" s="122"/>
    </row>
    <row r="711" spans="2:8" s="34" customFormat="1" hidden="1" x14ac:dyDescent="0.2">
      <c r="B711" s="135"/>
      <c r="C711" s="260" t="s">
        <v>227</v>
      </c>
      <c r="D711" s="254" t="s">
        <v>149</v>
      </c>
      <c r="E711" s="255"/>
      <c r="F711" s="277">
        <v>0</v>
      </c>
      <c r="G711" s="278">
        <f>E711*F711</f>
        <v>0</v>
      </c>
      <c r="H711" s="122"/>
    </row>
    <row r="712" spans="2:8" s="34" customFormat="1" hidden="1" x14ac:dyDescent="0.2">
      <c r="B712" s="135"/>
      <c r="C712" s="261" t="s">
        <v>198</v>
      </c>
      <c r="D712" s="254" t="s">
        <v>149</v>
      </c>
      <c r="E712" s="255"/>
      <c r="F712" s="277">
        <v>0</v>
      </c>
      <c r="G712" s="278">
        <f>E712*F712</f>
        <v>0</v>
      </c>
      <c r="H712" s="122"/>
    </row>
    <row r="713" spans="2:8" s="34" customFormat="1" hidden="1" x14ac:dyDescent="0.2">
      <c r="B713" s="135"/>
      <c r="C713" s="253" t="s">
        <v>234</v>
      </c>
      <c r="D713" s="254"/>
      <c r="E713" s="255"/>
      <c r="F713" s="256">
        <v>0</v>
      </c>
      <c r="G713" s="257"/>
      <c r="H713" s="122"/>
    </row>
    <row r="714" spans="2:8" s="34" customFormat="1" ht="14.25" hidden="1" customHeight="1" x14ac:dyDescent="0.2">
      <c r="B714" s="135"/>
      <c r="C714" s="258" t="s">
        <v>1804</v>
      </c>
      <c r="D714" s="254" t="s">
        <v>149</v>
      </c>
      <c r="E714" s="255"/>
      <c r="F714" s="277">
        <v>0</v>
      </c>
      <c r="G714" s="278">
        <f t="shared" ref="G714:G720" si="51">E714*F714</f>
        <v>0</v>
      </c>
      <c r="H714" s="122"/>
    </row>
    <row r="715" spans="2:8" s="34" customFormat="1" hidden="1" x14ac:dyDescent="0.2">
      <c r="B715" s="135"/>
      <c r="C715" s="260" t="s">
        <v>195</v>
      </c>
      <c r="D715" s="254" t="s">
        <v>149</v>
      </c>
      <c r="E715" s="255"/>
      <c r="F715" s="277">
        <v>0</v>
      </c>
      <c r="G715" s="278">
        <f t="shared" si="51"/>
        <v>0</v>
      </c>
      <c r="H715" s="122"/>
    </row>
    <row r="716" spans="2:8" s="34" customFormat="1" hidden="1" x14ac:dyDescent="0.2">
      <c r="B716" s="135"/>
      <c r="C716" s="260" t="s">
        <v>235</v>
      </c>
      <c r="D716" s="254" t="s">
        <v>149</v>
      </c>
      <c r="E716" s="255"/>
      <c r="F716" s="277">
        <v>0</v>
      </c>
      <c r="G716" s="278">
        <f t="shared" si="51"/>
        <v>0</v>
      </c>
      <c r="H716" s="122"/>
    </row>
    <row r="717" spans="2:8" s="34" customFormat="1" hidden="1" x14ac:dyDescent="0.2">
      <c r="B717" s="135"/>
      <c r="C717" s="260" t="s">
        <v>218</v>
      </c>
      <c r="D717" s="254" t="s">
        <v>149</v>
      </c>
      <c r="E717" s="255"/>
      <c r="F717" s="277">
        <v>0</v>
      </c>
      <c r="G717" s="278">
        <f t="shared" si="51"/>
        <v>0</v>
      </c>
      <c r="H717" s="122"/>
    </row>
    <row r="718" spans="2:8" s="34" customFormat="1" hidden="1" x14ac:dyDescent="0.2">
      <c r="B718" s="135"/>
      <c r="C718" s="260" t="s">
        <v>236</v>
      </c>
      <c r="D718" s="254" t="s">
        <v>149</v>
      </c>
      <c r="E718" s="255"/>
      <c r="F718" s="277">
        <v>0</v>
      </c>
      <c r="G718" s="278">
        <f t="shared" si="51"/>
        <v>0</v>
      </c>
      <c r="H718" s="122"/>
    </row>
    <row r="719" spans="2:8" s="34" customFormat="1" hidden="1" x14ac:dyDescent="0.2">
      <c r="B719" s="135"/>
      <c r="C719" s="260" t="s">
        <v>227</v>
      </c>
      <c r="D719" s="254" t="s">
        <v>149</v>
      </c>
      <c r="E719" s="255"/>
      <c r="F719" s="277">
        <v>0</v>
      </c>
      <c r="G719" s="278">
        <f t="shared" si="51"/>
        <v>0</v>
      </c>
      <c r="H719" s="122"/>
    </row>
    <row r="720" spans="2:8" s="34" customFormat="1" hidden="1" x14ac:dyDescent="0.2">
      <c r="B720" s="135"/>
      <c r="C720" s="261" t="s">
        <v>198</v>
      </c>
      <c r="D720" s="254" t="s">
        <v>149</v>
      </c>
      <c r="E720" s="255"/>
      <c r="F720" s="277">
        <v>0</v>
      </c>
      <c r="G720" s="278">
        <f t="shared" si="51"/>
        <v>0</v>
      </c>
      <c r="H720" s="122"/>
    </row>
    <row r="721" spans="2:8" s="34" customFormat="1" hidden="1" x14ac:dyDescent="0.2">
      <c r="B721" s="135"/>
      <c r="C721" s="253" t="s">
        <v>1773</v>
      </c>
      <c r="D721" s="254"/>
      <c r="E721" s="255"/>
      <c r="F721" s="256">
        <v>0</v>
      </c>
      <c r="G721" s="257"/>
      <c r="H721" s="122"/>
    </row>
    <row r="722" spans="2:8" s="34" customFormat="1" ht="14.25" hidden="1" customHeight="1" x14ac:dyDescent="0.2">
      <c r="B722" s="135"/>
      <c r="C722" s="258" t="s">
        <v>2410</v>
      </c>
      <c r="D722" s="254" t="s">
        <v>149</v>
      </c>
      <c r="E722" s="255"/>
      <c r="F722" s="277">
        <v>0</v>
      </c>
      <c r="G722" s="278">
        <f t="shared" ref="G722:G728" si="52">E722*F722</f>
        <v>0</v>
      </c>
      <c r="H722" s="122"/>
    </row>
    <row r="723" spans="2:8" s="34" customFormat="1" hidden="1" x14ac:dyDescent="0.2">
      <c r="B723" s="135"/>
      <c r="C723" s="260" t="s">
        <v>195</v>
      </c>
      <c r="D723" s="254" t="s">
        <v>149</v>
      </c>
      <c r="E723" s="255"/>
      <c r="F723" s="277">
        <v>0</v>
      </c>
      <c r="G723" s="278">
        <f t="shared" si="52"/>
        <v>0</v>
      </c>
      <c r="H723" s="122"/>
    </row>
    <row r="724" spans="2:8" s="34" customFormat="1" hidden="1" x14ac:dyDescent="0.2">
      <c r="B724" s="135"/>
      <c r="C724" s="260" t="s">
        <v>239</v>
      </c>
      <c r="D724" s="254" t="s">
        <v>149</v>
      </c>
      <c r="E724" s="255"/>
      <c r="F724" s="277">
        <v>0</v>
      </c>
      <c r="G724" s="278">
        <f t="shared" si="52"/>
        <v>0</v>
      </c>
      <c r="H724" s="122"/>
    </row>
    <row r="725" spans="2:8" s="34" customFormat="1" hidden="1" x14ac:dyDescent="0.2">
      <c r="B725" s="135"/>
      <c r="C725" s="260" t="s">
        <v>218</v>
      </c>
      <c r="D725" s="254" t="s">
        <v>149</v>
      </c>
      <c r="E725" s="255"/>
      <c r="F725" s="277">
        <v>0</v>
      </c>
      <c r="G725" s="278">
        <f t="shared" si="52"/>
        <v>0</v>
      </c>
      <c r="H725" s="122"/>
    </row>
    <row r="726" spans="2:8" s="34" customFormat="1" hidden="1" x14ac:dyDescent="0.2">
      <c r="B726" s="135"/>
      <c r="C726" s="260" t="s">
        <v>240</v>
      </c>
      <c r="D726" s="254" t="s">
        <v>149</v>
      </c>
      <c r="E726" s="255"/>
      <c r="F726" s="277">
        <v>0</v>
      </c>
      <c r="G726" s="278">
        <f t="shared" si="52"/>
        <v>0</v>
      </c>
      <c r="H726" s="122"/>
    </row>
    <row r="727" spans="2:8" s="34" customFormat="1" hidden="1" x14ac:dyDescent="0.2">
      <c r="B727" s="135"/>
      <c r="C727" s="260" t="s">
        <v>227</v>
      </c>
      <c r="D727" s="254" t="s">
        <v>149</v>
      </c>
      <c r="E727" s="255"/>
      <c r="F727" s="277">
        <v>0</v>
      </c>
      <c r="G727" s="278">
        <f t="shared" si="52"/>
        <v>0</v>
      </c>
      <c r="H727" s="122"/>
    </row>
    <row r="728" spans="2:8" s="34" customFormat="1" hidden="1" x14ac:dyDescent="0.2">
      <c r="B728" s="135"/>
      <c r="C728" s="261" t="s">
        <v>198</v>
      </c>
      <c r="D728" s="254" t="s">
        <v>149</v>
      </c>
      <c r="E728" s="255"/>
      <c r="F728" s="277">
        <v>0</v>
      </c>
      <c r="G728" s="278">
        <f t="shared" si="52"/>
        <v>0</v>
      </c>
      <c r="H728" s="122"/>
    </row>
    <row r="729" spans="2:8" s="34" customFormat="1" hidden="1" x14ac:dyDescent="0.2">
      <c r="B729" s="135"/>
      <c r="C729" s="253" t="s">
        <v>237</v>
      </c>
      <c r="D729" s="254"/>
      <c r="E729" s="255"/>
      <c r="F729" s="256">
        <v>0</v>
      </c>
      <c r="G729" s="257"/>
      <c r="H729" s="122"/>
    </row>
    <row r="730" spans="2:8" s="34" customFormat="1" ht="14.25" hidden="1" customHeight="1" x14ac:dyDescent="0.2">
      <c r="B730" s="135"/>
      <c r="C730" s="258" t="s">
        <v>2410</v>
      </c>
      <c r="D730" s="254" t="s">
        <v>149</v>
      </c>
      <c r="E730" s="255"/>
      <c r="F730" s="277">
        <v>0</v>
      </c>
      <c r="G730" s="278">
        <f t="shared" ref="G730:G738" si="53">E730*F730</f>
        <v>0</v>
      </c>
      <c r="H730" s="122"/>
    </row>
    <row r="731" spans="2:8" s="34" customFormat="1" hidden="1" x14ac:dyDescent="0.2">
      <c r="B731" s="135"/>
      <c r="C731" s="260" t="s">
        <v>195</v>
      </c>
      <c r="D731" s="254" t="s">
        <v>149</v>
      </c>
      <c r="E731" s="255"/>
      <c r="F731" s="277">
        <v>0</v>
      </c>
      <c r="G731" s="278">
        <f t="shared" si="53"/>
        <v>0</v>
      </c>
      <c r="H731" s="122"/>
    </row>
    <row r="732" spans="2:8" s="34" customFormat="1" hidden="1" x14ac:dyDescent="0.2">
      <c r="B732" s="135"/>
      <c r="C732" s="260" t="s">
        <v>239</v>
      </c>
      <c r="D732" s="254" t="s">
        <v>149</v>
      </c>
      <c r="E732" s="255"/>
      <c r="F732" s="277">
        <v>0</v>
      </c>
      <c r="G732" s="278">
        <f t="shared" si="53"/>
        <v>0</v>
      </c>
      <c r="H732" s="122"/>
    </row>
    <row r="733" spans="2:8" s="34" customFormat="1" hidden="1" x14ac:dyDescent="0.2">
      <c r="B733" s="135"/>
      <c r="C733" s="260" t="s">
        <v>218</v>
      </c>
      <c r="D733" s="254" t="s">
        <v>149</v>
      </c>
      <c r="E733" s="255"/>
      <c r="F733" s="277">
        <v>0</v>
      </c>
      <c r="G733" s="278">
        <f t="shared" si="53"/>
        <v>0</v>
      </c>
      <c r="H733" s="122"/>
    </row>
    <row r="734" spans="2:8" s="34" customFormat="1" hidden="1" x14ac:dyDescent="0.2">
      <c r="B734" s="135"/>
      <c r="C734" s="260" t="s">
        <v>240</v>
      </c>
      <c r="D734" s="254" t="s">
        <v>149</v>
      </c>
      <c r="E734" s="255"/>
      <c r="F734" s="277">
        <v>0</v>
      </c>
      <c r="G734" s="278">
        <f t="shared" si="53"/>
        <v>0</v>
      </c>
      <c r="H734" s="122"/>
    </row>
    <row r="735" spans="2:8" s="34" customFormat="1" hidden="1" x14ac:dyDescent="0.2">
      <c r="B735" s="135"/>
      <c r="C735" s="260" t="s">
        <v>241</v>
      </c>
      <c r="D735" s="254" t="s">
        <v>149</v>
      </c>
      <c r="E735" s="255"/>
      <c r="F735" s="277">
        <v>0</v>
      </c>
      <c r="G735" s="278">
        <f t="shared" si="53"/>
        <v>0</v>
      </c>
      <c r="H735" s="122"/>
    </row>
    <row r="736" spans="2:8" s="34" customFormat="1" hidden="1" x14ac:dyDescent="0.2">
      <c r="B736" s="135"/>
      <c r="C736" s="260" t="s">
        <v>242</v>
      </c>
      <c r="D736" s="254" t="s">
        <v>149</v>
      </c>
      <c r="E736" s="255"/>
      <c r="F736" s="277">
        <v>0</v>
      </c>
      <c r="G736" s="278">
        <f t="shared" si="53"/>
        <v>0</v>
      </c>
      <c r="H736" s="122"/>
    </row>
    <row r="737" spans="2:8" s="34" customFormat="1" hidden="1" x14ac:dyDescent="0.2">
      <c r="B737" s="135"/>
      <c r="C737" s="260" t="s">
        <v>227</v>
      </c>
      <c r="D737" s="254" t="s">
        <v>149</v>
      </c>
      <c r="E737" s="255"/>
      <c r="F737" s="277">
        <v>0</v>
      </c>
      <c r="G737" s="278">
        <f t="shared" si="53"/>
        <v>0</v>
      </c>
      <c r="H737" s="122"/>
    </row>
    <row r="738" spans="2:8" s="34" customFormat="1" hidden="1" x14ac:dyDescent="0.2">
      <c r="B738" s="135"/>
      <c r="C738" s="261" t="s">
        <v>198</v>
      </c>
      <c r="D738" s="254" t="s">
        <v>149</v>
      </c>
      <c r="E738" s="255"/>
      <c r="F738" s="277">
        <v>0</v>
      </c>
      <c r="G738" s="278">
        <f t="shared" si="53"/>
        <v>0</v>
      </c>
      <c r="H738" s="122"/>
    </row>
    <row r="739" spans="2:8" s="34" customFormat="1" hidden="1" x14ac:dyDescent="0.2">
      <c r="B739" s="135"/>
      <c r="C739" s="253" t="s">
        <v>1753</v>
      </c>
      <c r="D739" s="254"/>
      <c r="E739" s="255"/>
      <c r="F739" s="256">
        <v>0</v>
      </c>
      <c r="G739" s="257"/>
      <c r="H739" s="122"/>
    </row>
    <row r="740" spans="2:8" s="34" customFormat="1" ht="14.25" hidden="1" customHeight="1" x14ac:dyDescent="0.2">
      <c r="B740" s="135"/>
      <c r="C740" s="258" t="s">
        <v>1804</v>
      </c>
      <c r="D740" s="254" t="s">
        <v>149</v>
      </c>
      <c r="E740" s="255"/>
      <c r="F740" s="277">
        <v>0</v>
      </c>
      <c r="G740" s="278">
        <f>E740*F740</f>
        <v>0</v>
      </c>
      <c r="H740" s="122"/>
    </row>
    <row r="741" spans="2:8" s="34" customFormat="1" hidden="1" x14ac:dyDescent="0.2">
      <c r="B741" s="135"/>
      <c r="C741" s="260" t="s">
        <v>235</v>
      </c>
      <c r="D741" s="254" t="s">
        <v>149</v>
      </c>
      <c r="E741" s="255"/>
      <c r="F741" s="277">
        <v>0</v>
      </c>
      <c r="G741" s="278">
        <f>E741*F741</f>
        <v>0</v>
      </c>
      <c r="H741" s="122"/>
    </row>
    <row r="742" spans="2:8" s="34" customFormat="1" hidden="1" x14ac:dyDescent="0.2">
      <c r="B742" s="135"/>
      <c r="C742" s="260" t="s">
        <v>236</v>
      </c>
      <c r="D742" s="254" t="s">
        <v>149</v>
      </c>
      <c r="E742" s="255"/>
      <c r="F742" s="277">
        <v>0</v>
      </c>
      <c r="G742" s="278">
        <f>E742*F742</f>
        <v>0</v>
      </c>
      <c r="H742" s="122"/>
    </row>
    <row r="743" spans="2:8" s="34" customFormat="1" hidden="1" x14ac:dyDescent="0.2">
      <c r="B743" s="135"/>
      <c r="C743" s="260" t="s">
        <v>227</v>
      </c>
      <c r="D743" s="254" t="s">
        <v>149</v>
      </c>
      <c r="E743" s="255"/>
      <c r="F743" s="277">
        <v>0</v>
      </c>
      <c r="G743" s="278">
        <f>E743*F743</f>
        <v>0</v>
      </c>
      <c r="H743" s="122"/>
    </row>
    <row r="744" spans="2:8" s="34" customFormat="1" hidden="1" x14ac:dyDescent="0.2">
      <c r="B744" s="135"/>
      <c r="C744" s="261" t="s">
        <v>198</v>
      </c>
      <c r="D744" s="254" t="s">
        <v>149</v>
      </c>
      <c r="E744" s="255"/>
      <c r="F744" s="277">
        <v>0</v>
      </c>
      <c r="G744" s="278">
        <f>E744*F744</f>
        <v>0</v>
      </c>
      <c r="H744" s="122"/>
    </row>
    <row r="745" spans="2:8" s="34" customFormat="1" hidden="1" x14ac:dyDescent="0.2">
      <c r="B745" s="135"/>
      <c r="C745" s="253" t="s">
        <v>1748</v>
      </c>
      <c r="D745" s="254"/>
      <c r="E745" s="255"/>
      <c r="F745" s="256">
        <v>0</v>
      </c>
      <c r="G745" s="257"/>
      <c r="H745" s="122"/>
    </row>
    <row r="746" spans="2:8" s="34" customFormat="1" ht="14.25" hidden="1" customHeight="1" x14ac:dyDescent="0.2">
      <c r="B746" s="135"/>
      <c r="C746" s="258" t="s">
        <v>2410</v>
      </c>
      <c r="D746" s="254" t="s">
        <v>149</v>
      </c>
      <c r="E746" s="255"/>
      <c r="F746" s="277">
        <v>0</v>
      </c>
      <c r="G746" s="278">
        <f t="shared" ref="G746:G752" si="54">E746*F746</f>
        <v>0</v>
      </c>
      <c r="H746" s="122"/>
    </row>
    <row r="747" spans="2:8" s="34" customFormat="1" hidden="1" x14ac:dyDescent="0.2">
      <c r="B747" s="135"/>
      <c r="C747" s="260" t="s">
        <v>235</v>
      </c>
      <c r="D747" s="254" t="s">
        <v>149</v>
      </c>
      <c r="E747" s="255"/>
      <c r="F747" s="277">
        <v>0</v>
      </c>
      <c r="G747" s="278">
        <f t="shared" si="54"/>
        <v>0</v>
      </c>
      <c r="H747" s="122"/>
    </row>
    <row r="748" spans="2:8" s="34" customFormat="1" hidden="1" x14ac:dyDescent="0.2">
      <c r="B748" s="135"/>
      <c r="C748" s="260" t="s">
        <v>239</v>
      </c>
      <c r="D748" s="254" t="s">
        <v>149</v>
      </c>
      <c r="E748" s="255"/>
      <c r="F748" s="277">
        <v>0</v>
      </c>
      <c r="G748" s="278">
        <f t="shared" si="54"/>
        <v>0</v>
      </c>
      <c r="H748" s="122"/>
    </row>
    <row r="749" spans="2:8" s="34" customFormat="1" hidden="1" x14ac:dyDescent="0.2">
      <c r="B749" s="135"/>
      <c r="C749" s="260" t="s">
        <v>236</v>
      </c>
      <c r="D749" s="254" t="s">
        <v>149</v>
      </c>
      <c r="E749" s="255"/>
      <c r="F749" s="277">
        <v>0</v>
      </c>
      <c r="G749" s="278">
        <f t="shared" si="54"/>
        <v>0</v>
      </c>
      <c r="H749" s="122"/>
    </row>
    <row r="750" spans="2:8" s="34" customFormat="1" hidden="1" x14ac:dyDescent="0.2">
      <c r="B750" s="135"/>
      <c r="C750" s="260" t="s">
        <v>240</v>
      </c>
      <c r="D750" s="254" t="s">
        <v>149</v>
      </c>
      <c r="E750" s="255"/>
      <c r="F750" s="277">
        <v>0</v>
      </c>
      <c r="G750" s="278">
        <f t="shared" si="54"/>
        <v>0</v>
      </c>
      <c r="H750" s="122"/>
    </row>
    <row r="751" spans="2:8" s="34" customFormat="1" hidden="1" x14ac:dyDescent="0.2">
      <c r="B751" s="135"/>
      <c r="C751" s="260" t="s">
        <v>227</v>
      </c>
      <c r="D751" s="254" t="s">
        <v>149</v>
      </c>
      <c r="E751" s="255"/>
      <c r="F751" s="277">
        <v>0</v>
      </c>
      <c r="G751" s="278">
        <f t="shared" si="54"/>
        <v>0</v>
      </c>
      <c r="H751" s="122"/>
    </row>
    <row r="752" spans="2:8" s="34" customFormat="1" hidden="1" x14ac:dyDescent="0.2">
      <c r="B752" s="135"/>
      <c r="C752" s="261" t="s">
        <v>198</v>
      </c>
      <c r="D752" s="254" t="s">
        <v>149</v>
      </c>
      <c r="E752" s="255"/>
      <c r="F752" s="277">
        <v>0</v>
      </c>
      <c r="G752" s="278">
        <f t="shared" si="54"/>
        <v>0</v>
      </c>
      <c r="H752" s="122"/>
    </row>
    <row r="753" spans="2:8" s="34" customFormat="1" hidden="1" x14ac:dyDescent="0.2">
      <c r="B753" s="135"/>
      <c r="C753" s="253" t="s">
        <v>844</v>
      </c>
      <c r="D753" s="254"/>
      <c r="E753" s="255"/>
      <c r="F753" s="256">
        <v>0</v>
      </c>
      <c r="G753" s="257"/>
      <c r="H753" s="122"/>
    </row>
    <row r="754" spans="2:8" s="34" customFormat="1" ht="14.25" hidden="1" customHeight="1" x14ac:dyDescent="0.2">
      <c r="B754" s="135"/>
      <c r="C754" s="258" t="s">
        <v>2410</v>
      </c>
      <c r="D754" s="254" t="s">
        <v>149</v>
      </c>
      <c r="E754" s="255"/>
      <c r="F754" s="277">
        <v>0</v>
      </c>
      <c r="G754" s="278">
        <f t="shared" ref="G754:G762" si="55">E754*F754</f>
        <v>0</v>
      </c>
      <c r="H754" s="122"/>
    </row>
    <row r="755" spans="2:8" s="34" customFormat="1" hidden="1" x14ac:dyDescent="0.2">
      <c r="B755" s="135"/>
      <c r="C755" s="260" t="s">
        <v>235</v>
      </c>
      <c r="D755" s="254" t="s">
        <v>149</v>
      </c>
      <c r="E755" s="255"/>
      <c r="F755" s="277">
        <v>0</v>
      </c>
      <c r="G755" s="278">
        <f t="shared" si="55"/>
        <v>0</v>
      </c>
      <c r="H755" s="122"/>
    </row>
    <row r="756" spans="2:8" s="34" customFormat="1" hidden="1" x14ac:dyDescent="0.2">
      <c r="B756" s="135"/>
      <c r="C756" s="260" t="s">
        <v>239</v>
      </c>
      <c r="D756" s="254" t="s">
        <v>149</v>
      </c>
      <c r="E756" s="255"/>
      <c r="F756" s="277">
        <v>0</v>
      </c>
      <c r="G756" s="278">
        <f t="shared" si="55"/>
        <v>0</v>
      </c>
      <c r="H756" s="122"/>
    </row>
    <row r="757" spans="2:8" s="34" customFormat="1" hidden="1" x14ac:dyDescent="0.2">
      <c r="B757" s="135"/>
      <c r="C757" s="260" t="s">
        <v>236</v>
      </c>
      <c r="D757" s="254" t="s">
        <v>149</v>
      </c>
      <c r="E757" s="255"/>
      <c r="F757" s="277">
        <v>0</v>
      </c>
      <c r="G757" s="278">
        <f t="shared" si="55"/>
        <v>0</v>
      </c>
      <c r="H757" s="122"/>
    </row>
    <row r="758" spans="2:8" s="34" customFormat="1" hidden="1" x14ac:dyDescent="0.2">
      <c r="B758" s="135"/>
      <c r="C758" s="260" t="s">
        <v>240</v>
      </c>
      <c r="D758" s="254" t="s">
        <v>149</v>
      </c>
      <c r="E758" s="255"/>
      <c r="F758" s="277">
        <v>0</v>
      </c>
      <c r="G758" s="278">
        <f t="shared" si="55"/>
        <v>0</v>
      </c>
      <c r="H758" s="122"/>
    </row>
    <row r="759" spans="2:8" s="34" customFormat="1" hidden="1" x14ac:dyDescent="0.2">
      <c r="B759" s="135"/>
      <c r="C759" s="260" t="s">
        <v>241</v>
      </c>
      <c r="D759" s="254" t="s">
        <v>149</v>
      </c>
      <c r="E759" s="255"/>
      <c r="F759" s="277">
        <v>0</v>
      </c>
      <c r="G759" s="278">
        <f t="shared" si="55"/>
        <v>0</v>
      </c>
      <c r="H759" s="122"/>
    </row>
    <row r="760" spans="2:8" s="34" customFormat="1" hidden="1" x14ac:dyDescent="0.2">
      <c r="B760" s="135"/>
      <c r="C760" s="260" t="s">
        <v>242</v>
      </c>
      <c r="D760" s="254" t="s">
        <v>149</v>
      </c>
      <c r="E760" s="255"/>
      <c r="F760" s="277">
        <v>0</v>
      </c>
      <c r="G760" s="278">
        <f t="shared" si="55"/>
        <v>0</v>
      </c>
      <c r="H760" s="122"/>
    </row>
    <row r="761" spans="2:8" s="34" customFormat="1" hidden="1" x14ac:dyDescent="0.2">
      <c r="B761" s="135"/>
      <c r="C761" s="260" t="s">
        <v>227</v>
      </c>
      <c r="D761" s="254" t="s">
        <v>149</v>
      </c>
      <c r="E761" s="255"/>
      <c r="F761" s="277">
        <v>0</v>
      </c>
      <c r="G761" s="278">
        <f t="shared" si="55"/>
        <v>0</v>
      </c>
      <c r="H761" s="122"/>
    </row>
    <row r="762" spans="2:8" s="34" customFormat="1" hidden="1" x14ac:dyDescent="0.2">
      <c r="B762" s="135"/>
      <c r="C762" s="261" t="s">
        <v>198</v>
      </c>
      <c r="D762" s="254" t="s">
        <v>149</v>
      </c>
      <c r="E762" s="255"/>
      <c r="F762" s="277">
        <v>0</v>
      </c>
      <c r="G762" s="278">
        <f t="shared" si="55"/>
        <v>0</v>
      </c>
      <c r="H762" s="122"/>
    </row>
    <row r="763" spans="2:8" s="34" customFormat="1" hidden="1" x14ac:dyDescent="0.2">
      <c r="B763" s="292" t="s">
        <v>243</v>
      </c>
      <c r="C763" s="247" t="s">
        <v>244</v>
      </c>
      <c r="D763" s="202"/>
      <c r="E763" s="248"/>
      <c r="F763" s="249"/>
      <c r="G763" s="205"/>
      <c r="H763" s="122"/>
    </row>
    <row r="764" spans="2:8" s="34" customFormat="1" hidden="1" x14ac:dyDescent="0.2">
      <c r="B764" s="135"/>
      <c r="C764" s="247" t="s">
        <v>1106</v>
      </c>
      <c r="D764" s="202"/>
      <c r="E764" s="248"/>
      <c r="F764" s="249">
        <v>0</v>
      </c>
      <c r="G764" s="205"/>
      <c r="H764" s="122"/>
    </row>
    <row r="765" spans="2:8" s="34" customFormat="1" ht="24.75" hidden="1" customHeight="1" x14ac:dyDescent="0.2">
      <c r="B765" s="135"/>
      <c r="C765" s="262" t="s">
        <v>2411</v>
      </c>
      <c r="D765" s="202" t="s">
        <v>149</v>
      </c>
      <c r="E765" s="248"/>
      <c r="F765" s="275">
        <v>0</v>
      </c>
      <c r="G765" s="276">
        <f>E765*F765</f>
        <v>0</v>
      </c>
      <c r="H765" s="122"/>
    </row>
    <row r="766" spans="2:8" s="34" customFormat="1" hidden="1" x14ac:dyDescent="0.2">
      <c r="B766" s="135"/>
      <c r="C766" s="251" t="s">
        <v>247</v>
      </c>
      <c r="D766" s="202" t="s">
        <v>149</v>
      </c>
      <c r="E766" s="248"/>
      <c r="F766" s="275">
        <v>0</v>
      </c>
      <c r="G766" s="276">
        <f>E766*F766</f>
        <v>0</v>
      </c>
      <c r="H766" s="122"/>
    </row>
    <row r="767" spans="2:8" s="34" customFormat="1" hidden="1" x14ac:dyDescent="0.2">
      <c r="B767" s="135"/>
      <c r="C767" s="263" t="s">
        <v>248</v>
      </c>
      <c r="D767" s="202" t="s">
        <v>149</v>
      </c>
      <c r="E767" s="248"/>
      <c r="F767" s="275">
        <v>0</v>
      </c>
      <c r="G767" s="276">
        <f>E767*F767</f>
        <v>0</v>
      </c>
      <c r="H767" s="122"/>
    </row>
    <row r="768" spans="2:8" s="34" customFormat="1" hidden="1" x14ac:dyDescent="0.2">
      <c r="B768" s="135"/>
      <c r="C768" s="247" t="s">
        <v>2412</v>
      </c>
      <c r="D768" s="202"/>
      <c r="E768" s="248"/>
      <c r="F768" s="249">
        <v>0</v>
      </c>
      <c r="G768" s="205"/>
      <c r="H768" s="122"/>
    </row>
    <row r="769" spans="2:8" s="34" customFormat="1" ht="24.75" hidden="1" customHeight="1" x14ac:dyDescent="0.2">
      <c r="B769" s="135"/>
      <c r="C769" s="262" t="s">
        <v>2413</v>
      </c>
      <c r="D769" s="202" t="s">
        <v>149</v>
      </c>
      <c r="E769" s="248"/>
      <c r="F769" s="275">
        <v>0</v>
      </c>
      <c r="G769" s="276">
        <f>E769*F769</f>
        <v>0</v>
      </c>
      <c r="H769" s="122"/>
    </row>
    <row r="770" spans="2:8" s="34" customFormat="1" hidden="1" x14ac:dyDescent="0.2">
      <c r="B770" s="135"/>
      <c r="C770" s="251" t="s">
        <v>247</v>
      </c>
      <c r="D770" s="202" t="s">
        <v>149</v>
      </c>
      <c r="E770" s="248"/>
      <c r="F770" s="275">
        <v>0</v>
      </c>
      <c r="G770" s="276">
        <f>E770*F770</f>
        <v>0</v>
      </c>
      <c r="H770" s="122"/>
    </row>
    <row r="771" spans="2:8" s="34" customFormat="1" hidden="1" x14ac:dyDescent="0.2">
      <c r="B771" s="135"/>
      <c r="C771" s="263" t="s">
        <v>248</v>
      </c>
      <c r="D771" s="202" t="s">
        <v>149</v>
      </c>
      <c r="E771" s="248"/>
      <c r="F771" s="275">
        <v>0</v>
      </c>
      <c r="G771" s="276">
        <f>E771*F771</f>
        <v>0</v>
      </c>
      <c r="H771" s="122"/>
    </row>
    <row r="772" spans="2:8" s="34" customFormat="1" hidden="1" x14ac:dyDescent="0.2">
      <c r="B772" s="135"/>
      <c r="C772" s="247" t="s">
        <v>1749</v>
      </c>
      <c r="D772" s="202"/>
      <c r="E772" s="248"/>
      <c r="F772" s="249">
        <v>0</v>
      </c>
      <c r="G772" s="205"/>
      <c r="H772" s="122"/>
    </row>
    <row r="773" spans="2:8" s="34" customFormat="1" ht="24.75" hidden="1" customHeight="1" x14ac:dyDescent="0.2">
      <c r="B773" s="135"/>
      <c r="C773" s="262" t="s">
        <v>2414</v>
      </c>
      <c r="D773" s="202" t="s">
        <v>149</v>
      </c>
      <c r="E773" s="248"/>
      <c r="F773" s="275">
        <v>0</v>
      </c>
      <c r="G773" s="276">
        <f>E773*F773</f>
        <v>0</v>
      </c>
      <c r="H773" s="122"/>
    </row>
    <row r="774" spans="2:8" s="34" customFormat="1" hidden="1" x14ac:dyDescent="0.2">
      <c r="B774" s="135"/>
      <c r="C774" s="251" t="s">
        <v>247</v>
      </c>
      <c r="D774" s="202" t="s">
        <v>149</v>
      </c>
      <c r="E774" s="248"/>
      <c r="F774" s="275">
        <v>0</v>
      </c>
      <c r="G774" s="276">
        <f>E774*F774</f>
        <v>0</v>
      </c>
      <c r="H774" s="122"/>
    </row>
    <row r="775" spans="2:8" s="34" customFormat="1" hidden="1" x14ac:dyDescent="0.2">
      <c r="B775" s="135"/>
      <c r="C775" s="263" t="s">
        <v>248</v>
      </c>
      <c r="D775" s="202" t="s">
        <v>149</v>
      </c>
      <c r="E775" s="248"/>
      <c r="F775" s="275">
        <v>0</v>
      </c>
      <c r="G775" s="276">
        <f>E775*F775</f>
        <v>0</v>
      </c>
      <c r="H775" s="122"/>
    </row>
    <row r="776" spans="2:8" s="34" customFormat="1" hidden="1" x14ac:dyDescent="0.2">
      <c r="B776" s="135"/>
      <c r="C776" s="247" t="s">
        <v>1108</v>
      </c>
      <c r="D776" s="202"/>
      <c r="E776" s="248"/>
      <c r="F776" s="249">
        <v>0</v>
      </c>
      <c r="G776" s="205"/>
      <c r="H776" s="122"/>
    </row>
    <row r="777" spans="2:8" s="34" customFormat="1" ht="24" hidden="1" x14ac:dyDescent="0.2">
      <c r="B777" s="135"/>
      <c r="C777" s="262" t="s">
        <v>813</v>
      </c>
      <c r="D777" s="202" t="s">
        <v>149</v>
      </c>
      <c r="E777" s="248"/>
      <c r="F777" s="275">
        <v>0</v>
      </c>
      <c r="G777" s="276">
        <f>E777*F777</f>
        <v>0</v>
      </c>
      <c r="H777" s="122"/>
    </row>
    <row r="778" spans="2:8" s="34" customFormat="1" hidden="1" x14ac:dyDescent="0.2">
      <c r="B778" s="135"/>
      <c r="C778" s="251" t="s">
        <v>247</v>
      </c>
      <c r="D778" s="202" t="s">
        <v>149</v>
      </c>
      <c r="E778" s="248"/>
      <c r="F778" s="275">
        <v>0</v>
      </c>
      <c r="G778" s="276">
        <f>E778*F778</f>
        <v>0</v>
      </c>
      <c r="H778" s="122"/>
    </row>
    <row r="779" spans="2:8" s="34" customFormat="1" hidden="1" x14ac:dyDescent="0.2">
      <c r="B779" s="135"/>
      <c r="C779" s="252" t="s">
        <v>198</v>
      </c>
      <c r="D779" s="202" t="s">
        <v>149</v>
      </c>
      <c r="E779" s="248"/>
      <c r="F779" s="275">
        <v>0</v>
      </c>
      <c r="G779" s="276">
        <f>E779*F779</f>
        <v>0</v>
      </c>
      <c r="H779" s="122"/>
    </row>
    <row r="780" spans="2:8" s="34" customFormat="1" hidden="1" x14ac:dyDescent="0.2">
      <c r="B780" s="135"/>
      <c r="C780" s="247" t="s">
        <v>1777</v>
      </c>
      <c r="D780" s="202"/>
      <c r="E780" s="248"/>
      <c r="F780" s="249">
        <v>0</v>
      </c>
      <c r="G780" s="205"/>
      <c r="H780" s="122"/>
    </row>
    <row r="781" spans="2:8" s="34" customFormat="1" ht="24.75" hidden="1" customHeight="1" x14ac:dyDescent="0.2">
      <c r="B781" s="135"/>
      <c r="C781" s="262" t="s">
        <v>2415</v>
      </c>
      <c r="D781" s="202" t="s">
        <v>149</v>
      </c>
      <c r="E781" s="248"/>
      <c r="F781" s="275">
        <v>0</v>
      </c>
      <c r="G781" s="276">
        <f>E781*F781</f>
        <v>0</v>
      </c>
      <c r="H781" s="122"/>
    </row>
    <row r="782" spans="2:8" s="34" customFormat="1" hidden="1" x14ac:dyDescent="0.2">
      <c r="B782" s="135"/>
      <c r="C782" s="251" t="s">
        <v>247</v>
      </c>
      <c r="D782" s="202" t="s">
        <v>149</v>
      </c>
      <c r="E782" s="248"/>
      <c r="F782" s="275">
        <v>0</v>
      </c>
      <c r="G782" s="276">
        <f>E782*F782</f>
        <v>0</v>
      </c>
      <c r="H782" s="122"/>
    </row>
    <row r="783" spans="2:8" s="34" customFormat="1" hidden="1" x14ac:dyDescent="0.2">
      <c r="B783" s="135"/>
      <c r="C783" s="263" t="s">
        <v>248</v>
      </c>
      <c r="D783" s="202" t="s">
        <v>149</v>
      </c>
      <c r="E783" s="248"/>
      <c r="F783" s="275">
        <v>0</v>
      </c>
      <c r="G783" s="276">
        <f>E783*F783</f>
        <v>0</v>
      </c>
      <c r="H783" s="122"/>
    </row>
    <row r="784" spans="2:8" s="34" customFormat="1" hidden="1" x14ac:dyDescent="0.2">
      <c r="B784" s="135"/>
      <c r="C784" s="247" t="s">
        <v>245</v>
      </c>
      <c r="D784" s="202"/>
      <c r="E784" s="248"/>
      <c r="F784" s="249">
        <v>0</v>
      </c>
      <c r="G784" s="205"/>
      <c r="H784" s="122"/>
    </row>
    <row r="785" spans="2:8" s="34" customFormat="1" ht="24.75" hidden="1" customHeight="1" x14ac:dyDescent="0.2">
      <c r="B785" s="135"/>
      <c r="C785" s="262" t="s">
        <v>2416</v>
      </c>
      <c r="D785" s="202" t="s">
        <v>149</v>
      </c>
      <c r="E785" s="248"/>
      <c r="F785" s="275">
        <v>0</v>
      </c>
      <c r="G785" s="276">
        <f>E785*F785</f>
        <v>0</v>
      </c>
      <c r="H785" s="122"/>
    </row>
    <row r="786" spans="2:8" s="34" customFormat="1" hidden="1" x14ac:dyDescent="0.2">
      <c r="B786" s="135"/>
      <c r="C786" s="251" t="s">
        <v>247</v>
      </c>
      <c r="D786" s="202" t="s">
        <v>149</v>
      </c>
      <c r="E786" s="248"/>
      <c r="F786" s="275">
        <v>0</v>
      </c>
      <c r="G786" s="276">
        <f>E786*F786</f>
        <v>0</v>
      </c>
      <c r="H786" s="122"/>
    </row>
    <row r="787" spans="2:8" s="34" customFormat="1" hidden="1" x14ac:dyDescent="0.2">
      <c r="B787" s="135"/>
      <c r="C787" s="263" t="s">
        <v>248</v>
      </c>
      <c r="D787" s="202" t="s">
        <v>149</v>
      </c>
      <c r="E787" s="248"/>
      <c r="F787" s="275">
        <v>0</v>
      </c>
      <c r="G787" s="276">
        <f>E787*F787</f>
        <v>0</v>
      </c>
      <c r="H787" s="122"/>
    </row>
    <row r="788" spans="2:8" s="34" customFormat="1" hidden="1" x14ac:dyDescent="0.2">
      <c r="B788" s="135"/>
      <c r="C788" s="247" t="s">
        <v>1789</v>
      </c>
      <c r="D788" s="202"/>
      <c r="E788" s="248"/>
      <c r="F788" s="249">
        <v>0</v>
      </c>
      <c r="G788" s="205"/>
      <c r="H788" s="122"/>
    </row>
    <row r="789" spans="2:8" s="34" customFormat="1" ht="24.75" hidden="1" customHeight="1" x14ac:dyDescent="0.2">
      <c r="B789" s="135"/>
      <c r="C789" s="262" t="s">
        <v>2417</v>
      </c>
      <c r="D789" s="202" t="s">
        <v>149</v>
      </c>
      <c r="E789" s="248"/>
      <c r="F789" s="275">
        <v>0</v>
      </c>
      <c r="G789" s="276">
        <f>E789*F789</f>
        <v>0</v>
      </c>
      <c r="H789" s="122"/>
    </row>
    <row r="790" spans="2:8" s="34" customFormat="1" hidden="1" x14ac:dyDescent="0.2">
      <c r="B790" s="135"/>
      <c r="C790" s="251" t="s">
        <v>247</v>
      </c>
      <c r="D790" s="202" t="s">
        <v>149</v>
      </c>
      <c r="E790" s="248"/>
      <c r="F790" s="275">
        <v>0</v>
      </c>
      <c r="G790" s="276">
        <f>E790*F790</f>
        <v>0</v>
      </c>
      <c r="H790" s="122"/>
    </row>
    <row r="791" spans="2:8" s="34" customFormat="1" hidden="1" x14ac:dyDescent="0.2">
      <c r="B791" s="135"/>
      <c r="C791" s="263" t="s">
        <v>248</v>
      </c>
      <c r="D791" s="202" t="s">
        <v>149</v>
      </c>
      <c r="E791" s="248"/>
      <c r="F791" s="275">
        <v>0</v>
      </c>
      <c r="G791" s="276">
        <f>E791*F791</f>
        <v>0</v>
      </c>
      <c r="H791" s="122"/>
    </row>
    <row r="792" spans="2:8" s="34" customFormat="1" hidden="1" x14ac:dyDescent="0.2">
      <c r="B792" s="135"/>
      <c r="C792" s="247" t="s">
        <v>249</v>
      </c>
      <c r="D792" s="202"/>
      <c r="E792" s="248"/>
      <c r="F792" s="249">
        <v>0</v>
      </c>
      <c r="G792" s="205"/>
      <c r="H792" s="122"/>
    </row>
    <row r="793" spans="2:8" s="34" customFormat="1" ht="24" hidden="1" x14ac:dyDescent="0.2">
      <c r="B793" s="135"/>
      <c r="C793" s="262" t="s">
        <v>2418</v>
      </c>
      <c r="D793" s="202" t="s">
        <v>149</v>
      </c>
      <c r="E793" s="248"/>
      <c r="F793" s="275">
        <v>0</v>
      </c>
      <c r="G793" s="276">
        <f>E793*F793</f>
        <v>0</v>
      </c>
      <c r="H793" s="122"/>
    </row>
    <row r="794" spans="2:8" s="34" customFormat="1" hidden="1" x14ac:dyDescent="0.2">
      <c r="B794" s="135"/>
      <c r="C794" s="251" t="s">
        <v>247</v>
      </c>
      <c r="D794" s="202" t="s">
        <v>149</v>
      </c>
      <c r="E794" s="248"/>
      <c r="F794" s="275">
        <v>0</v>
      </c>
      <c r="G794" s="276">
        <f>E794*F794</f>
        <v>0</v>
      </c>
      <c r="H794" s="122"/>
    </row>
    <row r="795" spans="2:8" s="34" customFormat="1" hidden="1" x14ac:dyDescent="0.2">
      <c r="B795" s="135"/>
      <c r="C795" s="252" t="s">
        <v>198</v>
      </c>
      <c r="D795" s="202" t="s">
        <v>149</v>
      </c>
      <c r="E795" s="248"/>
      <c r="F795" s="275">
        <v>0</v>
      </c>
      <c r="G795" s="276">
        <f>E795*F795</f>
        <v>0</v>
      </c>
      <c r="H795" s="122"/>
    </row>
    <row r="796" spans="2:8" s="34" customFormat="1" hidden="1" x14ac:dyDescent="0.2">
      <c r="B796" s="135"/>
      <c r="C796" s="247" t="s">
        <v>1110</v>
      </c>
      <c r="D796" s="202"/>
      <c r="E796" s="248"/>
      <c r="F796" s="249">
        <v>0</v>
      </c>
      <c r="G796" s="205"/>
      <c r="H796" s="122"/>
    </row>
    <row r="797" spans="2:8" s="34" customFormat="1" ht="24.75" hidden="1" customHeight="1" x14ac:dyDescent="0.2">
      <c r="B797" s="135"/>
      <c r="C797" s="262" t="s">
        <v>2419</v>
      </c>
      <c r="D797" s="202" t="s">
        <v>149</v>
      </c>
      <c r="E797" s="248"/>
      <c r="F797" s="275">
        <v>0</v>
      </c>
      <c r="G797" s="276">
        <f>E797*F797</f>
        <v>0</v>
      </c>
      <c r="H797" s="122"/>
    </row>
    <row r="798" spans="2:8" s="34" customFormat="1" hidden="1" x14ac:dyDescent="0.2">
      <c r="B798" s="135"/>
      <c r="C798" s="251" t="s">
        <v>247</v>
      </c>
      <c r="D798" s="202" t="s">
        <v>149</v>
      </c>
      <c r="E798" s="248"/>
      <c r="F798" s="275">
        <v>0</v>
      </c>
      <c r="G798" s="276">
        <f>E798*F798</f>
        <v>0</v>
      </c>
      <c r="H798" s="122"/>
    </row>
    <row r="799" spans="2:8" s="34" customFormat="1" hidden="1" x14ac:dyDescent="0.2">
      <c r="B799" s="135"/>
      <c r="C799" s="263" t="s">
        <v>248</v>
      </c>
      <c r="D799" s="202" t="s">
        <v>149</v>
      </c>
      <c r="E799" s="248"/>
      <c r="F799" s="275">
        <v>0</v>
      </c>
      <c r="G799" s="276">
        <f>E799*F799</f>
        <v>0</v>
      </c>
      <c r="H799" s="122"/>
    </row>
    <row r="800" spans="2:8" s="34" customFormat="1" hidden="1" x14ac:dyDescent="0.2">
      <c r="B800" s="135"/>
      <c r="C800" s="247" t="s">
        <v>1791</v>
      </c>
      <c r="D800" s="202"/>
      <c r="E800" s="248"/>
      <c r="F800" s="249">
        <v>0</v>
      </c>
      <c r="G800" s="205"/>
      <c r="H800" s="122"/>
    </row>
    <row r="801" spans="2:8" s="34" customFormat="1" ht="24.75" hidden="1" customHeight="1" x14ac:dyDescent="0.2">
      <c r="B801" s="135"/>
      <c r="C801" s="262" t="s">
        <v>2420</v>
      </c>
      <c r="D801" s="202" t="s">
        <v>149</v>
      </c>
      <c r="E801" s="248"/>
      <c r="F801" s="275">
        <v>0</v>
      </c>
      <c r="G801" s="276">
        <f>E801*F801</f>
        <v>0</v>
      </c>
      <c r="H801" s="122"/>
    </row>
    <row r="802" spans="2:8" s="34" customFormat="1" hidden="1" x14ac:dyDescent="0.2">
      <c r="B802" s="135"/>
      <c r="C802" s="251" t="s">
        <v>247</v>
      </c>
      <c r="D802" s="202" t="s">
        <v>149</v>
      </c>
      <c r="E802" s="248"/>
      <c r="F802" s="275">
        <v>0</v>
      </c>
      <c r="G802" s="276">
        <f>E802*F802</f>
        <v>0</v>
      </c>
      <c r="H802" s="122"/>
    </row>
    <row r="803" spans="2:8" s="34" customFormat="1" hidden="1" x14ac:dyDescent="0.2">
      <c r="B803" s="135"/>
      <c r="C803" s="263" t="s">
        <v>248</v>
      </c>
      <c r="D803" s="202" t="s">
        <v>149</v>
      </c>
      <c r="E803" s="248"/>
      <c r="F803" s="275">
        <v>0</v>
      </c>
      <c r="G803" s="276">
        <f>E803*F803</f>
        <v>0</v>
      </c>
      <c r="H803" s="122"/>
    </row>
    <row r="804" spans="2:8" s="34" customFormat="1" hidden="1" x14ac:dyDescent="0.2">
      <c r="B804" s="135"/>
      <c r="C804" s="247" t="s">
        <v>1754</v>
      </c>
      <c r="D804" s="202"/>
      <c r="E804" s="248"/>
      <c r="F804" s="249">
        <v>0</v>
      </c>
      <c r="G804" s="205"/>
      <c r="H804" s="122"/>
    </row>
    <row r="805" spans="2:8" s="34" customFormat="1" ht="24.75" hidden="1" customHeight="1" x14ac:dyDescent="0.2">
      <c r="B805" s="135"/>
      <c r="C805" s="262" t="s">
        <v>2421</v>
      </c>
      <c r="D805" s="202" t="s">
        <v>149</v>
      </c>
      <c r="E805" s="248"/>
      <c r="F805" s="275">
        <v>0</v>
      </c>
      <c r="G805" s="276">
        <f>E805*F805</f>
        <v>0</v>
      </c>
      <c r="H805" s="122"/>
    </row>
    <row r="806" spans="2:8" s="34" customFormat="1" hidden="1" x14ac:dyDescent="0.2">
      <c r="B806" s="135"/>
      <c r="C806" s="251" t="s">
        <v>247</v>
      </c>
      <c r="D806" s="202" t="s">
        <v>149</v>
      </c>
      <c r="E806" s="248"/>
      <c r="F806" s="275">
        <v>0</v>
      </c>
      <c r="G806" s="276">
        <f>E806*F806</f>
        <v>0</v>
      </c>
      <c r="H806" s="122"/>
    </row>
    <row r="807" spans="2:8" s="34" customFormat="1" hidden="1" x14ac:dyDescent="0.2">
      <c r="B807" s="135"/>
      <c r="C807" s="263" t="s">
        <v>248</v>
      </c>
      <c r="D807" s="202" t="s">
        <v>149</v>
      </c>
      <c r="E807" s="248"/>
      <c r="F807" s="275">
        <v>0</v>
      </c>
      <c r="G807" s="276">
        <f>E807*F807</f>
        <v>0</v>
      </c>
      <c r="H807" s="122"/>
    </row>
    <row r="808" spans="2:8" s="34" customFormat="1" hidden="1" x14ac:dyDescent="0.2">
      <c r="B808" s="135"/>
      <c r="C808" s="247" t="s">
        <v>849</v>
      </c>
      <c r="D808" s="202"/>
      <c r="E808" s="248"/>
      <c r="F808" s="249">
        <v>0</v>
      </c>
      <c r="G808" s="205"/>
      <c r="H808" s="122"/>
    </row>
    <row r="809" spans="2:8" s="34" customFormat="1" ht="24" hidden="1" x14ac:dyDescent="0.2">
      <c r="B809" s="135"/>
      <c r="C809" s="262" t="s">
        <v>2422</v>
      </c>
      <c r="D809" s="202" t="s">
        <v>149</v>
      </c>
      <c r="E809" s="248"/>
      <c r="F809" s="275">
        <v>0</v>
      </c>
      <c r="G809" s="276">
        <f>E809*F809</f>
        <v>0</v>
      </c>
      <c r="H809" s="122"/>
    </row>
    <row r="810" spans="2:8" s="34" customFormat="1" hidden="1" x14ac:dyDescent="0.2">
      <c r="B810" s="135"/>
      <c r="C810" s="251" t="s">
        <v>247</v>
      </c>
      <c r="D810" s="202" t="s">
        <v>149</v>
      </c>
      <c r="E810" s="248"/>
      <c r="F810" s="275">
        <v>0</v>
      </c>
      <c r="G810" s="276">
        <f>E810*F810</f>
        <v>0</v>
      </c>
      <c r="H810" s="122"/>
    </row>
    <row r="811" spans="2:8" s="34" customFormat="1" hidden="1" x14ac:dyDescent="0.2">
      <c r="B811" s="135"/>
      <c r="C811" s="252" t="s">
        <v>198</v>
      </c>
      <c r="D811" s="202" t="s">
        <v>149</v>
      </c>
      <c r="E811" s="248"/>
      <c r="F811" s="275">
        <v>0</v>
      </c>
      <c r="G811" s="276">
        <f>E811*F811</f>
        <v>0</v>
      </c>
      <c r="H811" s="122"/>
    </row>
    <row r="812" spans="2:8" s="34" customFormat="1" hidden="1" x14ac:dyDescent="0.2">
      <c r="B812" s="135"/>
      <c r="C812" s="247" t="s">
        <v>2423</v>
      </c>
      <c r="D812" s="202"/>
      <c r="E812" s="248"/>
      <c r="F812" s="249">
        <v>0</v>
      </c>
      <c r="G812" s="205"/>
      <c r="H812" s="122"/>
    </row>
    <row r="813" spans="2:8" s="34" customFormat="1" ht="24.75" hidden="1" customHeight="1" x14ac:dyDescent="0.2">
      <c r="B813" s="135"/>
      <c r="C813" s="262" t="s">
        <v>2424</v>
      </c>
      <c r="D813" s="202" t="s">
        <v>149</v>
      </c>
      <c r="E813" s="248"/>
      <c r="F813" s="275">
        <v>0</v>
      </c>
      <c r="G813" s="276">
        <f>E813*F813</f>
        <v>0</v>
      </c>
      <c r="H813" s="122"/>
    </row>
    <row r="814" spans="2:8" s="34" customFormat="1" hidden="1" x14ac:dyDescent="0.2">
      <c r="B814" s="135"/>
      <c r="C814" s="251" t="s">
        <v>247</v>
      </c>
      <c r="D814" s="202" t="s">
        <v>149</v>
      </c>
      <c r="E814" s="248"/>
      <c r="F814" s="275">
        <v>0</v>
      </c>
      <c r="G814" s="276">
        <f>E814*F814</f>
        <v>0</v>
      </c>
      <c r="H814" s="122"/>
    </row>
    <row r="815" spans="2:8" s="34" customFormat="1" hidden="1" x14ac:dyDescent="0.2">
      <c r="B815" s="135"/>
      <c r="C815" s="263" t="s">
        <v>248</v>
      </c>
      <c r="D815" s="202" t="s">
        <v>149</v>
      </c>
      <c r="E815" s="248"/>
      <c r="F815" s="275">
        <v>0</v>
      </c>
      <c r="G815" s="276">
        <f>E815*F815</f>
        <v>0</v>
      </c>
      <c r="H815" s="122"/>
    </row>
    <row r="816" spans="2:8" s="34" customFormat="1" hidden="1" x14ac:dyDescent="0.2">
      <c r="B816" s="135"/>
      <c r="C816" s="247" t="s">
        <v>1756</v>
      </c>
      <c r="D816" s="202"/>
      <c r="E816" s="248"/>
      <c r="F816" s="249">
        <v>0</v>
      </c>
      <c r="G816" s="205"/>
      <c r="H816" s="122"/>
    </row>
    <row r="817" spans="2:8" s="34" customFormat="1" ht="24.75" hidden="1" customHeight="1" x14ac:dyDescent="0.2">
      <c r="B817" s="135"/>
      <c r="C817" s="262" t="s">
        <v>2425</v>
      </c>
      <c r="D817" s="202" t="s">
        <v>149</v>
      </c>
      <c r="E817" s="248"/>
      <c r="F817" s="275">
        <v>0</v>
      </c>
      <c r="G817" s="276">
        <f>E817*F817</f>
        <v>0</v>
      </c>
      <c r="H817" s="122"/>
    </row>
    <row r="818" spans="2:8" s="34" customFormat="1" hidden="1" x14ac:dyDescent="0.2">
      <c r="B818" s="135"/>
      <c r="C818" s="251" t="s">
        <v>247</v>
      </c>
      <c r="D818" s="202" t="s">
        <v>149</v>
      </c>
      <c r="E818" s="248"/>
      <c r="F818" s="275">
        <v>0</v>
      </c>
      <c r="G818" s="276">
        <f>E818*F818</f>
        <v>0</v>
      </c>
      <c r="H818" s="122"/>
    </row>
    <row r="819" spans="2:8" s="34" customFormat="1" hidden="1" x14ac:dyDescent="0.2">
      <c r="B819" s="135"/>
      <c r="C819" s="263" t="s">
        <v>248</v>
      </c>
      <c r="D819" s="202" t="s">
        <v>149</v>
      </c>
      <c r="E819" s="248"/>
      <c r="F819" s="275">
        <v>0</v>
      </c>
      <c r="G819" s="276">
        <f>E819*F819</f>
        <v>0</v>
      </c>
      <c r="H819" s="122"/>
    </row>
    <row r="820" spans="2:8" s="34" customFormat="1" hidden="1" x14ac:dyDescent="0.2">
      <c r="B820" s="135"/>
      <c r="C820" s="247" t="s">
        <v>2426</v>
      </c>
      <c r="D820" s="202"/>
      <c r="E820" s="248"/>
      <c r="F820" s="249">
        <v>0</v>
      </c>
      <c r="G820" s="205"/>
      <c r="H820" s="122"/>
    </row>
    <row r="821" spans="2:8" s="34" customFormat="1" ht="24.75" hidden="1" customHeight="1" x14ac:dyDescent="0.2">
      <c r="B821" s="135"/>
      <c r="C821" s="262" t="s">
        <v>2427</v>
      </c>
      <c r="D821" s="202" t="s">
        <v>149</v>
      </c>
      <c r="E821" s="248"/>
      <c r="F821" s="275">
        <v>0</v>
      </c>
      <c r="G821" s="276">
        <f>E821*F821</f>
        <v>0</v>
      </c>
      <c r="H821" s="122"/>
    </row>
    <row r="822" spans="2:8" s="34" customFormat="1" hidden="1" x14ac:dyDescent="0.2">
      <c r="B822" s="135"/>
      <c r="C822" s="251" t="s">
        <v>247</v>
      </c>
      <c r="D822" s="202" t="s">
        <v>149</v>
      </c>
      <c r="E822" s="248"/>
      <c r="F822" s="275">
        <v>0</v>
      </c>
      <c r="G822" s="276">
        <f>E822*F822</f>
        <v>0</v>
      </c>
      <c r="H822" s="122"/>
    </row>
    <row r="823" spans="2:8" s="34" customFormat="1" hidden="1" x14ac:dyDescent="0.2">
      <c r="B823" s="135"/>
      <c r="C823" s="263" t="s">
        <v>248</v>
      </c>
      <c r="D823" s="202" t="s">
        <v>149</v>
      </c>
      <c r="E823" s="248"/>
      <c r="F823" s="275">
        <v>0</v>
      </c>
      <c r="G823" s="276">
        <f>E823*F823</f>
        <v>0</v>
      </c>
      <c r="H823" s="122"/>
    </row>
    <row r="824" spans="2:8" s="34" customFormat="1" hidden="1" x14ac:dyDescent="0.2">
      <c r="B824" s="135"/>
      <c r="C824" s="247" t="s">
        <v>1429</v>
      </c>
      <c r="D824" s="202"/>
      <c r="E824" s="248"/>
      <c r="F824" s="249">
        <v>0</v>
      </c>
      <c r="G824" s="205"/>
      <c r="H824" s="122"/>
    </row>
    <row r="825" spans="2:8" s="34" customFormat="1" ht="24" hidden="1" x14ac:dyDescent="0.2">
      <c r="B825" s="135"/>
      <c r="C825" s="262" t="s">
        <v>2428</v>
      </c>
      <c r="D825" s="202" t="s">
        <v>149</v>
      </c>
      <c r="E825" s="248"/>
      <c r="F825" s="275">
        <v>0</v>
      </c>
      <c r="G825" s="276">
        <f>E825*F825</f>
        <v>0</v>
      </c>
      <c r="H825" s="122"/>
    </row>
    <row r="826" spans="2:8" s="34" customFormat="1" hidden="1" x14ac:dyDescent="0.2">
      <c r="B826" s="135"/>
      <c r="C826" s="251" t="s">
        <v>247</v>
      </c>
      <c r="D826" s="202" t="s">
        <v>149</v>
      </c>
      <c r="E826" s="248"/>
      <c r="F826" s="275">
        <v>0</v>
      </c>
      <c r="G826" s="276">
        <f>E826*F826</f>
        <v>0</v>
      </c>
      <c r="H826" s="122"/>
    </row>
    <row r="827" spans="2:8" s="34" customFormat="1" hidden="1" x14ac:dyDescent="0.2">
      <c r="B827" s="135"/>
      <c r="C827" s="252" t="s">
        <v>198</v>
      </c>
      <c r="D827" s="202" t="s">
        <v>149</v>
      </c>
      <c r="E827" s="248"/>
      <c r="F827" s="275">
        <v>0</v>
      </c>
      <c r="G827" s="276">
        <f>E827*F827</f>
        <v>0</v>
      </c>
      <c r="H827" s="122"/>
    </row>
    <row r="828" spans="2:8" s="34" customFormat="1" hidden="1" x14ac:dyDescent="0.2">
      <c r="B828" s="135"/>
      <c r="C828" s="247" t="s">
        <v>826</v>
      </c>
      <c r="D828" s="202"/>
      <c r="E828" s="248"/>
      <c r="F828" s="249">
        <v>0</v>
      </c>
      <c r="G828" s="205"/>
      <c r="H828" s="122"/>
    </row>
    <row r="829" spans="2:8" s="34" customFormat="1" ht="24.75" hidden="1" customHeight="1" x14ac:dyDescent="0.2">
      <c r="B829" s="135"/>
      <c r="C829" s="262" t="s">
        <v>2429</v>
      </c>
      <c r="D829" s="202" t="s">
        <v>149</v>
      </c>
      <c r="E829" s="248"/>
      <c r="F829" s="275">
        <v>0</v>
      </c>
      <c r="G829" s="276">
        <f>E829*F829</f>
        <v>0</v>
      </c>
      <c r="H829" s="122"/>
    </row>
    <row r="830" spans="2:8" s="34" customFormat="1" hidden="1" x14ac:dyDescent="0.2">
      <c r="B830" s="135"/>
      <c r="C830" s="251" t="s">
        <v>247</v>
      </c>
      <c r="D830" s="202" t="s">
        <v>149</v>
      </c>
      <c r="E830" s="248"/>
      <c r="F830" s="275">
        <v>0</v>
      </c>
      <c r="G830" s="276">
        <f>E830*F830</f>
        <v>0</v>
      </c>
      <c r="H830" s="122"/>
    </row>
    <row r="831" spans="2:8" s="34" customFormat="1" hidden="1" x14ac:dyDescent="0.2">
      <c r="B831" s="135"/>
      <c r="C831" s="263" t="s">
        <v>248</v>
      </c>
      <c r="D831" s="202" t="s">
        <v>149</v>
      </c>
      <c r="E831" s="248"/>
      <c r="F831" s="275">
        <v>0</v>
      </c>
      <c r="G831" s="276">
        <f>E831*F831</f>
        <v>0</v>
      </c>
      <c r="H831" s="122"/>
    </row>
    <row r="832" spans="2:8" s="34" customFormat="1" hidden="1" x14ac:dyDescent="0.2">
      <c r="B832" s="135"/>
      <c r="C832" s="247" t="s">
        <v>828</v>
      </c>
      <c r="D832" s="202"/>
      <c r="E832" s="248"/>
      <c r="F832" s="249">
        <v>0</v>
      </c>
      <c r="G832" s="205"/>
      <c r="H832" s="122"/>
    </row>
    <row r="833" spans="2:8" s="34" customFormat="1" ht="24" hidden="1" x14ac:dyDescent="0.2">
      <c r="B833" s="135"/>
      <c r="C833" s="262" t="s">
        <v>2430</v>
      </c>
      <c r="D833" s="202" t="s">
        <v>149</v>
      </c>
      <c r="E833" s="248"/>
      <c r="F833" s="275">
        <v>0</v>
      </c>
      <c r="G833" s="276">
        <f>E833*F833</f>
        <v>0</v>
      </c>
      <c r="H833" s="122"/>
    </row>
    <row r="834" spans="2:8" s="34" customFormat="1" hidden="1" x14ac:dyDescent="0.2">
      <c r="B834" s="135"/>
      <c r="C834" s="251" t="s">
        <v>247</v>
      </c>
      <c r="D834" s="202" t="s">
        <v>149</v>
      </c>
      <c r="E834" s="248"/>
      <c r="F834" s="275">
        <v>0</v>
      </c>
      <c r="G834" s="276">
        <f>E834*F834</f>
        <v>0</v>
      </c>
      <c r="H834" s="122"/>
    </row>
    <row r="835" spans="2:8" s="34" customFormat="1" hidden="1" x14ac:dyDescent="0.2">
      <c r="B835" s="135"/>
      <c r="C835" s="252" t="s">
        <v>198</v>
      </c>
      <c r="D835" s="202" t="s">
        <v>149</v>
      </c>
      <c r="E835" s="248"/>
      <c r="F835" s="275">
        <v>0</v>
      </c>
      <c r="G835" s="276">
        <f>E835*F835</f>
        <v>0</v>
      </c>
      <c r="H835" s="122"/>
    </row>
    <row r="836" spans="2:8" s="34" customFormat="1" hidden="1" x14ac:dyDescent="0.2">
      <c r="B836" s="292" t="s">
        <v>251</v>
      </c>
      <c r="C836" s="253" t="s">
        <v>252</v>
      </c>
      <c r="D836" s="254"/>
      <c r="E836" s="255"/>
      <c r="F836" s="256"/>
      <c r="G836" s="257"/>
      <c r="H836" s="122"/>
    </row>
    <row r="837" spans="2:8" s="34" customFormat="1" hidden="1" x14ac:dyDescent="0.2">
      <c r="B837" s="135"/>
      <c r="C837" s="253" t="s">
        <v>2431</v>
      </c>
      <c r="D837" s="254"/>
      <c r="E837" s="255"/>
      <c r="F837" s="256">
        <v>0</v>
      </c>
      <c r="G837" s="257"/>
      <c r="H837" s="122"/>
    </row>
    <row r="838" spans="2:8" s="34" customFormat="1" hidden="1" x14ac:dyDescent="0.2">
      <c r="B838" s="135"/>
      <c r="C838" s="258" t="s">
        <v>2309</v>
      </c>
      <c r="D838" s="254" t="s">
        <v>149</v>
      </c>
      <c r="E838" s="255"/>
      <c r="F838" s="277">
        <v>0</v>
      </c>
      <c r="G838" s="278">
        <f t="shared" ref="G838:G856" si="56">E838*F838</f>
        <v>0</v>
      </c>
      <c r="H838" s="122"/>
    </row>
    <row r="839" spans="2:8" s="34" customFormat="1" hidden="1" x14ac:dyDescent="0.2">
      <c r="B839" s="135"/>
      <c r="C839" s="258" t="s">
        <v>2310</v>
      </c>
      <c r="D839" s="254" t="s">
        <v>149</v>
      </c>
      <c r="E839" s="255"/>
      <c r="F839" s="277">
        <v>0</v>
      </c>
      <c r="G839" s="278">
        <f t="shared" si="56"/>
        <v>0</v>
      </c>
      <c r="H839" s="122"/>
    </row>
    <row r="840" spans="2:8" s="34" customFormat="1" hidden="1" x14ac:dyDescent="0.2">
      <c r="B840" s="135"/>
      <c r="C840" s="258" t="s">
        <v>2432</v>
      </c>
      <c r="D840" s="254" t="s">
        <v>149</v>
      </c>
      <c r="E840" s="255"/>
      <c r="F840" s="277">
        <v>0</v>
      </c>
      <c r="G840" s="278">
        <f t="shared" si="56"/>
        <v>0</v>
      </c>
      <c r="H840" s="122"/>
    </row>
    <row r="841" spans="2:8" s="34" customFormat="1" hidden="1" x14ac:dyDescent="0.2">
      <c r="B841" s="135"/>
      <c r="C841" s="258" t="s">
        <v>2433</v>
      </c>
      <c r="D841" s="254" t="s">
        <v>149</v>
      </c>
      <c r="E841" s="255"/>
      <c r="F841" s="277">
        <v>0</v>
      </c>
      <c r="G841" s="278">
        <f t="shared" si="56"/>
        <v>0</v>
      </c>
      <c r="H841" s="122"/>
    </row>
    <row r="842" spans="2:8" s="34" customFormat="1" hidden="1" x14ac:dyDescent="0.2">
      <c r="B842" s="135"/>
      <c r="C842" s="258" t="s">
        <v>2434</v>
      </c>
      <c r="D842" s="254" t="s">
        <v>149</v>
      </c>
      <c r="E842" s="255"/>
      <c r="F842" s="277">
        <v>0</v>
      </c>
      <c r="G842" s="278">
        <f t="shared" si="56"/>
        <v>0</v>
      </c>
      <c r="H842" s="122"/>
    </row>
    <row r="843" spans="2:8" s="34" customFormat="1" hidden="1" x14ac:dyDescent="0.2">
      <c r="B843" s="135"/>
      <c r="C843" s="258" t="s">
        <v>2435</v>
      </c>
      <c r="D843" s="254" t="s">
        <v>149</v>
      </c>
      <c r="E843" s="255"/>
      <c r="F843" s="277">
        <v>0</v>
      </c>
      <c r="G843" s="278">
        <f t="shared" si="56"/>
        <v>0</v>
      </c>
      <c r="H843" s="122"/>
    </row>
    <row r="844" spans="2:8" s="34" customFormat="1" hidden="1" x14ac:dyDescent="0.2">
      <c r="B844" s="135"/>
      <c r="C844" s="258" t="s">
        <v>2370</v>
      </c>
      <c r="D844" s="254" t="s">
        <v>149</v>
      </c>
      <c r="E844" s="255"/>
      <c r="F844" s="277">
        <v>0</v>
      </c>
      <c r="G844" s="278">
        <f t="shared" si="56"/>
        <v>0</v>
      </c>
      <c r="H844" s="122"/>
    </row>
    <row r="845" spans="2:8" s="34" customFormat="1" ht="12.75" hidden="1" customHeight="1" x14ac:dyDescent="0.2">
      <c r="B845" s="135"/>
      <c r="C845" s="258" t="s">
        <v>2436</v>
      </c>
      <c r="D845" s="254" t="s">
        <v>149</v>
      </c>
      <c r="E845" s="255"/>
      <c r="F845" s="277">
        <v>0</v>
      </c>
      <c r="G845" s="278">
        <f t="shared" si="56"/>
        <v>0</v>
      </c>
      <c r="H845" s="122"/>
    </row>
    <row r="846" spans="2:8" s="34" customFormat="1" ht="12.75" hidden="1" customHeight="1" x14ac:dyDescent="0.2">
      <c r="B846" s="135"/>
      <c r="C846" s="258" t="s">
        <v>2437</v>
      </c>
      <c r="D846" s="254" t="s">
        <v>149</v>
      </c>
      <c r="E846" s="255"/>
      <c r="F846" s="277">
        <v>0</v>
      </c>
      <c r="G846" s="278">
        <f t="shared" si="56"/>
        <v>0</v>
      </c>
      <c r="H846" s="122"/>
    </row>
    <row r="847" spans="2:8" s="34" customFormat="1" ht="12.75" hidden="1" customHeight="1" x14ac:dyDescent="0.2">
      <c r="B847" s="135"/>
      <c r="C847" s="259" t="s">
        <v>2438</v>
      </c>
      <c r="D847" s="254" t="s">
        <v>149</v>
      </c>
      <c r="E847" s="255"/>
      <c r="F847" s="277">
        <v>0</v>
      </c>
      <c r="G847" s="278">
        <f t="shared" si="56"/>
        <v>0</v>
      </c>
      <c r="H847" s="122"/>
    </row>
    <row r="848" spans="2:8" s="34" customFormat="1" hidden="1" x14ac:dyDescent="0.2">
      <c r="B848" s="135"/>
      <c r="C848" s="259" t="s">
        <v>2439</v>
      </c>
      <c r="D848" s="254" t="s">
        <v>149</v>
      </c>
      <c r="E848" s="255"/>
      <c r="F848" s="277">
        <v>0</v>
      </c>
      <c r="G848" s="278">
        <f t="shared" si="56"/>
        <v>0</v>
      </c>
      <c r="H848" s="122"/>
    </row>
    <row r="849" spans="2:8" s="34" customFormat="1" hidden="1" x14ac:dyDescent="0.2">
      <c r="B849" s="135"/>
      <c r="C849" s="259" t="s">
        <v>2440</v>
      </c>
      <c r="D849" s="254" t="s">
        <v>149</v>
      </c>
      <c r="E849" s="255"/>
      <c r="F849" s="277">
        <v>0</v>
      </c>
      <c r="G849" s="278">
        <f t="shared" si="56"/>
        <v>0</v>
      </c>
      <c r="H849" s="122"/>
    </row>
    <row r="850" spans="2:8" s="34" customFormat="1" ht="12.75" hidden="1" customHeight="1" x14ac:dyDescent="0.2">
      <c r="B850" s="135"/>
      <c r="C850" s="259" t="s">
        <v>2441</v>
      </c>
      <c r="D850" s="254" t="s">
        <v>149</v>
      </c>
      <c r="E850" s="255"/>
      <c r="F850" s="277">
        <v>0</v>
      </c>
      <c r="G850" s="278">
        <f t="shared" si="56"/>
        <v>0</v>
      </c>
      <c r="H850" s="122"/>
    </row>
    <row r="851" spans="2:8" s="34" customFormat="1" hidden="1" x14ac:dyDescent="0.2">
      <c r="B851" s="135"/>
      <c r="C851" s="259" t="s">
        <v>2442</v>
      </c>
      <c r="D851" s="254" t="s">
        <v>149</v>
      </c>
      <c r="E851" s="255"/>
      <c r="F851" s="277">
        <v>0</v>
      </c>
      <c r="G851" s="278">
        <f t="shared" si="56"/>
        <v>0</v>
      </c>
      <c r="H851" s="122"/>
    </row>
    <row r="852" spans="2:8" s="34" customFormat="1" hidden="1" x14ac:dyDescent="0.2">
      <c r="B852" s="135"/>
      <c r="C852" s="260" t="s">
        <v>265</v>
      </c>
      <c r="D852" s="254" t="s">
        <v>149</v>
      </c>
      <c r="E852" s="255"/>
      <c r="F852" s="277">
        <v>0</v>
      </c>
      <c r="G852" s="278">
        <f t="shared" si="56"/>
        <v>0</v>
      </c>
      <c r="H852" s="122"/>
    </row>
    <row r="853" spans="2:8" s="34" customFormat="1" hidden="1" x14ac:dyDescent="0.2">
      <c r="B853" s="135"/>
      <c r="C853" s="260" t="s">
        <v>731</v>
      </c>
      <c r="D853" s="254" t="s">
        <v>149</v>
      </c>
      <c r="E853" s="255"/>
      <c r="F853" s="277">
        <v>0</v>
      </c>
      <c r="G853" s="278">
        <f t="shared" si="56"/>
        <v>0</v>
      </c>
      <c r="H853" s="122"/>
    </row>
    <row r="854" spans="2:8" s="34" customFormat="1" hidden="1" x14ac:dyDescent="0.2">
      <c r="B854" s="135"/>
      <c r="C854" s="258" t="s">
        <v>2315</v>
      </c>
      <c r="D854" s="254" t="s">
        <v>149</v>
      </c>
      <c r="E854" s="255"/>
      <c r="F854" s="277">
        <v>0</v>
      </c>
      <c r="G854" s="278">
        <f t="shared" si="56"/>
        <v>0</v>
      </c>
      <c r="H854" s="122"/>
    </row>
    <row r="855" spans="2:8" s="34" customFormat="1" hidden="1" x14ac:dyDescent="0.2">
      <c r="B855" s="135"/>
      <c r="C855" s="260" t="s">
        <v>227</v>
      </c>
      <c r="D855" s="254" t="s">
        <v>149</v>
      </c>
      <c r="E855" s="255"/>
      <c r="F855" s="277">
        <v>0</v>
      </c>
      <c r="G855" s="278">
        <f t="shared" si="56"/>
        <v>0</v>
      </c>
      <c r="H855" s="122"/>
    </row>
    <row r="856" spans="2:8" s="34" customFormat="1" hidden="1" x14ac:dyDescent="0.2">
      <c r="B856" s="135"/>
      <c r="C856" s="261" t="s">
        <v>198</v>
      </c>
      <c r="D856" s="254" t="s">
        <v>149</v>
      </c>
      <c r="E856" s="255"/>
      <c r="F856" s="277">
        <v>0</v>
      </c>
      <c r="G856" s="278">
        <f t="shared" si="56"/>
        <v>0</v>
      </c>
      <c r="H856" s="122"/>
    </row>
    <row r="857" spans="2:8" s="34" customFormat="1" hidden="1" x14ac:dyDescent="0.2">
      <c r="B857" s="135"/>
      <c r="C857" s="253" t="s">
        <v>724</v>
      </c>
      <c r="D857" s="254"/>
      <c r="E857" s="255"/>
      <c r="F857" s="256">
        <v>0</v>
      </c>
      <c r="G857" s="257"/>
      <c r="H857" s="122"/>
    </row>
    <row r="858" spans="2:8" s="34" customFormat="1" hidden="1" x14ac:dyDescent="0.2">
      <c r="B858" s="135"/>
      <c r="C858" s="258" t="s">
        <v>725</v>
      </c>
      <c r="D858" s="254" t="s">
        <v>149</v>
      </c>
      <c r="E858" s="255"/>
      <c r="F858" s="277">
        <v>0</v>
      </c>
      <c r="G858" s="278">
        <f t="shared" ref="G858:G874" si="57">E858*F858</f>
        <v>0</v>
      </c>
      <c r="H858" s="122"/>
    </row>
    <row r="859" spans="2:8" s="34" customFormat="1" hidden="1" x14ac:dyDescent="0.2">
      <c r="B859" s="135"/>
      <c r="C859" s="258" t="s">
        <v>2443</v>
      </c>
      <c r="D859" s="254" t="s">
        <v>149</v>
      </c>
      <c r="E859" s="255"/>
      <c r="F859" s="277">
        <v>0</v>
      </c>
      <c r="G859" s="278">
        <f t="shared" si="57"/>
        <v>0</v>
      </c>
      <c r="H859" s="122"/>
    </row>
    <row r="860" spans="2:8" s="34" customFormat="1" hidden="1" x14ac:dyDescent="0.2">
      <c r="B860" s="135"/>
      <c r="C860" s="258" t="s">
        <v>319</v>
      </c>
      <c r="D860" s="254" t="s">
        <v>149</v>
      </c>
      <c r="E860" s="255"/>
      <c r="F860" s="277">
        <v>0</v>
      </c>
      <c r="G860" s="278">
        <f t="shared" si="57"/>
        <v>0</v>
      </c>
      <c r="H860" s="122"/>
    </row>
    <row r="861" spans="2:8" s="34" customFormat="1" hidden="1" x14ac:dyDescent="0.2">
      <c r="B861" s="135"/>
      <c r="C861" s="258" t="s">
        <v>326</v>
      </c>
      <c r="D861" s="254" t="s">
        <v>149</v>
      </c>
      <c r="E861" s="255"/>
      <c r="F861" s="277">
        <v>0</v>
      </c>
      <c r="G861" s="278">
        <f t="shared" si="57"/>
        <v>0</v>
      </c>
      <c r="H861" s="122"/>
    </row>
    <row r="862" spans="2:8" s="34" customFormat="1" hidden="1" x14ac:dyDescent="0.2">
      <c r="B862" s="135"/>
      <c r="C862" s="258" t="s">
        <v>2444</v>
      </c>
      <c r="D862" s="254" t="s">
        <v>149</v>
      </c>
      <c r="E862" s="255"/>
      <c r="F862" s="277">
        <v>0</v>
      </c>
      <c r="G862" s="278">
        <f t="shared" si="57"/>
        <v>0</v>
      </c>
      <c r="H862" s="122"/>
    </row>
    <row r="863" spans="2:8" s="34" customFormat="1" ht="15" hidden="1" customHeight="1" x14ac:dyDescent="0.2">
      <c r="B863" s="135"/>
      <c r="C863" s="258" t="s">
        <v>2436</v>
      </c>
      <c r="D863" s="254" t="s">
        <v>149</v>
      </c>
      <c r="E863" s="255"/>
      <c r="F863" s="277">
        <v>0</v>
      </c>
      <c r="G863" s="278">
        <f t="shared" si="57"/>
        <v>0</v>
      </c>
      <c r="H863" s="122"/>
    </row>
    <row r="864" spans="2:8" s="34" customFormat="1" ht="12.75" hidden="1" customHeight="1" x14ac:dyDescent="0.2">
      <c r="B864" s="135"/>
      <c r="C864" s="258" t="s">
        <v>2437</v>
      </c>
      <c r="D864" s="254" t="s">
        <v>149</v>
      </c>
      <c r="E864" s="255"/>
      <c r="F864" s="277">
        <v>0</v>
      </c>
      <c r="G864" s="278">
        <f t="shared" si="57"/>
        <v>0</v>
      </c>
      <c r="H864" s="122"/>
    </row>
    <row r="865" spans="2:8" s="34" customFormat="1" ht="12.75" hidden="1" customHeight="1" x14ac:dyDescent="0.2">
      <c r="B865" s="135"/>
      <c r="C865" s="259" t="s">
        <v>2438</v>
      </c>
      <c r="D865" s="254" t="s">
        <v>149</v>
      </c>
      <c r="E865" s="255"/>
      <c r="F865" s="277">
        <v>0</v>
      </c>
      <c r="G865" s="278">
        <f t="shared" si="57"/>
        <v>0</v>
      </c>
      <c r="H865" s="122"/>
    </row>
    <row r="866" spans="2:8" s="34" customFormat="1" hidden="1" x14ac:dyDescent="0.2">
      <c r="B866" s="135"/>
      <c r="C866" s="259" t="s">
        <v>2439</v>
      </c>
      <c r="D866" s="254" t="s">
        <v>149</v>
      </c>
      <c r="E866" s="255"/>
      <c r="F866" s="277">
        <v>0</v>
      </c>
      <c r="G866" s="278">
        <f t="shared" si="57"/>
        <v>0</v>
      </c>
      <c r="H866" s="122"/>
    </row>
    <row r="867" spans="2:8" s="34" customFormat="1" hidden="1" x14ac:dyDescent="0.2">
      <c r="B867" s="135"/>
      <c r="C867" s="259" t="s">
        <v>2440</v>
      </c>
      <c r="D867" s="254" t="s">
        <v>149</v>
      </c>
      <c r="E867" s="255"/>
      <c r="F867" s="277">
        <v>0</v>
      </c>
      <c r="G867" s="278">
        <f t="shared" si="57"/>
        <v>0</v>
      </c>
      <c r="H867" s="122"/>
    </row>
    <row r="868" spans="2:8" s="34" customFormat="1" ht="14.25" hidden="1" customHeight="1" x14ac:dyDescent="0.2">
      <c r="B868" s="135"/>
      <c r="C868" s="259" t="s">
        <v>2441</v>
      </c>
      <c r="D868" s="254" t="s">
        <v>149</v>
      </c>
      <c r="E868" s="255"/>
      <c r="F868" s="277">
        <v>0</v>
      </c>
      <c r="G868" s="278">
        <f t="shared" si="57"/>
        <v>0</v>
      </c>
      <c r="H868" s="122"/>
    </row>
    <row r="869" spans="2:8" s="34" customFormat="1" hidden="1" x14ac:dyDescent="0.2">
      <c r="B869" s="135"/>
      <c r="C869" s="259" t="s">
        <v>2442</v>
      </c>
      <c r="D869" s="254" t="s">
        <v>149</v>
      </c>
      <c r="E869" s="255"/>
      <c r="F869" s="277">
        <v>0</v>
      </c>
      <c r="G869" s="278">
        <f t="shared" si="57"/>
        <v>0</v>
      </c>
      <c r="H869" s="122"/>
    </row>
    <row r="870" spans="2:8" s="34" customFormat="1" hidden="1" x14ac:dyDescent="0.2">
      <c r="B870" s="135"/>
      <c r="C870" s="260" t="s">
        <v>265</v>
      </c>
      <c r="D870" s="254" t="s">
        <v>149</v>
      </c>
      <c r="E870" s="255"/>
      <c r="F870" s="277">
        <v>0</v>
      </c>
      <c r="G870" s="278">
        <f t="shared" si="57"/>
        <v>0</v>
      </c>
      <c r="H870" s="122"/>
    </row>
    <row r="871" spans="2:8" s="34" customFormat="1" hidden="1" x14ac:dyDescent="0.2">
      <c r="B871" s="135"/>
      <c r="C871" s="260" t="s">
        <v>731</v>
      </c>
      <c r="D871" s="254" t="s">
        <v>149</v>
      </c>
      <c r="E871" s="255"/>
      <c r="F871" s="277">
        <v>0</v>
      </c>
      <c r="G871" s="278">
        <f t="shared" si="57"/>
        <v>0</v>
      </c>
      <c r="H871" s="122"/>
    </row>
    <row r="872" spans="2:8" s="34" customFormat="1" hidden="1" x14ac:dyDescent="0.2">
      <c r="B872" s="135"/>
      <c r="C872" s="258" t="s">
        <v>2315</v>
      </c>
      <c r="D872" s="254" t="s">
        <v>149</v>
      </c>
      <c r="E872" s="255"/>
      <c r="F872" s="277">
        <v>0</v>
      </c>
      <c r="G872" s="278">
        <f t="shared" si="57"/>
        <v>0</v>
      </c>
      <c r="H872" s="122"/>
    </row>
    <row r="873" spans="2:8" s="34" customFormat="1" hidden="1" x14ac:dyDescent="0.2">
      <c r="B873" s="135"/>
      <c r="C873" s="260" t="s">
        <v>227</v>
      </c>
      <c r="D873" s="254" t="s">
        <v>149</v>
      </c>
      <c r="E873" s="255"/>
      <c r="F873" s="277">
        <v>0</v>
      </c>
      <c r="G873" s="278">
        <f t="shared" si="57"/>
        <v>0</v>
      </c>
      <c r="H873" s="122"/>
    </row>
    <row r="874" spans="2:8" s="34" customFormat="1" hidden="1" x14ac:dyDescent="0.2">
      <c r="B874" s="135"/>
      <c r="C874" s="261" t="s">
        <v>198</v>
      </c>
      <c r="D874" s="254" t="s">
        <v>149</v>
      </c>
      <c r="E874" s="255"/>
      <c r="F874" s="277">
        <v>0</v>
      </c>
      <c r="G874" s="278">
        <f t="shared" si="57"/>
        <v>0</v>
      </c>
      <c r="H874" s="122"/>
    </row>
    <row r="875" spans="2:8" s="34" customFormat="1" hidden="1" x14ac:dyDescent="0.2">
      <c r="B875" s="135"/>
      <c r="C875" s="253" t="s">
        <v>338</v>
      </c>
      <c r="D875" s="254"/>
      <c r="E875" s="255"/>
      <c r="F875" s="256">
        <v>0</v>
      </c>
      <c r="G875" s="257"/>
      <c r="H875" s="122"/>
    </row>
    <row r="876" spans="2:8" s="34" customFormat="1" hidden="1" x14ac:dyDescent="0.2">
      <c r="B876" s="135"/>
      <c r="C876" s="258" t="s">
        <v>339</v>
      </c>
      <c r="D876" s="254" t="s">
        <v>149</v>
      </c>
      <c r="E876" s="255"/>
      <c r="F876" s="277">
        <v>0</v>
      </c>
      <c r="G876" s="278">
        <f t="shared" ref="G876:G894" si="58">E876*F876</f>
        <v>0</v>
      </c>
      <c r="H876" s="122"/>
    </row>
    <row r="877" spans="2:8" s="34" customFormat="1" hidden="1" x14ac:dyDescent="0.2">
      <c r="B877" s="135"/>
      <c r="C877" s="258" t="s">
        <v>340</v>
      </c>
      <c r="D877" s="254" t="s">
        <v>149</v>
      </c>
      <c r="E877" s="255"/>
      <c r="F877" s="277">
        <v>0</v>
      </c>
      <c r="G877" s="278">
        <f t="shared" si="58"/>
        <v>0</v>
      </c>
      <c r="H877" s="122"/>
    </row>
    <row r="878" spans="2:8" s="34" customFormat="1" hidden="1" x14ac:dyDescent="0.2">
      <c r="B878" s="135"/>
      <c r="C878" s="258" t="s">
        <v>341</v>
      </c>
      <c r="D878" s="254" t="s">
        <v>149</v>
      </c>
      <c r="E878" s="255"/>
      <c r="F878" s="277">
        <v>0</v>
      </c>
      <c r="G878" s="278">
        <f t="shared" si="58"/>
        <v>0</v>
      </c>
      <c r="H878" s="122"/>
    </row>
    <row r="879" spans="2:8" s="34" customFormat="1" hidden="1" x14ac:dyDescent="0.2">
      <c r="B879" s="135"/>
      <c r="C879" s="258" t="s">
        <v>342</v>
      </c>
      <c r="D879" s="254" t="s">
        <v>149</v>
      </c>
      <c r="E879" s="255"/>
      <c r="F879" s="277">
        <v>0</v>
      </c>
      <c r="G879" s="278">
        <f t="shared" si="58"/>
        <v>0</v>
      </c>
      <c r="H879" s="122"/>
    </row>
    <row r="880" spans="2:8" s="34" customFormat="1" hidden="1" x14ac:dyDescent="0.2">
      <c r="B880" s="135"/>
      <c r="C880" s="258" t="s">
        <v>343</v>
      </c>
      <c r="D880" s="254" t="s">
        <v>149</v>
      </c>
      <c r="E880" s="255"/>
      <c r="F880" s="277">
        <v>0</v>
      </c>
      <c r="G880" s="278">
        <f t="shared" si="58"/>
        <v>0</v>
      </c>
      <c r="H880" s="122"/>
    </row>
    <row r="881" spans="2:8" s="34" customFormat="1" ht="15" hidden="1" customHeight="1" x14ac:dyDescent="0.2">
      <c r="B881" s="135"/>
      <c r="C881" s="258" t="s">
        <v>344</v>
      </c>
      <c r="D881" s="254" t="s">
        <v>149</v>
      </c>
      <c r="E881" s="255"/>
      <c r="F881" s="277">
        <v>0</v>
      </c>
      <c r="G881" s="278">
        <f t="shared" si="58"/>
        <v>0</v>
      </c>
      <c r="H881" s="122"/>
    </row>
    <row r="882" spans="2:8" s="34" customFormat="1" ht="12" hidden="1" customHeight="1" x14ac:dyDescent="0.2">
      <c r="B882" s="135"/>
      <c r="C882" s="258" t="s">
        <v>345</v>
      </c>
      <c r="D882" s="254" t="s">
        <v>149</v>
      </c>
      <c r="E882" s="255"/>
      <c r="F882" s="277">
        <v>0</v>
      </c>
      <c r="G882" s="278">
        <f t="shared" si="58"/>
        <v>0</v>
      </c>
      <c r="H882" s="122"/>
    </row>
    <row r="883" spans="2:8" s="34" customFormat="1" ht="12.75" hidden="1" customHeight="1" x14ac:dyDescent="0.2">
      <c r="B883" s="135"/>
      <c r="C883" s="259" t="s">
        <v>346</v>
      </c>
      <c r="D883" s="254" t="s">
        <v>149</v>
      </c>
      <c r="E883" s="255"/>
      <c r="F883" s="277">
        <v>0</v>
      </c>
      <c r="G883" s="278">
        <f t="shared" si="58"/>
        <v>0</v>
      </c>
      <c r="H883" s="122"/>
    </row>
    <row r="884" spans="2:8" s="34" customFormat="1" hidden="1" x14ac:dyDescent="0.2">
      <c r="B884" s="135"/>
      <c r="C884" s="259" t="s">
        <v>347</v>
      </c>
      <c r="D884" s="254" t="s">
        <v>149</v>
      </c>
      <c r="E884" s="255"/>
      <c r="F884" s="277">
        <v>0</v>
      </c>
      <c r="G884" s="278">
        <f t="shared" si="58"/>
        <v>0</v>
      </c>
      <c r="H884" s="122"/>
    </row>
    <row r="885" spans="2:8" s="34" customFormat="1" hidden="1" x14ac:dyDescent="0.2">
      <c r="B885" s="135"/>
      <c r="C885" s="259" t="s">
        <v>348</v>
      </c>
      <c r="D885" s="254" t="s">
        <v>149</v>
      </c>
      <c r="E885" s="255"/>
      <c r="F885" s="277">
        <v>0</v>
      </c>
      <c r="G885" s="278">
        <f t="shared" si="58"/>
        <v>0</v>
      </c>
      <c r="H885" s="122"/>
    </row>
    <row r="886" spans="2:8" s="34" customFormat="1" ht="14.25" hidden="1" customHeight="1" x14ac:dyDescent="0.2">
      <c r="B886" s="135"/>
      <c r="C886" s="259" t="s">
        <v>349</v>
      </c>
      <c r="D886" s="254" t="s">
        <v>149</v>
      </c>
      <c r="E886" s="255"/>
      <c r="F886" s="277">
        <v>0</v>
      </c>
      <c r="G886" s="278">
        <f t="shared" si="58"/>
        <v>0</v>
      </c>
      <c r="H886" s="122"/>
    </row>
    <row r="887" spans="2:8" s="34" customFormat="1" hidden="1" x14ac:dyDescent="0.2">
      <c r="B887" s="135"/>
      <c r="C887" s="259" t="s">
        <v>350</v>
      </c>
      <c r="D887" s="254" t="s">
        <v>149</v>
      </c>
      <c r="E887" s="255"/>
      <c r="F887" s="277">
        <v>0</v>
      </c>
      <c r="G887" s="278">
        <f t="shared" si="58"/>
        <v>0</v>
      </c>
      <c r="H887" s="122"/>
    </row>
    <row r="888" spans="2:8" s="34" customFormat="1" hidden="1" x14ac:dyDescent="0.2">
      <c r="B888" s="135"/>
      <c r="C888" s="260" t="s">
        <v>265</v>
      </c>
      <c r="D888" s="254" t="s">
        <v>149</v>
      </c>
      <c r="E888" s="255"/>
      <c r="F888" s="277">
        <v>0</v>
      </c>
      <c r="G888" s="278">
        <f t="shared" si="58"/>
        <v>0</v>
      </c>
      <c r="H888" s="122"/>
    </row>
    <row r="889" spans="2:8" s="34" customFormat="1" hidden="1" x14ac:dyDescent="0.2">
      <c r="B889" s="135"/>
      <c r="C889" s="260" t="s">
        <v>351</v>
      </c>
      <c r="D889" s="254" t="s">
        <v>149</v>
      </c>
      <c r="E889" s="255"/>
      <c r="F889" s="277">
        <v>0</v>
      </c>
      <c r="G889" s="278">
        <f t="shared" si="58"/>
        <v>0</v>
      </c>
      <c r="H889" s="122"/>
    </row>
    <row r="890" spans="2:8" s="34" customFormat="1" hidden="1" x14ac:dyDescent="0.2">
      <c r="B890" s="135"/>
      <c r="C890" s="258" t="s">
        <v>352</v>
      </c>
      <c r="D890" s="254" t="s">
        <v>149</v>
      </c>
      <c r="E890" s="255"/>
      <c r="F890" s="277">
        <v>0</v>
      </c>
      <c r="G890" s="278">
        <f t="shared" si="58"/>
        <v>0</v>
      </c>
      <c r="H890" s="122"/>
    </row>
    <row r="891" spans="2:8" s="34" customFormat="1" hidden="1" x14ac:dyDescent="0.2">
      <c r="B891" s="135"/>
      <c r="C891" s="260" t="s">
        <v>353</v>
      </c>
      <c r="D891" s="254" t="s">
        <v>149</v>
      </c>
      <c r="E891" s="255"/>
      <c r="F891" s="277">
        <v>0</v>
      </c>
      <c r="G891" s="278">
        <f t="shared" si="58"/>
        <v>0</v>
      </c>
      <c r="H891" s="122"/>
    </row>
    <row r="892" spans="2:8" s="34" customFormat="1" hidden="1" x14ac:dyDescent="0.2">
      <c r="B892" s="135"/>
      <c r="C892" s="260" t="s">
        <v>354</v>
      </c>
      <c r="D892" s="254" t="s">
        <v>149</v>
      </c>
      <c r="E892" s="255"/>
      <c r="F892" s="277">
        <v>0</v>
      </c>
      <c r="G892" s="278">
        <f t="shared" si="58"/>
        <v>0</v>
      </c>
      <c r="H892" s="122"/>
    </row>
    <row r="893" spans="2:8" s="34" customFormat="1" hidden="1" x14ac:dyDescent="0.2">
      <c r="B893" s="135"/>
      <c r="C893" s="260" t="s">
        <v>227</v>
      </c>
      <c r="D893" s="254" t="s">
        <v>149</v>
      </c>
      <c r="E893" s="255"/>
      <c r="F893" s="277">
        <v>0</v>
      </c>
      <c r="G893" s="278">
        <f t="shared" si="58"/>
        <v>0</v>
      </c>
      <c r="H893" s="122"/>
    </row>
    <row r="894" spans="2:8" s="34" customFormat="1" hidden="1" x14ac:dyDescent="0.2">
      <c r="B894" s="135"/>
      <c r="C894" s="261" t="s">
        <v>198</v>
      </c>
      <c r="D894" s="254" t="s">
        <v>149</v>
      </c>
      <c r="E894" s="255"/>
      <c r="F894" s="277">
        <v>0</v>
      </c>
      <c r="G894" s="278">
        <f t="shared" si="58"/>
        <v>0</v>
      </c>
      <c r="H894" s="122"/>
    </row>
    <row r="895" spans="2:8" s="34" customFormat="1" hidden="1" x14ac:dyDescent="0.2">
      <c r="B895" s="135"/>
      <c r="C895" s="253" t="s">
        <v>2445</v>
      </c>
      <c r="D895" s="254"/>
      <c r="E895" s="255"/>
      <c r="F895" s="256">
        <v>0</v>
      </c>
      <c r="G895" s="257"/>
      <c r="H895" s="122"/>
    </row>
    <row r="896" spans="2:8" s="34" customFormat="1" hidden="1" x14ac:dyDescent="0.2">
      <c r="B896" s="135"/>
      <c r="C896" s="258" t="s">
        <v>319</v>
      </c>
      <c r="D896" s="254" t="s">
        <v>149</v>
      </c>
      <c r="E896" s="255"/>
      <c r="F896" s="277">
        <v>0</v>
      </c>
      <c r="G896" s="278">
        <f t="shared" ref="G896:G914" si="59">E896*F896</f>
        <v>0</v>
      </c>
      <c r="H896" s="122"/>
    </row>
    <row r="897" spans="2:8" s="34" customFormat="1" hidden="1" x14ac:dyDescent="0.2">
      <c r="B897" s="135"/>
      <c r="C897" s="258" t="s">
        <v>1186</v>
      </c>
      <c r="D897" s="254" t="s">
        <v>149</v>
      </c>
      <c r="E897" s="255"/>
      <c r="F897" s="277">
        <v>0</v>
      </c>
      <c r="G897" s="278">
        <f t="shared" si="59"/>
        <v>0</v>
      </c>
      <c r="H897" s="122"/>
    </row>
    <row r="898" spans="2:8" s="34" customFormat="1" hidden="1" x14ac:dyDescent="0.2">
      <c r="B898" s="135"/>
      <c r="C898" s="258" t="s">
        <v>341</v>
      </c>
      <c r="D898" s="254" t="s">
        <v>149</v>
      </c>
      <c r="E898" s="255"/>
      <c r="F898" s="277">
        <v>0</v>
      </c>
      <c r="G898" s="278">
        <f t="shared" si="59"/>
        <v>0</v>
      </c>
      <c r="H898" s="122"/>
    </row>
    <row r="899" spans="2:8" s="34" customFormat="1" hidden="1" x14ac:dyDescent="0.2">
      <c r="B899" s="135"/>
      <c r="C899" s="258" t="s">
        <v>342</v>
      </c>
      <c r="D899" s="254" t="s">
        <v>149</v>
      </c>
      <c r="E899" s="255"/>
      <c r="F899" s="277">
        <v>0</v>
      </c>
      <c r="G899" s="278">
        <f t="shared" si="59"/>
        <v>0</v>
      </c>
      <c r="H899" s="122"/>
    </row>
    <row r="900" spans="2:8" s="34" customFormat="1" hidden="1" x14ac:dyDescent="0.2">
      <c r="B900" s="135"/>
      <c r="C900" s="258" t="s">
        <v>343</v>
      </c>
      <c r="D900" s="254" t="s">
        <v>149</v>
      </c>
      <c r="E900" s="255"/>
      <c r="F900" s="277">
        <v>0</v>
      </c>
      <c r="G900" s="278">
        <f t="shared" si="59"/>
        <v>0</v>
      </c>
      <c r="H900" s="122"/>
    </row>
    <row r="901" spans="2:8" s="34" customFormat="1" ht="15" hidden="1" customHeight="1" x14ac:dyDescent="0.2">
      <c r="B901" s="135"/>
      <c r="C901" s="258" t="s">
        <v>344</v>
      </c>
      <c r="D901" s="254" t="s">
        <v>149</v>
      </c>
      <c r="E901" s="255"/>
      <c r="F901" s="277">
        <v>0</v>
      </c>
      <c r="G901" s="278">
        <f t="shared" si="59"/>
        <v>0</v>
      </c>
      <c r="H901" s="122"/>
    </row>
    <row r="902" spans="2:8" s="34" customFormat="1" ht="12" hidden="1" customHeight="1" x14ac:dyDescent="0.2">
      <c r="B902" s="135"/>
      <c r="C902" s="258" t="s">
        <v>345</v>
      </c>
      <c r="D902" s="254" t="s">
        <v>149</v>
      </c>
      <c r="E902" s="255"/>
      <c r="F902" s="277">
        <v>0</v>
      </c>
      <c r="G902" s="278">
        <f t="shared" si="59"/>
        <v>0</v>
      </c>
      <c r="H902" s="122"/>
    </row>
    <row r="903" spans="2:8" s="34" customFormat="1" ht="12.75" hidden="1" customHeight="1" x14ac:dyDescent="0.2">
      <c r="B903" s="135"/>
      <c r="C903" s="259" t="s">
        <v>346</v>
      </c>
      <c r="D903" s="254" t="s">
        <v>149</v>
      </c>
      <c r="E903" s="255"/>
      <c r="F903" s="277">
        <v>0</v>
      </c>
      <c r="G903" s="278">
        <f t="shared" si="59"/>
        <v>0</v>
      </c>
      <c r="H903" s="122"/>
    </row>
    <row r="904" spans="2:8" s="34" customFormat="1" hidden="1" x14ac:dyDescent="0.2">
      <c r="B904" s="135"/>
      <c r="C904" s="259" t="s">
        <v>347</v>
      </c>
      <c r="D904" s="254" t="s">
        <v>149</v>
      </c>
      <c r="E904" s="255"/>
      <c r="F904" s="277">
        <v>0</v>
      </c>
      <c r="G904" s="278">
        <f t="shared" si="59"/>
        <v>0</v>
      </c>
      <c r="H904" s="122"/>
    </row>
    <row r="905" spans="2:8" s="34" customFormat="1" hidden="1" x14ac:dyDescent="0.2">
      <c r="B905" s="135"/>
      <c r="C905" s="259" t="s">
        <v>348</v>
      </c>
      <c r="D905" s="254" t="s">
        <v>149</v>
      </c>
      <c r="E905" s="255"/>
      <c r="F905" s="277">
        <v>0</v>
      </c>
      <c r="G905" s="278">
        <f t="shared" si="59"/>
        <v>0</v>
      </c>
      <c r="H905" s="122"/>
    </row>
    <row r="906" spans="2:8" s="34" customFormat="1" ht="14.25" hidden="1" customHeight="1" x14ac:dyDescent="0.2">
      <c r="B906" s="135"/>
      <c r="C906" s="259" t="s">
        <v>349</v>
      </c>
      <c r="D906" s="254" t="s">
        <v>149</v>
      </c>
      <c r="E906" s="255"/>
      <c r="F906" s="277">
        <v>0</v>
      </c>
      <c r="G906" s="278">
        <f t="shared" si="59"/>
        <v>0</v>
      </c>
      <c r="H906" s="122"/>
    </row>
    <row r="907" spans="2:8" s="34" customFormat="1" hidden="1" x14ac:dyDescent="0.2">
      <c r="B907" s="135"/>
      <c r="C907" s="259" t="s">
        <v>350</v>
      </c>
      <c r="D907" s="254" t="s">
        <v>149</v>
      </c>
      <c r="E907" s="255"/>
      <c r="F907" s="277">
        <v>0</v>
      </c>
      <c r="G907" s="278">
        <f t="shared" si="59"/>
        <v>0</v>
      </c>
      <c r="H907" s="122"/>
    </row>
    <row r="908" spans="2:8" s="34" customFormat="1" hidden="1" x14ac:dyDescent="0.2">
      <c r="B908" s="135"/>
      <c r="C908" s="260" t="s">
        <v>265</v>
      </c>
      <c r="D908" s="254" t="s">
        <v>149</v>
      </c>
      <c r="E908" s="255"/>
      <c r="F908" s="277">
        <v>0</v>
      </c>
      <c r="G908" s="278">
        <f t="shared" si="59"/>
        <v>0</v>
      </c>
      <c r="H908" s="122"/>
    </row>
    <row r="909" spans="2:8" s="34" customFormat="1" hidden="1" x14ac:dyDescent="0.2">
      <c r="B909" s="135"/>
      <c r="C909" s="260" t="s">
        <v>351</v>
      </c>
      <c r="D909" s="254" t="s">
        <v>149</v>
      </c>
      <c r="E909" s="255"/>
      <c r="F909" s="277">
        <v>0</v>
      </c>
      <c r="G909" s="278">
        <f t="shared" si="59"/>
        <v>0</v>
      </c>
      <c r="H909" s="122"/>
    </row>
    <row r="910" spans="2:8" s="34" customFormat="1" hidden="1" x14ac:dyDescent="0.2">
      <c r="B910" s="135"/>
      <c r="C910" s="258" t="s">
        <v>352</v>
      </c>
      <c r="D910" s="254" t="s">
        <v>149</v>
      </c>
      <c r="E910" s="255"/>
      <c r="F910" s="277">
        <v>0</v>
      </c>
      <c r="G910" s="278">
        <f t="shared" si="59"/>
        <v>0</v>
      </c>
      <c r="H910" s="122"/>
    </row>
    <row r="911" spans="2:8" s="34" customFormat="1" hidden="1" x14ac:dyDescent="0.2">
      <c r="B911" s="135"/>
      <c r="C911" s="260" t="s">
        <v>323</v>
      </c>
      <c r="D911" s="254" t="s">
        <v>149</v>
      </c>
      <c r="E911" s="255"/>
      <c r="F911" s="277">
        <v>0</v>
      </c>
      <c r="G911" s="278">
        <f t="shared" si="59"/>
        <v>0</v>
      </c>
      <c r="H911" s="122"/>
    </row>
    <row r="912" spans="2:8" s="34" customFormat="1" hidden="1" x14ac:dyDescent="0.2">
      <c r="B912" s="135"/>
      <c r="C912" s="260" t="s">
        <v>354</v>
      </c>
      <c r="D912" s="254" t="s">
        <v>149</v>
      </c>
      <c r="E912" s="255"/>
      <c r="F912" s="277">
        <v>0</v>
      </c>
      <c r="G912" s="278">
        <f t="shared" si="59"/>
        <v>0</v>
      </c>
      <c r="H912" s="122"/>
    </row>
    <row r="913" spans="2:8" s="34" customFormat="1" hidden="1" x14ac:dyDescent="0.2">
      <c r="B913" s="135"/>
      <c r="C913" s="260" t="s">
        <v>227</v>
      </c>
      <c r="D913" s="254" t="s">
        <v>149</v>
      </c>
      <c r="E913" s="255"/>
      <c r="F913" s="277">
        <v>0</v>
      </c>
      <c r="G913" s="278">
        <f t="shared" si="59"/>
        <v>0</v>
      </c>
      <c r="H913" s="122"/>
    </row>
    <row r="914" spans="2:8" s="34" customFormat="1" hidden="1" x14ac:dyDescent="0.2">
      <c r="B914" s="135"/>
      <c r="C914" s="261" t="s">
        <v>198</v>
      </c>
      <c r="D914" s="254" t="s">
        <v>149</v>
      </c>
      <c r="E914" s="255"/>
      <c r="F914" s="277">
        <v>0</v>
      </c>
      <c r="G914" s="278">
        <f t="shared" si="59"/>
        <v>0</v>
      </c>
      <c r="H914" s="122"/>
    </row>
    <row r="915" spans="2:8" s="34" customFormat="1" hidden="1" x14ac:dyDescent="0.2">
      <c r="B915" s="135"/>
      <c r="C915" s="253" t="s">
        <v>2446</v>
      </c>
      <c r="D915" s="254"/>
      <c r="E915" s="255"/>
      <c r="F915" s="256">
        <v>0</v>
      </c>
      <c r="G915" s="257"/>
      <c r="H915" s="122"/>
    </row>
    <row r="916" spans="2:8" s="34" customFormat="1" hidden="1" x14ac:dyDescent="0.2">
      <c r="B916" s="135"/>
      <c r="C916" s="258" t="s">
        <v>341</v>
      </c>
      <c r="D916" s="254" t="s">
        <v>149</v>
      </c>
      <c r="E916" s="255"/>
      <c r="F916" s="277">
        <v>0</v>
      </c>
      <c r="G916" s="278">
        <f t="shared" ref="G916:G934" si="60">E916*F916</f>
        <v>0</v>
      </c>
      <c r="H916" s="122"/>
    </row>
    <row r="917" spans="2:8" s="34" customFormat="1" hidden="1" x14ac:dyDescent="0.2">
      <c r="B917" s="135"/>
      <c r="C917" s="258" t="s">
        <v>2213</v>
      </c>
      <c r="D917" s="254" t="s">
        <v>149</v>
      </c>
      <c r="E917" s="255"/>
      <c r="F917" s="277">
        <v>0</v>
      </c>
      <c r="G917" s="278">
        <f t="shared" si="60"/>
        <v>0</v>
      </c>
      <c r="H917" s="122"/>
    </row>
    <row r="918" spans="2:8" s="34" customFormat="1" hidden="1" x14ac:dyDescent="0.2">
      <c r="B918" s="135"/>
      <c r="C918" s="258" t="s">
        <v>256</v>
      </c>
      <c r="D918" s="254" t="s">
        <v>149</v>
      </c>
      <c r="E918" s="255"/>
      <c r="F918" s="277">
        <v>0</v>
      </c>
      <c r="G918" s="278">
        <f t="shared" si="60"/>
        <v>0</v>
      </c>
      <c r="H918" s="122"/>
    </row>
    <row r="919" spans="2:8" s="34" customFormat="1" hidden="1" x14ac:dyDescent="0.2">
      <c r="B919" s="135"/>
      <c r="C919" s="258" t="s">
        <v>208</v>
      </c>
      <c r="D919" s="254" t="s">
        <v>149</v>
      </c>
      <c r="E919" s="255"/>
      <c r="F919" s="277">
        <v>0</v>
      </c>
      <c r="G919" s="278">
        <f t="shared" si="60"/>
        <v>0</v>
      </c>
      <c r="H919" s="122"/>
    </row>
    <row r="920" spans="2:8" s="34" customFormat="1" hidden="1" x14ac:dyDescent="0.2">
      <c r="B920" s="135"/>
      <c r="C920" s="258" t="s">
        <v>257</v>
      </c>
      <c r="D920" s="254" t="s">
        <v>149</v>
      </c>
      <c r="E920" s="255"/>
      <c r="F920" s="277">
        <v>0</v>
      </c>
      <c r="G920" s="278">
        <f t="shared" si="60"/>
        <v>0</v>
      </c>
      <c r="H920" s="122"/>
    </row>
    <row r="921" spans="2:8" s="34" customFormat="1" ht="12.75" hidden="1" customHeight="1" x14ac:dyDescent="0.2">
      <c r="B921" s="135"/>
      <c r="C921" s="258" t="s">
        <v>258</v>
      </c>
      <c r="D921" s="254" t="s">
        <v>149</v>
      </c>
      <c r="E921" s="255"/>
      <c r="F921" s="277">
        <v>0</v>
      </c>
      <c r="G921" s="278">
        <f t="shared" si="60"/>
        <v>0</v>
      </c>
      <c r="H921" s="122"/>
    </row>
    <row r="922" spans="2:8" s="34" customFormat="1" ht="12.75" hidden="1" customHeight="1" x14ac:dyDescent="0.2">
      <c r="B922" s="135"/>
      <c r="C922" s="258" t="s">
        <v>259</v>
      </c>
      <c r="D922" s="254" t="s">
        <v>149</v>
      </c>
      <c r="E922" s="255"/>
      <c r="F922" s="277">
        <v>0</v>
      </c>
      <c r="G922" s="278">
        <f t="shared" si="60"/>
        <v>0</v>
      </c>
      <c r="H922" s="122"/>
    </row>
    <row r="923" spans="2:8" s="34" customFormat="1" ht="12.75" hidden="1" customHeight="1" x14ac:dyDescent="0.2">
      <c r="B923" s="135"/>
      <c r="C923" s="259" t="s">
        <v>260</v>
      </c>
      <c r="D923" s="254" t="s">
        <v>149</v>
      </c>
      <c r="E923" s="255"/>
      <c r="F923" s="277">
        <v>0</v>
      </c>
      <c r="G923" s="278">
        <f t="shared" si="60"/>
        <v>0</v>
      </c>
      <c r="H923" s="122"/>
    </row>
    <row r="924" spans="2:8" s="34" customFormat="1" hidden="1" x14ac:dyDescent="0.2">
      <c r="B924" s="135"/>
      <c r="C924" s="259" t="s">
        <v>261</v>
      </c>
      <c r="D924" s="254" t="s">
        <v>149</v>
      </c>
      <c r="E924" s="255"/>
      <c r="F924" s="277">
        <v>0</v>
      </c>
      <c r="G924" s="278">
        <f t="shared" si="60"/>
        <v>0</v>
      </c>
      <c r="H924" s="122"/>
    </row>
    <row r="925" spans="2:8" s="34" customFormat="1" hidden="1" x14ac:dyDescent="0.2">
      <c r="B925" s="135"/>
      <c r="C925" s="259" t="s">
        <v>262</v>
      </c>
      <c r="D925" s="254" t="s">
        <v>149</v>
      </c>
      <c r="E925" s="255"/>
      <c r="F925" s="277">
        <v>0</v>
      </c>
      <c r="G925" s="278">
        <f t="shared" si="60"/>
        <v>0</v>
      </c>
      <c r="H925" s="122"/>
    </row>
    <row r="926" spans="2:8" s="34" customFormat="1" ht="14.25" hidden="1" customHeight="1" x14ac:dyDescent="0.2">
      <c r="B926" s="135"/>
      <c r="C926" s="259" t="s">
        <v>263</v>
      </c>
      <c r="D926" s="254" t="s">
        <v>149</v>
      </c>
      <c r="E926" s="255"/>
      <c r="F926" s="277">
        <v>0</v>
      </c>
      <c r="G926" s="278">
        <f t="shared" si="60"/>
        <v>0</v>
      </c>
      <c r="H926" s="122"/>
    </row>
    <row r="927" spans="2:8" s="34" customFormat="1" hidden="1" x14ac:dyDescent="0.2">
      <c r="B927" s="135"/>
      <c r="C927" s="259" t="s">
        <v>264</v>
      </c>
      <c r="D927" s="254" t="s">
        <v>149</v>
      </c>
      <c r="E927" s="255"/>
      <c r="F927" s="277">
        <v>0</v>
      </c>
      <c r="G927" s="278">
        <f t="shared" si="60"/>
        <v>0</v>
      </c>
      <c r="H927" s="122"/>
    </row>
    <row r="928" spans="2:8" s="34" customFormat="1" hidden="1" x14ac:dyDescent="0.2">
      <c r="B928" s="135"/>
      <c r="C928" s="260" t="s">
        <v>265</v>
      </c>
      <c r="D928" s="254" t="s">
        <v>149</v>
      </c>
      <c r="E928" s="255"/>
      <c r="F928" s="277">
        <v>0</v>
      </c>
      <c r="G928" s="278">
        <f t="shared" si="60"/>
        <v>0</v>
      </c>
      <c r="H928" s="122"/>
    </row>
    <row r="929" spans="2:8" s="34" customFormat="1" hidden="1" x14ac:dyDescent="0.2">
      <c r="B929" s="135"/>
      <c r="C929" s="260" t="s">
        <v>266</v>
      </c>
      <c r="D929" s="254" t="s">
        <v>149</v>
      </c>
      <c r="E929" s="255"/>
      <c r="F929" s="277">
        <v>0</v>
      </c>
      <c r="G929" s="278">
        <f t="shared" si="60"/>
        <v>0</v>
      </c>
      <c r="H929" s="122"/>
    </row>
    <row r="930" spans="2:8" s="34" customFormat="1" hidden="1" x14ac:dyDescent="0.2">
      <c r="B930" s="135"/>
      <c r="C930" s="258" t="s">
        <v>267</v>
      </c>
      <c r="D930" s="254" t="s">
        <v>149</v>
      </c>
      <c r="E930" s="255"/>
      <c r="F930" s="277">
        <v>0</v>
      </c>
      <c r="G930" s="278">
        <f t="shared" si="60"/>
        <v>0</v>
      </c>
      <c r="H930" s="122"/>
    </row>
    <row r="931" spans="2:8" s="34" customFormat="1" hidden="1" x14ac:dyDescent="0.2">
      <c r="B931" s="135"/>
      <c r="C931" s="260" t="s">
        <v>354</v>
      </c>
      <c r="D931" s="254" t="s">
        <v>149</v>
      </c>
      <c r="E931" s="255"/>
      <c r="F931" s="277">
        <v>0</v>
      </c>
      <c r="G931" s="278">
        <f t="shared" si="60"/>
        <v>0</v>
      </c>
      <c r="H931" s="122"/>
    </row>
    <row r="932" spans="2:8" s="34" customFormat="1" hidden="1" x14ac:dyDescent="0.2">
      <c r="B932" s="135"/>
      <c r="C932" s="260" t="s">
        <v>269</v>
      </c>
      <c r="D932" s="254" t="s">
        <v>149</v>
      </c>
      <c r="E932" s="255"/>
      <c r="F932" s="277">
        <v>0</v>
      </c>
      <c r="G932" s="278">
        <f t="shared" si="60"/>
        <v>0</v>
      </c>
      <c r="H932" s="122"/>
    </row>
    <row r="933" spans="2:8" s="34" customFormat="1" hidden="1" x14ac:dyDescent="0.2">
      <c r="B933" s="135"/>
      <c r="C933" s="260" t="s">
        <v>227</v>
      </c>
      <c r="D933" s="254" t="s">
        <v>149</v>
      </c>
      <c r="E933" s="255"/>
      <c r="F933" s="277">
        <v>0</v>
      </c>
      <c r="G933" s="278">
        <f t="shared" si="60"/>
        <v>0</v>
      </c>
      <c r="H933" s="122"/>
    </row>
    <row r="934" spans="2:8" s="34" customFormat="1" hidden="1" x14ac:dyDescent="0.2">
      <c r="B934" s="135"/>
      <c r="C934" s="261" t="s">
        <v>198</v>
      </c>
      <c r="D934" s="254" t="s">
        <v>149</v>
      </c>
      <c r="E934" s="255"/>
      <c r="F934" s="277">
        <v>0</v>
      </c>
      <c r="G934" s="278">
        <f t="shared" si="60"/>
        <v>0</v>
      </c>
      <c r="H934" s="122"/>
    </row>
    <row r="935" spans="2:8" s="34" customFormat="1" hidden="1" x14ac:dyDescent="0.2">
      <c r="B935" s="292" t="s">
        <v>270</v>
      </c>
      <c r="C935" s="264" t="s">
        <v>271</v>
      </c>
      <c r="D935" s="231"/>
      <c r="E935" s="265"/>
      <c r="F935" s="266"/>
      <c r="G935" s="234"/>
      <c r="H935" s="122"/>
    </row>
    <row r="936" spans="2:8" s="34" customFormat="1" hidden="1" x14ac:dyDescent="0.2">
      <c r="B936" s="135"/>
      <c r="C936" s="264" t="s">
        <v>2447</v>
      </c>
      <c r="D936" s="231"/>
      <c r="E936" s="265"/>
      <c r="F936" s="266">
        <v>0</v>
      </c>
      <c r="G936" s="234"/>
      <c r="H936" s="122"/>
    </row>
    <row r="937" spans="2:8" s="34" customFormat="1" hidden="1" x14ac:dyDescent="0.2">
      <c r="B937" s="135"/>
      <c r="C937" s="267" t="s">
        <v>319</v>
      </c>
      <c r="D937" s="231" t="s">
        <v>149</v>
      </c>
      <c r="E937" s="265"/>
      <c r="F937" s="279">
        <v>0</v>
      </c>
      <c r="G937" s="272">
        <f t="shared" ref="G937:G964" si="61">E937*F937</f>
        <v>0</v>
      </c>
      <c r="H937" s="122"/>
    </row>
    <row r="938" spans="2:8" s="34" customFormat="1" hidden="1" x14ac:dyDescent="0.2">
      <c r="B938" s="135"/>
      <c r="C938" s="267" t="s">
        <v>2448</v>
      </c>
      <c r="D938" s="231" t="s">
        <v>149</v>
      </c>
      <c r="E938" s="265"/>
      <c r="F938" s="279">
        <v>0</v>
      </c>
      <c r="G938" s="272">
        <f t="shared" si="61"/>
        <v>0</v>
      </c>
      <c r="H938" s="122"/>
    </row>
    <row r="939" spans="2:8" s="34" customFormat="1" hidden="1" x14ac:dyDescent="0.2">
      <c r="B939" s="135"/>
      <c r="C939" s="267" t="s">
        <v>256</v>
      </c>
      <c r="D939" s="231" t="s">
        <v>149</v>
      </c>
      <c r="E939" s="265"/>
      <c r="F939" s="279">
        <v>0</v>
      </c>
      <c r="G939" s="272">
        <f t="shared" si="61"/>
        <v>0</v>
      </c>
      <c r="H939" s="122"/>
    </row>
    <row r="940" spans="2:8" s="34" customFormat="1" hidden="1" x14ac:dyDescent="0.2">
      <c r="B940" s="135"/>
      <c r="C940" s="267" t="s">
        <v>208</v>
      </c>
      <c r="D940" s="231" t="s">
        <v>149</v>
      </c>
      <c r="E940" s="265"/>
      <c r="F940" s="279">
        <v>0</v>
      </c>
      <c r="G940" s="272">
        <f t="shared" si="61"/>
        <v>0</v>
      </c>
      <c r="H940" s="122"/>
    </row>
    <row r="941" spans="2:8" s="34" customFormat="1" hidden="1" x14ac:dyDescent="0.2">
      <c r="B941" s="135"/>
      <c r="C941" s="267" t="s">
        <v>257</v>
      </c>
      <c r="D941" s="231" t="s">
        <v>149</v>
      </c>
      <c r="E941" s="265"/>
      <c r="F941" s="279">
        <v>0</v>
      </c>
      <c r="G941" s="272">
        <f t="shared" si="61"/>
        <v>0</v>
      </c>
      <c r="H941" s="122"/>
    </row>
    <row r="942" spans="2:8" s="34" customFormat="1" ht="15" hidden="1" customHeight="1" x14ac:dyDescent="0.2">
      <c r="B942" s="135"/>
      <c r="C942" s="267" t="s">
        <v>273</v>
      </c>
      <c r="D942" s="231" t="s">
        <v>149</v>
      </c>
      <c r="E942" s="265"/>
      <c r="F942" s="279">
        <v>0</v>
      </c>
      <c r="G942" s="272">
        <f t="shared" si="61"/>
        <v>0</v>
      </c>
      <c r="H942" s="122"/>
    </row>
    <row r="943" spans="2:8" s="34" customFormat="1" ht="15" hidden="1" customHeight="1" x14ac:dyDescent="0.2">
      <c r="B943" s="135"/>
      <c r="C943" s="267" t="s">
        <v>274</v>
      </c>
      <c r="D943" s="231" t="s">
        <v>149</v>
      </c>
      <c r="E943" s="265"/>
      <c r="F943" s="279">
        <v>0</v>
      </c>
      <c r="G943" s="272">
        <f t="shared" si="61"/>
        <v>0</v>
      </c>
      <c r="H943" s="122"/>
    </row>
    <row r="944" spans="2:8" s="34" customFormat="1" ht="15" hidden="1" customHeight="1" x14ac:dyDescent="0.2">
      <c r="B944" s="135"/>
      <c r="C944" s="267" t="s">
        <v>275</v>
      </c>
      <c r="D944" s="231" t="s">
        <v>149</v>
      </c>
      <c r="E944" s="265"/>
      <c r="F944" s="279">
        <v>0</v>
      </c>
      <c r="G944" s="272">
        <f t="shared" si="61"/>
        <v>0</v>
      </c>
      <c r="H944" s="122"/>
    </row>
    <row r="945" spans="2:8" s="34" customFormat="1" ht="12" hidden="1" customHeight="1" x14ac:dyDescent="0.2">
      <c r="B945" s="135"/>
      <c r="C945" s="268" t="s">
        <v>276</v>
      </c>
      <c r="D945" s="231" t="s">
        <v>149</v>
      </c>
      <c r="E945" s="265"/>
      <c r="F945" s="279">
        <v>0</v>
      </c>
      <c r="G945" s="272">
        <f t="shared" si="61"/>
        <v>0</v>
      </c>
      <c r="H945" s="122"/>
    </row>
    <row r="946" spans="2:8" s="34" customFormat="1" ht="12.75" hidden="1" customHeight="1" x14ac:dyDescent="0.2">
      <c r="B946" s="135"/>
      <c r="C946" s="268" t="s">
        <v>277</v>
      </c>
      <c r="D946" s="231" t="s">
        <v>149</v>
      </c>
      <c r="E946" s="265"/>
      <c r="F946" s="279">
        <v>0</v>
      </c>
      <c r="G946" s="272">
        <f t="shared" si="61"/>
        <v>0</v>
      </c>
      <c r="H946" s="122"/>
    </row>
    <row r="947" spans="2:8" s="34" customFormat="1" ht="12.75" hidden="1" customHeight="1" x14ac:dyDescent="0.2">
      <c r="B947" s="135"/>
      <c r="C947" s="268" t="s">
        <v>278</v>
      </c>
      <c r="D947" s="231" t="s">
        <v>149</v>
      </c>
      <c r="E947" s="265"/>
      <c r="F947" s="279">
        <v>0</v>
      </c>
      <c r="G947" s="272">
        <f t="shared" si="61"/>
        <v>0</v>
      </c>
      <c r="H947" s="122"/>
    </row>
    <row r="948" spans="2:8" s="34" customFormat="1" hidden="1" x14ac:dyDescent="0.2">
      <c r="B948" s="135"/>
      <c r="C948" s="268" t="s">
        <v>262</v>
      </c>
      <c r="D948" s="231" t="s">
        <v>149</v>
      </c>
      <c r="E948" s="265"/>
      <c r="F948" s="279">
        <v>0</v>
      </c>
      <c r="G948" s="272">
        <f t="shared" si="61"/>
        <v>0</v>
      </c>
      <c r="H948" s="122"/>
    </row>
    <row r="949" spans="2:8" s="34" customFormat="1" ht="14.25" hidden="1" customHeight="1" x14ac:dyDescent="0.2">
      <c r="B949" s="135"/>
      <c r="C949" s="268" t="s">
        <v>279</v>
      </c>
      <c r="D949" s="231" t="s">
        <v>149</v>
      </c>
      <c r="E949" s="265"/>
      <c r="F949" s="279">
        <v>0</v>
      </c>
      <c r="G949" s="272">
        <f t="shared" si="61"/>
        <v>0</v>
      </c>
      <c r="H949" s="122"/>
    </row>
    <row r="950" spans="2:8" s="34" customFormat="1" ht="14.25" hidden="1" customHeight="1" x14ac:dyDescent="0.2">
      <c r="B950" s="135"/>
      <c r="C950" s="268" t="s">
        <v>280</v>
      </c>
      <c r="D950" s="231" t="s">
        <v>149</v>
      </c>
      <c r="E950" s="265"/>
      <c r="F950" s="279">
        <v>0</v>
      </c>
      <c r="G950" s="272">
        <f t="shared" si="61"/>
        <v>0</v>
      </c>
      <c r="H950" s="122"/>
    </row>
    <row r="951" spans="2:8" s="34" customFormat="1" ht="14.25" hidden="1" customHeight="1" x14ac:dyDescent="0.2">
      <c r="B951" s="135"/>
      <c r="C951" s="268" t="s">
        <v>281</v>
      </c>
      <c r="D951" s="231" t="s">
        <v>149</v>
      </c>
      <c r="E951" s="265"/>
      <c r="F951" s="279">
        <v>0</v>
      </c>
      <c r="G951" s="272">
        <f t="shared" si="61"/>
        <v>0</v>
      </c>
      <c r="H951" s="122"/>
    </row>
    <row r="952" spans="2:8" s="34" customFormat="1" ht="14.25" hidden="1" customHeight="1" x14ac:dyDescent="0.2">
      <c r="B952" s="135"/>
      <c r="C952" s="268" t="s">
        <v>282</v>
      </c>
      <c r="D952" s="231" t="s">
        <v>149</v>
      </c>
      <c r="E952" s="265"/>
      <c r="F952" s="279">
        <v>0</v>
      </c>
      <c r="G952" s="272">
        <f t="shared" si="61"/>
        <v>0</v>
      </c>
      <c r="H952" s="122"/>
    </row>
    <row r="953" spans="2:8" s="34" customFormat="1" hidden="1" x14ac:dyDescent="0.2">
      <c r="B953" s="135"/>
      <c r="C953" s="235" t="s">
        <v>283</v>
      </c>
      <c r="D953" s="231" t="s">
        <v>149</v>
      </c>
      <c r="E953" s="265"/>
      <c r="F953" s="279">
        <v>0</v>
      </c>
      <c r="G953" s="272">
        <f t="shared" si="61"/>
        <v>0</v>
      </c>
      <c r="H953" s="122"/>
    </row>
    <row r="954" spans="2:8" s="34" customFormat="1" ht="42" hidden="1" customHeight="1" x14ac:dyDescent="0.2">
      <c r="B954" s="135"/>
      <c r="C954" s="235" t="s">
        <v>284</v>
      </c>
      <c r="D954" s="231" t="s">
        <v>149</v>
      </c>
      <c r="E954" s="265"/>
      <c r="F954" s="279">
        <v>0</v>
      </c>
      <c r="G954" s="272">
        <f t="shared" si="61"/>
        <v>0</v>
      </c>
      <c r="H954" s="122"/>
    </row>
    <row r="955" spans="2:8" s="34" customFormat="1" ht="38.25" hidden="1" customHeight="1" x14ac:dyDescent="0.2">
      <c r="B955" s="135"/>
      <c r="C955" s="268" t="s">
        <v>285</v>
      </c>
      <c r="D955" s="231" t="s">
        <v>149</v>
      </c>
      <c r="E955" s="265"/>
      <c r="F955" s="279">
        <v>0</v>
      </c>
      <c r="G955" s="272">
        <f t="shared" si="61"/>
        <v>0</v>
      </c>
      <c r="H955" s="122"/>
    </row>
    <row r="956" spans="2:8" s="34" customFormat="1" hidden="1" x14ac:dyDescent="0.2">
      <c r="B956" s="135"/>
      <c r="C956" s="267" t="s">
        <v>191</v>
      </c>
      <c r="D956" s="231" t="s">
        <v>149</v>
      </c>
      <c r="E956" s="265"/>
      <c r="F956" s="279">
        <v>0</v>
      </c>
      <c r="G956" s="272">
        <f t="shared" si="61"/>
        <v>0</v>
      </c>
      <c r="H956" s="122"/>
    </row>
    <row r="957" spans="2:8" s="34" customFormat="1" hidden="1" x14ac:dyDescent="0.2">
      <c r="B957" s="135"/>
      <c r="C957" s="268" t="s">
        <v>193</v>
      </c>
      <c r="D957" s="231" t="s">
        <v>149</v>
      </c>
      <c r="E957" s="265"/>
      <c r="F957" s="279">
        <v>0</v>
      </c>
      <c r="G957" s="272">
        <f t="shared" si="61"/>
        <v>0</v>
      </c>
      <c r="H957" s="122"/>
    </row>
    <row r="958" spans="2:8" s="34" customFormat="1" hidden="1" x14ac:dyDescent="0.2">
      <c r="B958" s="135"/>
      <c r="C958" s="268" t="s">
        <v>194</v>
      </c>
      <c r="D958" s="231" t="s">
        <v>149</v>
      </c>
      <c r="E958" s="265"/>
      <c r="F958" s="279">
        <v>0</v>
      </c>
      <c r="G958" s="272">
        <f t="shared" si="61"/>
        <v>0</v>
      </c>
      <c r="H958" s="122"/>
    </row>
    <row r="959" spans="2:8" s="34" customFormat="1" hidden="1" x14ac:dyDescent="0.2">
      <c r="B959" s="135"/>
      <c r="C959" s="267" t="s">
        <v>286</v>
      </c>
      <c r="D959" s="231" t="s">
        <v>149</v>
      </c>
      <c r="E959" s="265"/>
      <c r="F959" s="279">
        <v>0</v>
      </c>
      <c r="G959" s="272">
        <f t="shared" si="61"/>
        <v>0</v>
      </c>
      <c r="H959" s="122"/>
    </row>
    <row r="960" spans="2:8" s="34" customFormat="1" hidden="1" x14ac:dyDescent="0.2">
      <c r="B960" s="135"/>
      <c r="C960" s="235" t="s">
        <v>323</v>
      </c>
      <c r="D960" s="231" t="s">
        <v>149</v>
      </c>
      <c r="E960" s="265"/>
      <c r="F960" s="279">
        <v>0</v>
      </c>
      <c r="G960" s="272">
        <f t="shared" si="61"/>
        <v>0</v>
      </c>
      <c r="H960" s="122"/>
    </row>
    <row r="961" spans="2:8" s="34" customFormat="1" hidden="1" x14ac:dyDescent="0.2">
      <c r="B961" s="135"/>
      <c r="C961" s="235" t="s">
        <v>269</v>
      </c>
      <c r="D961" s="231" t="s">
        <v>149</v>
      </c>
      <c r="E961" s="265"/>
      <c r="F961" s="279">
        <v>0</v>
      </c>
      <c r="G961" s="272">
        <f t="shared" si="61"/>
        <v>0</v>
      </c>
      <c r="H961" s="122"/>
    </row>
    <row r="962" spans="2:8" s="34" customFormat="1" hidden="1" x14ac:dyDescent="0.2">
      <c r="B962" s="135"/>
      <c r="C962" s="235" t="s">
        <v>227</v>
      </c>
      <c r="D962" s="231" t="s">
        <v>149</v>
      </c>
      <c r="E962" s="265"/>
      <c r="F962" s="279">
        <v>0</v>
      </c>
      <c r="G962" s="272">
        <f t="shared" si="61"/>
        <v>0</v>
      </c>
      <c r="H962" s="122"/>
    </row>
    <row r="963" spans="2:8" s="34" customFormat="1" hidden="1" x14ac:dyDescent="0.2">
      <c r="B963" s="135"/>
      <c r="C963" s="235" t="s">
        <v>197</v>
      </c>
      <c r="D963" s="231" t="s">
        <v>149</v>
      </c>
      <c r="E963" s="265"/>
      <c r="F963" s="279">
        <v>0</v>
      </c>
      <c r="G963" s="272">
        <f t="shared" si="61"/>
        <v>0</v>
      </c>
      <c r="H963" s="122"/>
    </row>
    <row r="964" spans="2:8" s="34" customFormat="1" hidden="1" x14ac:dyDescent="0.2">
      <c r="B964" s="135"/>
      <c r="C964" s="237" t="s">
        <v>198</v>
      </c>
      <c r="D964" s="231" t="s">
        <v>149</v>
      </c>
      <c r="E964" s="265"/>
      <c r="F964" s="279">
        <v>0</v>
      </c>
      <c r="G964" s="272">
        <f t="shared" si="61"/>
        <v>0</v>
      </c>
      <c r="H964" s="122"/>
    </row>
    <row r="965" spans="2:8" s="34" customFormat="1" hidden="1" x14ac:dyDescent="0.2">
      <c r="B965" s="135"/>
      <c r="C965" s="264" t="s">
        <v>873</v>
      </c>
      <c r="D965" s="231"/>
      <c r="E965" s="265"/>
      <c r="F965" s="266">
        <v>0</v>
      </c>
      <c r="G965" s="234"/>
      <c r="H965" s="122"/>
    </row>
    <row r="966" spans="2:8" s="34" customFormat="1" hidden="1" x14ac:dyDescent="0.2">
      <c r="B966" s="135"/>
      <c r="C966" s="267" t="s">
        <v>341</v>
      </c>
      <c r="D966" s="231" t="s">
        <v>149</v>
      </c>
      <c r="E966" s="265"/>
      <c r="F966" s="279">
        <v>0</v>
      </c>
      <c r="G966" s="272">
        <f t="shared" ref="G966:G993" si="62">E966*F966</f>
        <v>0</v>
      </c>
      <c r="H966" s="122"/>
    </row>
    <row r="967" spans="2:8" s="34" customFormat="1" hidden="1" x14ac:dyDescent="0.2">
      <c r="B967" s="135"/>
      <c r="C967" s="267" t="s">
        <v>2213</v>
      </c>
      <c r="D967" s="231" t="s">
        <v>149</v>
      </c>
      <c r="E967" s="265"/>
      <c r="F967" s="279">
        <v>0</v>
      </c>
      <c r="G967" s="272">
        <f t="shared" si="62"/>
        <v>0</v>
      </c>
      <c r="H967" s="122"/>
    </row>
    <row r="968" spans="2:8" s="34" customFormat="1" hidden="1" x14ac:dyDescent="0.2">
      <c r="B968" s="135"/>
      <c r="C968" s="267" t="s">
        <v>256</v>
      </c>
      <c r="D968" s="231" t="s">
        <v>149</v>
      </c>
      <c r="E968" s="265"/>
      <c r="F968" s="279">
        <v>0</v>
      </c>
      <c r="G968" s="272">
        <f t="shared" si="62"/>
        <v>0</v>
      </c>
      <c r="H968" s="122"/>
    </row>
    <row r="969" spans="2:8" s="34" customFormat="1" hidden="1" x14ac:dyDescent="0.2">
      <c r="B969" s="135"/>
      <c r="C969" s="267" t="s">
        <v>208</v>
      </c>
      <c r="D969" s="231" t="s">
        <v>149</v>
      </c>
      <c r="E969" s="265"/>
      <c r="F969" s="279">
        <v>0</v>
      </c>
      <c r="G969" s="272">
        <f t="shared" si="62"/>
        <v>0</v>
      </c>
      <c r="H969" s="122"/>
    </row>
    <row r="970" spans="2:8" s="34" customFormat="1" hidden="1" x14ac:dyDescent="0.2">
      <c r="B970" s="135"/>
      <c r="C970" s="267" t="s">
        <v>257</v>
      </c>
      <c r="D970" s="231" t="s">
        <v>149</v>
      </c>
      <c r="E970" s="265"/>
      <c r="F970" s="279">
        <v>0</v>
      </c>
      <c r="G970" s="272">
        <f t="shared" si="62"/>
        <v>0</v>
      </c>
      <c r="H970" s="122"/>
    </row>
    <row r="971" spans="2:8" s="34" customFormat="1" ht="15" hidden="1" customHeight="1" x14ac:dyDescent="0.2">
      <c r="B971" s="135"/>
      <c r="C971" s="267" t="s">
        <v>273</v>
      </c>
      <c r="D971" s="231" t="s">
        <v>149</v>
      </c>
      <c r="E971" s="265"/>
      <c r="F971" s="279">
        <v>0</v>
      </c>
      <c r="G971" s="272">
        <f t="shared" si="62"/>
        <v>0</v>
      </c>
      <c r="H971" s="122"/>
    </row>
    <row r="972" spans="2:8" s="34" customFormat="1" ht="15" hidden="1" customHeight="1" x14ac:dyDescent="0.2">
      <c r="B972" s="135"/>
      <c r="C972" s="267" t="s">
        <v>274</v>
      </c>
      <c r="D972" s="231" t="s">
        <v>149</v>
      </c>
      <c r="E972" s="265"/>
      <c r="F972" s="279">
        <v>0</v>
      </c>
      <c r="G972" s="272">
        <f t="shared" si="62"/>
        <v>0</v>
      </c>
      <c r="H972" s="122"/>
    </row>
    <row r="973" spans="2:8" s="34" customFormat="1" ht="15" hidden="1" customHeight="1" x14ac:dyDescent="0.2">
      <c r="B973" s="135"/>
      <c r="C973" s="267" t="s">
        <v>275</v>
      </c>
      <c r="D973" s="231" t="s">
        <v>149</v>
      </c>
      <c r="E973" s="265"/>
      <c r="F973" s="279">
        <v>0</v>
      </c>
      <c r="G973" s="272">
        <f t="shared" si="62"/>
        <v>0</v>
      </c>
      <c r="H973" s="122"/>
    </row>
    <row r="974" spans="2:8" s="34" customFormat="1" ht="12" hidden="1" customHeight="1" x14ac:dyDescent="0.2">
      <c r="B974" s="135"/>
      <c r="C974" s="268" t="s">
        <v>276</v>
      </c>
      <c r="D974" s="231" t="s">
        <v>149</v>
      </c>
      <c r="E974" s="265"/>
      <c r="F974" s="279">
        <v>0</v>
      </c>
      <c r="G974" s="272">
        <f t="shared" si="62"/>
        <v>0</v>
      </c>
      <c r="H974" s="122"/>
    </row>
    <row r="975" spans="2:8" s="34" customFormat="1" ht="12.75" hidden="1" customHeight="1" x14ac:dyDescent="0.2">
      <c r="B975" s="135"/>
      <c r="C975" s="268" t="s">
        <v>277</v>
      </c>
      <c r="D975" s="231" t="s">
        <v>149</v>
      </c>
      <c r="E975" s="265"/>
      <c r="F975" s="279">
        <v>0</v>
      </c>
      <c r="G975" s="272">
        <f t="shared" si="62"/>
        <v>0</v>
      </c>
      <c r="H975" s="122"/>
    </row>
    <row r="976" spans="2:8" s="34" customFormat="1" ht="12.75" hidden="1" customHeight="1" x14ac:dyDescent="0.2">
      <c r="B976" s="135"/>
      <c r="C976" s="268" t="s">
        <v>278</v>
      </c>
      <c r="D976" s="231" t="s">
        <v>149</v>
      </c>
      <c r="E976" s="265"/>
      <c r="F976" s="279">
        <v>0</v>
      </c>
      <c r="G976" s="272">
        <f t="shared" si="62"/>
        <v>0</v>
      </c>
      <c r="H976" s="122"/>
    </row>
    <row r="977" spans="2:8" s="34" customFormat="1" hidden="1" x14ac:dyDescent="0.2">
      <c r="B977" s="135"/>
      <c r="C977" s="268" t="s">
        <v>262</v>
      </c>
      <c r="D977" s="231" t="s">
        <v>149</v>
      </c>
      <c r="E977" s="265"/>
      <c r="F977" s="279">
        <v>0</v>
      </c>
      <c r="G977" s="272">
        <f t="shared" si="62"/>
        <v>0</v>
      </c>
      <c r="H977" s="122"/>
    </row>
    <row r="978" spans="2:8" s="34" customFormat="1" ht="14.25" hidden="1" customHeight="1" x14ac:dyDescent="0.2">
      <c r="B978" s="135"/>
      <c r="C978" s="268" t="s">
        <v>279</v>
      </c>
      <c r="D978" s="231" t="s">
        <v>149</v>
      </c>
      <c r="E978" s="265"/>
      <c r="F978" s="279">
        <v>0</v>
      </c>
      <c r="G978" s="272">
        <f t="shared" si="62"/>
        <v>0</v>
      </c>
      <c r="H978" s="122"/>
    </row>
    <row r="979" spans="2:8" s="34" customFormat="1" ht="14.25" hidden="1" customHeight="1" x14ac:dyDescent="0.2">
      <c r="B979" s="135"/>
      <c r="C979" s="268" t="s">
        <v>280</v>
      </c>
      <c r="D979" s="231" t="s">
        <v>149</v>
      </c>
      <c r="E979" s="265"/>
      <c r="F979" s="279">
        <v>0</v>
      </c>
      <c r="G979" s="272">
        <f t="shared" si="62"/>
        <v>0</v>
      </c>
      <c r="H979" s="122"/>
    </row>
    <row r="980" spans="2:8" s="34" customFormat="1" ht="14.25" hidden="1" customHeight="1" x14ac:dyDescent="0.2">
      <c r="B980" s="135"/>
      <c r="C980" s="268" t="s">
        <v>281</v>
      </c>
      <c r="D980" s="231" t="s">
        <v>149</v>
      </c>
      <c r="E980" s="265"/>
      <c r="F980" s="279">
        <v>0</v>
      </c>
      <c r="G980" s="272">
        <f t="shared" si="62"/>
        <v>0</v>
      </c>
      <c r="H980" s="122"/>
    </row>
    <row r="981" spans="2:8" s="34" customFormat="1" ht="14.25" hidden="1" customHeight="1" x14ac:dyDescent="0.2">
      <c r="B981" s="135"/>
      <c r="C981" s="268" t="s">
        <v>282</v>
      </c>
      <c r="D981" s="231" t="s">
        <v>149</v>
      </c>
      <c r="E981" s="265"/>
      <c r="F981" s="279">
        <v>0</v>
      </c>
      <c r="G981" s="272">
        <f t="shared" si="62"/>
        <v>0</v>
      </c>
      <c r="H981" s="122"/>
    </row>
    <row r="982" spans="2:8" s="34" customFormat="1" hidden="1" x14ac:dyDescent="0.2">
      <c r="B982" s="135"/>
      <c r="C982" s="235" t="s">
        <v>283</v>
      </c>
      <c r="D982" s="231" t="s">
        <v>149</v>
      </c>
      <c r="E982" s="265"/>
      <c r="F982" s="279">
        <v>0</v>
      </c>
      <c r="G982" s="272">
        <f t="shared" si="62"/>
        <v>0</v>
      </c>
      <c r="H982" s="122"/>
    </row>
    <row r="983" spans="2:8" s="34" customFormat="1" ht="41.25" hidden="1" customHeight="1" x14ac:dyDescent="0.2">
      <c r="B983" s="135"/>
      <c r="C983" s="235" t="s">
        <v>284</v>
      </c>
      <c r="D983" s="231" t="s">
        <v>149</v>
      </c>
      <c r="E983" s="265"/>
      <c r="F983" s="279">
        <v>0</v>
      </c>
      <c r="G983" s="272">
        <f t="shared" si="62"/>
        <v>0</v>
      </c>
      <c r="H983" s="122"/>
    </row>
    <row r="984" spans="2:8" s="34" customFormat="1" ht="38.25" hidden="1" customHeight="1" x14ac:dyDescent="0.2">
      <c r="B984" s="135"/>
      <c r="C984" s="268" t="s">
        <v>285</v>
      </c>
      <c r="D984" s="231" t="s">
        <v>149</v>
      </c>
      <c r="E984" s="265"/>
      <c r="F984" s="279">
        <v>0</v>
      </c>
      <c r="G984" s="272">
        <f t="shared" si="62"/>
        <v>0</v>
      </c>
      <c r="H984" s="122"/>
    </row>
    <row r="985" spans="2:8" s="34" customFormat="1" hidden="1" x14ac:dyDescent="0.2">
      <c r="B985" s="135"/>
      <c r="C985" s="267" t="s">
        <v>191</v>
      </c>
      <c r="D985" s="231" t="s">
        <v>149</v>
      </c>
      <c r="E985" s="265"/>
      <c r="F985" s="279">
        <v>0</v>
      </c>
      <c r="G985" s="272">
        <f t="shared" si="62"/>
        <v>0</v>
      </c>
      <c r="H985" s="122"/>
    </row>
    <row r="986" spans="2:8" s="34" customFormat="1" hidden="1" x14ac:dyDescent="0.2">
      <c r="B986" s="135"/>
      <c r="C986" s="268" t="s">
        <v>193</v>
      </c>
      <c r="D986" s="231" t="s">
        <v>149</v>
      </c>
      <c r="E986" s="265"/>
      <c r="F986" s="279">
        <v>0</v>
      </c>
      <c r="G986" s="272">
        <f t="shared" si="62"/>
        <v>0</v>
      </c>
      <c r="H986" s="122"/>
    </row>
    <row r="987" spans="2:8" s="34" customFormat="1" hidden="1" x14ac:dyDescent="0.2">
      <c r="B987" s="135"/>
      <c r="C987" s="268" t="s">
        <v>194</v>
      </c>
      <c r="D987" s="231" t="s">
        <v>149</v>
      </c>
      <c r="E987" s="265"/>
      <c r="F987" s="279">
        <v>0</v>
      </c>
      <c r="G987" s="272">
        <f t="shared" si="62"/>
        <v>0</v>
      </c>
      <c r="H987" s="122"/>
    </row>
    <row r="988" spans="2:8" s="34" customFormat="1" hidden="1" x14ac:dyDescent="0.2">
      <c r="B988" s="135"/>
      <c r="C988" s="267" t="s">
        <v>286</v>
      </c>
      <c r="D988" s="231" t="s">
        <v>149</v>
      </c>
      <c r="E988" s="265"/>
      <c r="F988" s="279">
        <v>0</v>
      </c>
      <c r="G988" s="272">
        <f t="shared" si="62"/>
        <v>0</v>
      </c>
      <c r="H988" s="122"/>
    </row>
    <row r="989" spans="2:8" s="34" customFormat="1" hidden="1" x14ac:dyDescent="0.2">
      <c r="B989" s="135"/>
      <c r="C989" s="235" t="s">
        <v>354</v>
      </c>
      <c r="D989" s="231" t="s">
        <v>149</v>
      </c>
      <c r="E989" s="265"/>
      <c r="F989" s="279">
        <v>0</v>
      </c>
      <c r="G989" s="272">
        <f t="shared" si="62"/>
        <v>0</v>
      </c>
      <c r="H989" s="122"/>
    </row>
    <row r="990" spans="2:8" s="34" customFormat="1" hidden="1" x14ac:dyDescent="0.2">
      <c r="B990" s="135"/>
      <c r="C990" s="235" t="s">
        <v>269</v>
      </c>
      <c r="D990" s="231" t="s">
        <v>149</v>
      </c>
      <c r="E990" s="265"/>
      <c r="F990" s="279">
        <v>0</v>
      </c>
      <c r="G990" s="272">
        <f t="shared" si="62"/>
        <v>0</v>
      </c>
      <c r="H990" s="122"/>
    </row>
    <row r="991" spans="2:8" s="34" customFormat="1" hidden="1" x14ac:dyDescent="0.2">
      <c r="B991" s="135"/>
      <c r="C991" s="235" t="s">
        <v>227</v>
      </c>
      <c r="D991" s="231" t="s">
        <v>149</v>
      </c>
      <c r="E991" s="265"/>
      <c r="F991" s="279">
        <v>0</v>
      </c>
      <c r="G991" s="272">
        <f t="shared" si="62"/>
        <v>0</v>
      </c>
      <c r="H991" s="122"/>
    </row>
    <row r="992" spans="2:8" s="34" customFormat="1" hidden="1" x14ac:dyDescent="0.2">
      <c r="B992" s="135"/>
      <c r="C992" s="235" t="s">
        <v>197</v>
      </c>
      <c r="D992" s="231" t="s">
        <v>149</v>
      </c>
      <c r="E992" s="265"/>
      <c r="F992" s="279">
        <v>0</v>
      </c>
      <c r="G992" s="272">
        <f t="shared" si="62"/>
        <v>0</v>
      </c>
      <c r="H992" s="122"/>
    </row>
    <row r="993" spans="2:8" s="34" customFormat="1" hidden="1" x14ac:dyDescent="0.2">
      <c r="B993" s="135"/>
      <c r="C993" s="237" t="s">
        <v>198</v>
      </c>
      <c r="D993" s="231" t="s">
        <v>149</v>
      </c>
      <c r="E993" s="265"/>
      <c r="F993" s="279">
        <v>0</v>
      </c>
      <c r="G993" s="272">
        <f t="shared" si="62"/>
        <v>0</v>
      </c>
      <c r="H993" s="122"/>
    </row>
    <row r="994" spans="2:8" s="34" customFormat="1" hidden="1" x14ac:dyDescent="0.2">
      <c r="B994" s="135"/>
      <c r="C994" s="264" t="s">
        <v>272</v>
      </c>
      <c r="D994" s="231"/>
      <c r="E994" s="265"/>
      <c r="F994" s="266">
        <v>0</v>
      </c>
      <c r="G994" s="234"/>
      <c r="H994" s="122"/>
    </row>
    <row r="995" spans="2:8" s="34" customFormat="1" hidden="1" x14ac:dyDescent="0.2">
      <c r="B995" s="135"/>
      <c r="C995" s="267" t="s">
        <v>256</v>
      </c>
      <c r="D995" s="231" t="s">
        <v>149</v>
      </c>
      <c r="E995" s="265"/>
      <c r="F995" s="279">
        <v>0</v>
      </c>
      <c r="G995" s="272">
        <f t="shared" ref="G995:G1020" si="63">E995*F995</f>
        <v>0</v>
      </c>
      <c r="H995" s="122"/>
    </row>
    <row r="996" spans="2:8" s="34" customFormat="1" hidden="1" x14ac:dyDescent="0.2">
      <c r="B996" s="135"/>
      <c r="C996" s="267" t="s">
        <v>208</v>
      </c>
      <c r="D996" s="231" t="s">
        <v>149</v>
      </c>
      <c r="E996" s="265"/>
      <c r="F996" s="279">
        <v>0</v>
      </c>
      <c r="G996" s="272">
        <f t="shared" si="63"/>
        <v>0</v>
      </c>
      <c r="H996" s="122"/>
    </row>
    <row r="997" spans="2:8" s="34" customFormat="1" hidden="1" x14ac:dyDescent="0.2">
      <c r="B997" s="135"/>
      <c r="C997" s="267" t="s">
        <v>257</v>
      </c>
      <c r="D997" s="231" t="s">
        <v>149</v>
      </c>
      <c r="E997" s="265"/>
      <c r="F997" s="279">
        <v>0</v>
      </c>
      <c r="G997" s="272">
        <f t="shared" si="63"/>
        <v>0</v>
      </c>
      <c r="H997" s="122"/>
    </row>
    <row r="998" spans="2:8" s="34" customFormat="1" ht="15" hidden="1" customHeight="1" x14ac:dyDescent="0.2">
      <c r="B998" s="135"/>
      <c r="C998" s="267" t="s">
        <v>273</v>
      </c>
      <c r="D998" s="231" t="s">
        <v>149</v>
      </c>
      <c r="E998" s="265"/>
      <c r="F998" s="279">
        <v>0</v>
      </c>
      <c r="G998" s="272">
        <f t="shared" si="63"/>
        <v>0</v>
      </c>
      <c r="H998" s="122"/>
    </row>
    <row r="999" spans="2:8" s="34" customFormat="1" ht="15" hidden="1" customHeight="1" x14ac:dyDescent="0.2">
      <c r="B999" s="135"/>
      <c r="C999" s="267" t="s">
        <v>274</v>
      </c>
      <c r="D999" s="231" t="s">
        <v>149</v>
      </c>
      <c r="E999" s="265"/>
      <c r="F999" s="279">
        <v>0</v>
      </c>
      <c r="G999" s="272">
        <f t="shared" si="63"/>
        <v>0</v>
      </c>
      <c r="H999" s="122"/>
    </row>
    <row r="1000" spans="2:8" s="34" customFormat="1" ht="15" hidden="1" customHeight="1" x14ac:dyDescent="0.2">
      <c r="B1000" s="135"/>
      <c r="C1000" s="267" t="s">
        <v>275</v>
      </c>
      <c r="D1000" s="231" t="s">
        <v>149</v>
      </c>
      <c r="E1000" s="265"/>
      <c r="F1000" s="279">
        <v>0</v>
      </c>
      <c r="G1000" s="272">
        <f t="shared" si="63"/>
        <v>0</v>
      </c>
      <c r="H1000" s="122"/>
    </row>
    <row r="1001" spans="2:8" s="34" customFormat="1" ht="12" hidden="1" customHeight="1" x14ac:dyDescent="0.2">
      <c r="B1001" s="135"/>
      <c r="C1001" s="268" t="s">
        <v>276</v>
      </c>
      <c r="D1001" s="231" t="s">
        <v>149</v>
      </c>
      <c r="E1001" s="265"/>
      <c r="F1001" s="279">
        <v>0</v>
      </c>
      <c r="G1001" s="272">
        <f t="shared" si="63"/>
        <v>0</v>
      </c>
      <c r="H1001" s="122"/>
    </row>
    <row r="1002" spans="2:8" s="34" customFormat="1" ht="12.75" hidden="1" customHeight="1" x14ac:dyDescent="0.2">
      <c r="B1002" s="135"/>
      <c r="C1002" s="268" t="s">
        <v>277</v>
      </c>
      <c r="D1002" s="231" t="s">
        <v>149</v>
      </c>
      <c r="E1002" s="265"/>
      <c r="F1002" s="279">
        <v>0</v>
      </c>
      <c r="G1002" s="272">
        <f t="shared" si="63"/>
        <v>0</v>
      </c>
      <c r="H1002" s="122"/>
    </row>
    <row r="1003" spans="2:8" s="34" customFormat="1" ht="12.75" hidden="1" customHeight="1" x14ac:dyDescent="0.2">
      <c r="B1003" s="135"/>
      <c r="C1003" s="268" t="s">
        <v>278</v>
      </c>
      <c r="D1003" s="231" t="s">
        <v>149</v>
      </c>
      <c r="E1003" s="265"/>
      <c r="F1003" s="279">
        <v>0</v>
      </c>
      <c r="G1003" s="272">
        <f t="shared" si="63"/>
        <v>0</v>
      </c>
      <c r="H1003" s="122"/>
    </row>
    <row r="1004" spans="2:8" s="34" customFormat="1" hidden="1" x14ac:dyDescent="0.2">
      <c r="B1004" s="135"/>
      <c r="C1004" s="268" t="s">
        <v>262</v>
      </c>
      <c r="D1004" s="231" t="s">
        <v>149</v>
      </c>
      <c r="E1004" s="265"/>
      <c r="F1004" s="279">
        <v>0</v>
      </c>
      <c r="G1004" s="272">
        <f t="shared" si="63"/>
        <v>0</v>
      </c>
      <c r="H1004" s="122"/>
    </row>
    <row r="1005" spans="2:8" s="34" customFormat="1" ht="14.25" hidden="1" customHeight="1" x14ac:dyDescent="0.2">
      <c r="B1005" s="135"/>
      <c r="C1005" s="268" t="s">
        <v>279</v>
      </c>
      <c r="D1005" s="231" t="s">
        <v>149</v>
      </c>
      <c r="E1005" s="265"/>
      <c r="F1005" s="279">
        <v>0</v>
      </c>
      <c r="G1005" s="272">
        <f t="shared" si="63"/>
        <v>0</v>
      </c>
      <c r="H1005" s="122"/>
    </row>
    <row r="1006" spans="2:8" s="34" customFormat="1" ht="14.25" hidden="1" customHeight="1" x14ac:dyDescent="0.2">
      <c r="B1006" s="135"/>
      <c r="C1006" s="268" t="s">
        <v>280</v>
      </c>
      <c r="D1006" s="231" t="s">
        <v>149</v>
      </c>
      <c r="E1006" s="265"/>
      <c r="F1006" s="279">
        <v>0</v>
      </c>
      <c r="G1006" s="272">
        <f t="shared" si="63"/>
        <v>0</v>
      </c>
      <c r="H1006" s="122"/>
    </row>
    <row r="1007" spans="2:8" s="34" customFormat="1" ht="14.25" hidden="1" customHeight="1" x14ac:dyDescent="0.2">
      <c r="B1007" s="135"/>
      <c r="C1007" s="268" t="s">
        <v>281</v>
      </c>
      <c r="D1007" s="231" t="s">
        <v>149</v>
      </c>
      <c r="E1007" s="265"/>
      <c r="F1007" s="279">
        <v>0</v>
      </c>
      <c r="G1007" s="272">
        <f t="shared" si="63"/>
        <v>0</v>
      </c>
      <c r="H1007" s="122"/>
    </row>
    <row r="1008" spans="2:8" s="34" customFormat="1" ht="14.25" hidden="1" customHeight="1" x14ac:dyDescent="0.2">
      <c r="B1008" s="135"/>
      <c r="C1008" s="268" t="s">
        <v>282</v>
      </c>
      <c r="D1008" s="231" t="s">
        <v>149</v>
      </c>
      <c r="E1008" s="265"/>
      <c r="F1008" s="279">
        <v>0</v>
      </c>
      <c r="G1008" s="272">
        <f t="shared" si="63"/>
        <v>0</v>
      </c>
      <c r="H1008" s="122"/>
    </row>
    <row r="1009" spans="2:8" s="34" customFormat="1" hidden="1" x14ac:dyDescent="0.2">
      <c r="B1009" s="135"/>
      <c r="C1009" s="235" t="s">
        <v>283</v>
      </c>
      <c r="D1009" s="231" t="s">
        <v>149</v>
      </c>
      <c r="E1009" s="265"/>
      <c r="F1009" s="279">
        <v>0</v>
      </c>
      <c r="G1009" s="272">
        <f t="shared" si="63"/>
        <v>0</v>
      </c>
      <c r="H1009" s="122"/>
    </row>
    <row r="1010" spans="2:8" s="34" customFormat="1" ht="41.25" hidden="1" customHeight="1" x14ac:dyDescent="0.2">
      <c r="B1010" s="135"/>
      <c r="C1010" s="235" t="s">
        <v>284</v>
      </c>
      <c r="D1010" s="231" t="s">
        <v>149</v>
      </c>
      <c r="E1010" s="265"/>
      <c r="F1010" s="279">
        <v>0</v>
      </c>
      <c r="G1010" s="272">
        <f t="shared" si="63"/>
        <v>0</v>
      </c>
      <c r="H1010" s="122"/>
    </row>
    <row r="1011" spans="2:8" s="34" customFormat="1" ht="38.25" hidden="1" customHeight="1" x14ac:dyDescent="0.2">
      <c r="B1011" s="135"/>
      <c r="C1011" s="268" t="s">
        <v>285</v>
      </c>
      <c r="D1011" s="231" t="s">
        <v>149</v>
      </c>
      <c r="E1011" s="265"/>
      <c r="F1011" s="279">
        <v>0</v>
      </c>
      <c r="G1011" s="272">
        <f t="shared" si="63"/>
        <v>0</v>
      </c>
      <c r="H1011" s="122"/>
    </row>
    <row r="1012" spans="2:8" s="34" customFormat="1" hidden="1" x14ac:dyDescent="0.2">
      <c r="B1012" s="135"/>
      <c r="C1012" s="267" t="s">
        <v>191</v>
      </c>
      <c r="D1012" s="231" t="s">
        <v>149</v>
      </c>
      <c r="E1012" s="265"/>
      <c r="F1012" s="279">
        <v>0</v>
      </c>
      <c r="G1012" s="272">
        <f t="shared" si="63"/>
        <v>0</v>
      </c>
      <c r="H1012" s="122"/>
    </row>
    <row r="1013" spans="2:8" s="34" customFormat="1" hidden="1" x14ac:dyDescent="0.2">
      <c r="B1013" s="135"/>
      <c r="C1013" s="268" t="s">
        <v>193</v>
      </c>
      <c r="D1013" s="231" t="s">
        <v>149</v>
      </c>
      <c r="E1013" s="265"/>
      <c r="F1013" s="279">
        <v>0</v>
      </c>
      <c r="G1013" s="272">
        <f t="shared" si="63"/>
        <v>0</v>
      </c>
      <c r="H1013" s="122"/>
    </row>
    <row r="1014" spans="2:8" s="34" customFormat="1" hidden="1" x14ac:dyDescent="0.2">
      <c r="B1014" s="135"/>
      <c r="C1014" s="268" t="s">
        <v>194</v>
      </c>
      <c r="D1014" s="231" t="s">
        <v>149</v>
      </c>
      <c r="E1014" s="265"/>
      <c r="F1014" s="279">
        <v>0</v>
      </c>
      <c r="G1014" s="272">
        <f t="shared" si="63"/>
        <v>0</v>
      </c>
      <c r="H1014" s="122"/>
    </row>
    <row r="1015" spans="2:8" s="34" customFormat="1" hidden="1" x14ac:dyDescent="0.2">
      <c r="B1015" s="135"/>
      <c r="C1015" s="267" t="s">
        <v>286</v>
      </c>
      <c r="D1015" s="231" t="s">
        <v>149</v>
      </c>
      <c r="E1015" s="265"/>
      <c r="F1015" s="279">
        <v>0</v>
      </c>
      <c r="G1015" s="272">
        <f t="shared" si="63"/>
        <v>0</v>
      </c>
      <c r="H1015" s="122"/>
    </row>
    <row r="1016" spans="2:8" s="34" customFormat="1" hidden="1" x14ac:dyDescent="0.2">
      <c r="B1016" s="135"/>
      <c r="C1016" s="235" t="s">
        <v>195</v>
      </c>
      <c r="D1016" s="231" t="s">
        <v>149</v>
      </c>
      <c r="E1016" s="265"/>
      <c r="F1016" s="279">
        <v>0</v>
      </c>
      <c r="G1016" s="272">
        <f t="shared" si="63"/>
        <v>0</v>
      </c>
      <c r="H1016" s="122"/>
    </row>
    <row r="1017" spans="2:8" s="34" customFormat="1" hidden="1" x14ac:dyDescent="0.2">
      <c r="B1017" s="135"/>
      <c r="C1017" s="235" t="s">
        <v>218</v>
      </c>
      <c r="D1017" s="231" t="s">
        <v>149</v>
      </c>
      <c r="E1017" s="265"/>
      <c r="F1017" s="279">
        <v>0</v>
      </c>
      <c r="G1017" s="272">
        <f t="shared" si="63"/>
        <v>0</v>
      </c>
      <c r="H1017" s="122"/>
    </row>
    <row r="1018" spans="2:8" s="34" customFormat="1" hidden="1" x14ac:dyDescent="0.2">
      <c r="B1018" s="135"/>
      <c r="C1018" s="235" t="s">
        <v>227</v>
      </c>
      <c r="D1018" s="231" t="s">
        <v>149</v>
      </c>
      <c r="E1018" s="265"/>
      <c r="F1018" s="279">
        <v>0</v>
      </c>
      <c r="G1018" s="272">
        <f t="shared" si="63"/>
        <v>0</v>
      </c>
      <c r="H1018" s="122"/>
    </row>
    <row r="1019" spans="2:8" s="34" customFormat="1" hidden="1" x14ac:dyDescent="0.2">
      <c r="B1019" s="135"/>
      <c r="C1019" s="235" t="s">
        <v>197</v>
      </c>
      <c r="D1019" s="231" t="s">
        <v>149</v>
      </c>
      <c r="E1019" s="265"/>
      <c r="F1019" s="279">
        <v>0</v>
      </c>
      <c r="G1019" s="272">
        <f t="shared" si="63"/>
        <v>0</v>
      </c>
      <c r="H1019" s="122"/>
    </row>
    <row r="1020" spans="2:8" s="34" customFormat="1" hidden="1" x14ac:dyDescent="0.2">
      <c r="B1020" s="135"/>
      <c r="C1020" s="237" t="s">
        <v>198</v>
      </c>
      <c r="D1020" s="231" t="s">
        <v>149</v>
      </c>
      <c r="E1020" s="265"/>
      <c r="F1020" s="279">
        <v>0</v>
      </c>
      <c r="G1020" s="272">
        <f t="shared" si="63"/>
        <v>0</v>
      </c>
      <c r="H1020" s="122"/>
    </row>
    <row r="1021" spans="2:8" s="34" customFormat="1" hidden="1" x14ac:dyDescent="0.2">
      <c r="B1021" s="135"/>
      <c r="C1021" s="264" t="s">
        <v>287</v>
      </c>
      <c r="D1021" s="231"/>
      <c r="E1021" s="265"/>
      <c r="F1021" s="266">
        <v>0</v>
      </c>
      <c r="G1021" s="234"/>
      <c r="H1021" s="122"/>
    </row>
    <row r="1022" spans="2:8" s="34" customFormat="1" hidden="1" x14ac:dyDescent="0.2">
      <c r="B1022" s="135"/>
      <c r="C1022" s="267" t="s">
        <v>256</v>
      </c>
      <c r="D1022" s="231" t="s">
        <v>149</v>
      </c>
      <c r="E1022" s="265"/>
      <c r="F1022" s="279">
        <v>0</v>
      </c>
      <c r="G1022" s="272">
        <f t="shared" ref="G1022:G1051" si="64">E1022*F1022</f>
        <v>0</v>
      </c>
      <c r="H1022" s="122"/>
    </row>
    <row r="1023" spans="2:8" s="34" customFormat="1" hidden="1" x14ac:dyDescent="0.2">
      <c r="B1023" s="135"/>
      <c r="C1023" s="267" t="s">
        <v>288</v>
      </c>
      <c r="D1023" s="231" t="s">
        <v>149</v>
      </c>
      <c r="E1023" s="265"/>
      <c r="F1023" s="279">
        <v>0</v>
      </c>
      <c r="G1023" s="272">
        <f t="shared" si="64"/>
        <v>0</v>
      </c>
      <c r="H1023" s="122"/>
    </row>
    <row r="1024" spans="2:8" s="34" customFormat="1" hidden="1" x14ac:dyDescent="0.2">
      <c r="B1024" s="135"/>
      <c r="C1024" s="267" t="s">
        <v>289</v>
      </c>
      <c r="D1024" s="231" t="s">
        <v>149</v>
      </c>
      <c r="E1024" s="265"/>
      <c r="F1024" s="279">
        <v>0</v>
      </c>
      <c r="G1024" s="272">
        <f t="shared" si="64"/>
        <v>0</v>
      </c>
      <c r="H1024" s="122"/>
    </row>
    <row r="1025" spans="2:8" s="34" customFormat="1" hidden="1" x14ac:dyDescent="0.2">
      <c r="B1025" s="135"/>
      <c r="C1025" s="267" t="s">
        <v>213</v>
      </c>
      <c r="D1025" s="231" t="s">
        <v>149</v>
      </c>
      <c r="E1025" s="265"/>
      <c r="F1025" s="279">
        <v>0</v>
      </c>
      <c r="G1025" s="272">
        <f t="shared" si="64"/>
        <v>0</v>
      </c>
      <c r="H1025" s="122"/>
    </row>
    <row r="1026" spans="2:8" s="34" customFormat="1" hidden="1" x14ac:dyDescent="0.2">
      <c r="B1026" s="135"/>
      <c r="C1026" s="267" t="s">
        <v>290</v>
      </c>
      <c r="D1026" s="231" t="s">
        <v>149</v>
      </c>
      <c r="E1026" s="265"/>
      <c r="F1026" s="279">
        <v>0</v>
      </c>
      <c r="G1026" s="272">
        <f t="shared" si="64"/>
        <v>0</v>
      </c>
      <c r="H1026" s="122"/>
    </row>
    <row r="1027" spans="2:8" s="34" customFormat="1" ht="15" hidden="1" customHeight="1" x14ac:dyDescent="0.2">
      <c r="B1027" s="135"/>
      <c r="C1027" s="267" t="s">
        <v>291</v>
      </c>
      <c r="D1027" s="231" t="s">
        <v>149</v>
      </c>
      <c r="E1027" s="265"/>
      <c r="F1027" s="279">
        <v>0</v>
      </c>
      <c r="G1027" s="272">
        <f t="shared" si="64"/>
        <v>0</v>
      </c>
      <c r="H1027" s="122"/>
    </row>
    <row r="1028" spans="2:8" s="34" customFormat="1" ht="15" hidden="1" customHeight="1" x14ac:dyDescent="0.2">
      <c r="B1028" s="135"/>
      <c r="C1028" s="267" t="s">
        <v>274</v>
      </c>
      <c r="D1028" s="231" t="s">
        <v>149</v>
      </c>
      <c r="E1028" s="265"/>
      <c r="F1028" s="279">
        <v>0</v>
      </c>
      <c r="G1028" s="272">
        <f t="shared" si="64"/>
        <v>0</v>
      </c>
      <c r="H1028" s="122"/>
    </row>
    <row r="1029" spans="2:8" s="34" customFormat="1" ht="15" hidden="1" customHeight="1" x14ac:dyDescent="0.2">
      <c r="B1029" s="135"/>
      <c r="C1029" s="267" t="s">
        <v>292</v>
      </c>
      <c r="D1029" s="231" t="s">
        <v>149</v>
      </c>
      <c r="E1029" s="265"/>
      <c r="F1029" s="279">
        <v>0</v>
      </c>
      <c r="G1029" s="272">
        <f t="shared" si="64"/>
        <v>0</v>
      </c>
      <c r="H1029" s="122"/>
    </row>
    <row r="1030" spans="2:8" s="34" customFormat="1" ht="12" hidden="1" customHeight="1" x14ac:dyDescent="0.2">
      <c r="B1030" s="135"/>
      <c r="C1030" s="268" t="s">
        <v>293</v>
      </c>
      <c r="D1030" s="231" t="s">
        <v>149</v>
      </c>
      <c r="E1030" s="265"/>
      <c r="F1030" s="279">
        <v>0</v>
      </c>
      <c r="G1030" s="272">
        <f t="shared" si="64"/>
        <v>0</v>
      </c>
      <c r="H1030" s="122"/>
    </row>
    <row r="1031" spans="2:8" s="34" customFormat="1" ht="12.75" hidden="1" customHeight="1" x14ac:dyDescent="0.2">
      <c r="B1031" s="135"/>
      <c r="C1031" s="268" t="s">
        <v>294</v>
      </c>
      <c r="D1031" s="231" t="s">
        <v>149</v>
      </c>
      <c r="E1031" s="265"/>
      <c r="F1031" s="279">
        <v>0</v>
      </c>
      <c r="G1031" s="272">
        <f t="shared" si="64"/>
        <v>0</v>
      </c>
      <c r="H1031" s="122"/>
    </row>
    <row r="1032" spans="2:8" s="34" customFormat="1" ht="12.75" hidden="1" customHeight="1" x14ac:dyDescent="0.2">
      <c r="B1032" s="135"/>
      <c r="C1032" s="268" t="s">
        <v>278</v>
      </c>
      <c r="D1032" s="231" t="s">
        <v>149</v>
      </c>
      <c r="E1032" s="265"/>
      <c r="F1032" s="279">
        <v>0</v>
      </c>
      <c r="G1032" s="272">
        <f t="shared" si="64"/>
        <v>0</v>
      </c>
      <c r="H1032" s="122"/>
    </row>
    <row r="1033" spans="2:8" s="34" customFormat="1" hidden="1" x14ac:dyDescent="0.2">
      <c r="B1033" s="135"/>
      <c r="C1033" s="268" t="s">
        <v>295</v>
      </c>
      <c r="D1033" s="231" t="s">
        <v>149</v>
      </c>
      <c r="E1033" s="265"/>
      <c r="F1033" s="279">
        <v>0</v>
      </c>
      <c r="G1033" s="272">
        <f t="shared" si="64"/>
        <v>0</v>
      </c>
      <c r="H1033" s="122"/>
    </row>
    <row r="1034" spans="2:8" s="34" customFormat="1" ht="14.25" hidden="1" customHeight="1" x14ac:dyDescent="0.2">
      <c r="B1034" s="135"/>
      <c r="C1034" s="268" t="s">
        <v>296</v>
      </c>
      <c r="D1034" s="231" t="s">
        <v>149</v>
      </c>
      <c r="E1034" s="265"/>
      <c r="F1034" s="279">
        <v>0</v>
      </c>
      <c r="G1034" s="272">
        <f t="shared" si="64"/>
        <v>0</v>
      </c>
      <c r="H1034" s="122"/>
    </row>
    <row r="1035" spans="2:8" s="34" customFormat="1" ht="14.25" hidden="1" customHeight="1" x14ac:dyDescent="0.2">
      <c r="B1035" s="135"/>
      <c r="C1035" s="268" t="s">
        <v>297</v>
      </c>
      <c r="D1035" s="231" t="s">
        <v>149</v>
      </c>
      <c r="E1035" s="265"/>
      <c r="F1035" s="279">
        <v>0</v>
      </c>
      <c r="G1035" s="272">
        <f t="shared" si="64"/>
        <v>0</v>
      </c>
      <c r="H1035" s="122"/>
    </row>
    <row r="1036" spans="2:8" s="34" customFormat="1" ht="14.25" hidden="1" customHeight="1" x14ac:dyDescent="0.2">
      <c r="B1036" s="135"/>
      <c r="C1036" s="268" t="s">
        <v>281</v>
      </c>
      <c r="D1036" s="231" t="s">
        <v>149</v>
      </c>
      <c r="E1036" s="265"/>
      <c r="F1036" s="279">
        <v>0</v>
      </c>
      <c r="G1036" s="272">
        <f t="shared" si="64"/>
        <v>0</v>
      </c>
      <c r="H1036" s="122"/>
    </row>
    <row r="1037" spans="2:8" s="34" customFormat="1" ht="14.25" hidden="1" customHeight="1" x14ac:dyDescent="0.2">
      <c r="B1037" s="135"/>
      <c r="C1037" s="268" t="s">
        <v>282</v>
      </c>
      <c r="D1037" s="231" t="s">
        <v>149</v>
      </c>
      <c r="E1037" s="265"/>
      <c r="F1037" s="279">
        <v>0</v>
      </c>
      <c r="G1037" s="272">
        <f t="shared" si="64"/>
        <v>0</v>
      </c>
      <c r="H1037" s="122"/>
    </row>
    <row r="1038" spans="2:8" s="34" customFormat="1" hidden="1" x14ac:dyDescent="0.2">
      <c r="B1038" s="135"/>
      <c r="C1038" s="235" t="s">
        <v>283</v>
      </c>
      <c r="D1038" s="231" t="s">
        <v>149</v>
      </c>
      <c r="E1038" s="265"/>
      <c r="F1038" s="279">
        <v>0</v>
      </c>
      <c r="G1038" s="272">
        <f t="shared" si="64"/>
        <v>0</v>
      </c>
      <c r="H1038" s="122"/>
    </row>
    <row r="1039" spans="2:8" s="34" customFormat="1" ht="43.5" hidden="1" customHeight="1" x14ac:dyDescent="0.2">
      <c r="B1039" s="135"/>
      <c r="C1039" s="235" t="s">
        <v>284</v>
      </c>
      <c r="D1039" s="231" t="s">
        <v>149</v>
      </c>
      <c r="E1039" s="265"/>
      <c r="F1039" s="279">
        <v>0</v>
      </c>
      <c r="G1039" s="272">
        <f t="shared" si="64"/>
        <v>0</v>
      </c>
      <c r="H1039" s="122"/>
    </row>
    <row r="1040" spans="2:8" s="34" customFormat="1" ht="38.25" hidden="1" customHeight="1" x14ac:dyDescent="0.2">
      <c r="B1040" s="135"/>
      <c r="C1040" s="268" t="s">
        <v>285</v>
      </c>
      <c r="D1040" s="231" t="s">
        <v>149</v>
      </c>
      <c r="E1040" s="265"/>
      <c r="F1040" s="279">
        <v>0</v>
      </c>
      <c r="G1040" s="272">
        <f t="shared" si="64"/>
        <v>0</v>
      </c>
      <c r="H1040" s="122"/>
    </row>
    <row r="1041" spans="2:8" s="34" customFormat="1" hidden="1" x14ac:dyDescent="0.2">
      <c r="B1041" s="135"/>
      <c r="C1041" s="267" t="s">
        <v>298</v>
      </c>
      <c r="D1041" s="231" t="s">
        <v>149</v>
      </c>
      <c r="E1041" s="265"/>
      <c r="F1041" s="279">
        <v>0</v>
      </c>
      <c r="G1041" s="272">
        <f t="shared" si="64"/>
        <v>0</v>
      </c>
      <c r="H1041" s="122"/>
    </row>
    <row r="1042" spans="2:8" s="34" customFormat="1" hidden="1" x14ac:dyDescent="0.2">
      <c r="B1042" s="135"/>
      <c r="C1042" s="268" t="s">
        <v>193</v>
      </c>
      <c r="D1042" s="231" t="s">
        <v>149</v>
      </c>
      <c r="E1042" s="265"/>
      <c r="F1042" s="279">
        <v>0</v>
      </c>
      <c r="G1042" s="272">
        <f t="shared" si="64"/>
        <v>0</v>
      </c>
      <c r="H1042" s="122"/>
    </row>
    <row r="1043" spans="2:8" s="34" customFormat="1" hidden="1" x14ac:dyDescent="0.2">
      <c r="B1043" s="135"/>
      <c r="C1043" s="268" t="s">
        <v>194</v>
      </c>
      <c r="D1043" s="231" t="s">
        <v>149</v>
      </c>
      <c r="E1043" s="265"/>
      <c r="F1043" s="279">
        <v>0</v>
      </c>
      <c r="G1043" s="272">
        <f t="shared" si="64"/>
        <v>0</v>
      </c>
      <c r="H1043" s="122"/>
    </row>
    <row r="1044" spans="2:8" s="34" customFormat="1" hidden="1" x14ac:dyDescent="0.2">
      <c r="B1044" s="135"/>
      <c r="C1044" s="267" t="s">
        <v>286</v>
      </c>
      <c r="D1044" s="231" t="s">
        <v>149</v>
      </c>
      <c r="E1044" s="265"/>
      <c r="F1044" s="279">
        <v>0</v>
      </c>
      <c r="G1044" s="272">
        <f t="shared" si="64"/>
        <v>0</v>
      </c>
      <c r="H1044" s="122"/>
    </row>
    <row r="1045" spans="2:8" s="34" customFormat="1" hidden="1" x14ac:dyDescent="0.2">
      <c r="B1045" s="135"/>
      <c r="C1045" s="235" t="s">
        <v>235</v>
      </c>
      <c r="D1045" s="231" t="s">
        <v>149</v>
      </c>
      <c r="E1045" s="265"/>
      <c r="F1045" s="279">
        <v>0</v>
      </c>
      <c r="G1045" s="272">
        <f t="shared" si="64"/>
        <v>0</v>
      </c>
      <c r="H1045" s="122"/>
    </row>
    <row r="1046" spans="2:8" s="34" customFormat="1" hidden="1" x14ac:dyDescent="0.2">
      <c r="B1046" s="135"/>
      <c r="C1046" s="235" t="s">
        <v>236</v>
      </c>
      <c r="D1046" s="231" t="s">
        <v>149</v>
      </c>
      <c r="E1046" s="265"/>
      <c r="F1046" s="279">
        <v>0</v>
      </c>
      <c r="G1046" s="272">
        <f t="shared" si="64"/>
        <v>0</v>
      </c>
      <c r="H1046" s="122"/>
    </row>
    <row r="1047" spans="2:8" s="34" customFormat="1" hidden="1" x14ac:dyDescent="0.2">
      <c r="B1047" s="135"/>
      <c r="C1047" s="235" t="s">
        <v>239</v>
      </c>
      <c r="D1047" s="231" t="s">
        <v>149</v>
      </c>
      <c r="E1047" s="265"/>
      <c r="F1047" s="279">
        <v>0</v>
      </c>
      <c r="G1047" s="272">
        <f t="shared" si="64"/>
        <v>0</v>
      </c>
      <c r="H1047" s="122"/>
    </row>
    <row r="1048" spans="2:8" s="34" customFormat="1" hidden="1" x14ac:dyDescent="0.2">
      <c r="B1048" s="135"/>
      <c r="C1048" s="235" t="s">
        <v>240</v>
      </c>
      <c r="D1048" s="231" t="s">
        <v>149</v>
      </c>
      <c r="E1048" s="265"/>
      <c r="F1048" s="279">
        <v>0</v>
      </c>
      <c r="G1048" s="272">
        <f t="shared" si="64"/>
        <v>0</v>
      </c>
      <c r="H1048" s="122"/>
    </row>
    <row r="1049" spans="2:8" s="34" customFormat="1" hidden="1" x14ac:dyDescent="0.2">
      <c r="B1049" s="135"/>
      <c r="C1049" s="235" t="s">
        <v>227</v>
      </c>
      <c r="D1049" s="231" t="s">
        <v>149</v>
      </c>
      <c r="E1049" s="265"/>
      <c r="F1049" s="279">
        <v>0</v>
      </c>
      <c r="G1049" s="272">
        <f t="shared" si="64"/>
        <v>0</v>
      </c>
      <c r="H1049" s="122"/>
    </row>
    <row r="1050" spans="2:8" s="34" customFormat="1" hidden="1" x14ac:dyDescent="0.2">
      <c r="B1050" s="135"/>
      <c r="C1050" s="235" t="s">
        <v>197</v>
      </c>
      <c r="D1050" s="231" t="s">
        <v>149</v>
      </c>
      <c r="E1050" s="265"/>
      <c r="F1050" s="279">
        <v>0</v>
      </c>
      <c r="G1050" s="272">
        <f t="shared" si="64"/>
        <v>0</v>
      </c>
      <c r="H1050" s="122"/>
    </row>
    <row r="1051" spans="2:8" s="34" customFormat="1" hidden="1" x14ac:dyDescent="0.2">
      <c r="B1051" s="135"/>
      <c r="C1051" s="237" t="s">
        <v>198</v>
      </c>
      <c r="D1051" s="231" t="s">
        <v>149</v>
      </c>
      <c r="E1051" s="265"/>
      <c r="F1051" s="279">
        <v>0</v>
      </c>
      <c r="G1051" s="272">
        <f t="shared" si="64"/>
        <v>0</v>
      </c>
      <c r="H1051" s="122"/>
    </row>
    <row r="1052" spans="2:8" s="34" customFormat="1" hidden="1" x14ac:dyDescent="0.2">
      <c r="B1052" s="135"/>
      <c r="C1052" s="264" t="s">
        <v>1762</v>
      </c>
      <c r="D1052" s="231"/>
      <c r="E1052" s="265"/>
      <c r="F1052" s="266">
        <v>0</v>
      </c>
      <c r="G1052" s="234"/>
      <c r="H1052" s="122"/>
    </row>
    <row r="1053" spans="2:8" s="34" customFormat="1" hidden="1" x14ac:dyDescent="0.2">
      <c r="B1053" s="135"/>
      <c r="C1053" s="267" t="s">
        <v>289</v>
      </c>
      <c r="D1053" s="231" t="s">
        <v>149</v>
      </c>
      <c r="E1053" s="265"/>
      <c r="F1053" s="279">
        <v>0</v>
      </c>
      <c r="G1053" s="272">
        <f t="shared" ref="G1053:G1078" si="65">E1053*F1053</f>
        <v>0</v>
      </c>
      <c r="H1053" s="122"/>
    </row>
    <row r="1054" spans="2:8" s="34" customFormat="1" hidden="1" x14ac:dyDescent="0.2">
      <c r="B1054" s="135"/>
      <c r="C1054" s="267" t="s">
        <v>213</v>
      </c>
      <c r="D1054" s="231" t="s">
        <v>149</v>
      </c>
      <c r="E1054" s="265"/>
      <c r="F1054" s="279">
        <v>0</v>
      </c>
      <c r="G1054" s="272">
        <f t="shared" si="65"/>
        <v>0</v>
      </c>
      <c r="H1054" s="122"/>
    </row>
    <row r="1055" spans="2:8" s="34" customFormat="1" hidden="1" x14ac:dyDescent="0.2">
      <c r="B1055" s="135"/>
      <c r="C1055" s="267" t="s">
        <v>290</v>
      </c>
      <c r="D1055" s="231" t="s">
        <v>149</v>
      </c>
      <c r="E1055" s="265"/>
      <c r="F1055" s="279">
        <v>0</v>
      </c>
      <c r="G1055" s="272">
        <f t="shared" si="65"/>
        <v>0</v>
      </c>
      <c r="H1055" s="122"/>
    </row>
    <row r="1056" spans="2:8" s="34" customFormat="1" ht="15" hidden="1" customHeight="1" x14ac:dyDescent="0.2">
      <c r="B1056" s="135"/>
      <c r="C1056" s="267" t="s">
        <v>291</v>
      </c>
      <c r="D1056" s="231" t="s">
        <v>149</v>
      </c>
      <c r="E1056" s="265"/>
      <c r="F1056" s="279">
        <v>0</v>
      </c>
      <c r="G1056" s="272">
        <f t="shared" si="65"/>
        <v>0</v>
      </c>
      <c r="H1056" s="122"/>
    </row>
    <row r="1057" spans="2:8" s="34" customFormat="1" ht="15" hidden="1" customHeight="1" x14ac:dyDescent="0.2">
      <c r="B1057" s="135"/>
      <c r="C1057" s="267" t="s">
        <v>274</v>
      </c>
      <c r="D1057" s="231" t="s">
        <v>149</v>
      </c>
      <c r="E1057" s="265"/>
      <c r="F1057" s="279">
        <v>0</v>
      </c>
      <c r="G1057" s="272">
        <f t="shared" si="65"/>
        <v>0</v>
      </c>
      <c r="H1057" s="122"/>
    </row>
    <row r="1058" spans="2:8" s="34" customFormat="1" ht="15" hidden="1" customHeight="1" x14ac:dyDescent="0.2">
      <c r="B1058" s="135"/>
      <c r="C1058" s="267" t="s">
        <v>292</v>
      </c>
      <c r="D1058" s="231" t="s">
        <v>149</v>
      </c>
      <c r="E1058" s="265"/>
      <c r="F1058" s="279">
        <v>0</v>
      </c>
      <c r="G1058" s="272">
        <f t="shared" si="65"/>
        <v>0</v>
      </c>
      <c r="H1058" s="122"/>
    </row>
    <row r="1059" spans="2:8" s="34" customFormat="1" ht="12" hidden="1" customHeight="1" x14ac:dyDescent="0.2">
      <c r="B1059" s="135"/>
      <c r="C1059" s="268" t="s">
        <v>293</v>
      </c>
      <c r="D1059" s="231" t="s">
        <v>149</v>
      </c>
      <c r="E1059" s="265"/>
      <c r="F1059" s="279">
        <v>0</v>
      </c>
      <c r="G1059" s="272">
        <f t="shared" si="65"/>
        <v>0</v>
      </c>
      <c r="H1059" s="122"/>
    </row>
    <row r="1060" spans="2:8" s="34" customFormat="1" ht="12.75" hidden="1" customHeight="1" x14ac:dyDescent="0.2">
      <c r="B1060" s="135"/>
      <c r="C1060" s="268" t="s">
        <v>294</v>
      </c>
      <c r="D1060" s="231" t="s">
        <v>149</v>
      </c>
      <c r="E1060" s="265"/>
      <c r="F1060" s="279">
        <v>0</v>
      </c>
      <c r="G1060" s="272">
        <f t="shared" si="65"/>
        <v>0</v>
      </c>
      <c r="H1060" s="122"/>
    </row>
    <row r="1061" spans="2:8" s="34" customFormat="1" ht="12.75" hidden="1" customHeight="1" x14ac:dyDescent="0.2">
      <c r="B1061" s="135"/>
      <c r="C1061" s="268" t="s">
        <v>278</v>
      </c>
      <c r="D1061" s="231" t="s">
        <v>149</v>
      </c>
      <c r="E1061" s="265"/>
      <c r="F1061" s="279">
        <v>0</v>
      </c>
      <c r="G1061" s="272">
        <f t="shared" si="65"/>
        <v>0</v>
      </c>
      <c r="H1061" s="122"/>
    </row>
    <row r="1062" spans="2:8" s="34" customFormat="1" hidden="1" x14ac:dyDescent="0.2">
      <c r="B1062" s="135"/>
      <c r="C1062" s="268" t="s">
        <v>295</v>
      </c>
      <c r="D1062" s="231" t="s">
        <v>149</v>
      </c>
      <c r="E1062" s="265"/>
      <c r="F1062" s="279">
        <v>0</v>
      </c>
      <c r="G1062" s="272">
        <f t="shared" si="65"/>
        <v>0</v>
      </c>
      <c r="H1062" s="122"/>
    </row>
    <row r="1063" spans="2:8" s="34" customFormat="1" ht="14.25" hidden="1" customHeight="1" x14ac:dyDescent="0.2">
      <c r="B1063" s="135"/>
      <c r="C1063" s="268" t="s">
        <v>296</v>
      </c>
      <c r="D1063" s="231" t="s">
        <v>149</v>
      </c>
      <c r="E1063" s="265"/>
      <c r="F1063" s="279">
        <v>0</v>
      </c>
      <c r="G1063" s="272">
        <f t="shared" si="65"/>
        <v>0</v>
      </c>
      <c r="H1063" s="122"/>
    </row>
    <row r="1064" spans="2:8" s="34" customFormat="1" ht="14.25" hidden="1" customHeight="1" x14ac:dyDescent="0.2">
      <c r="B1064" s="135"/>
      <c r="C1064" s="268" t="s">
        <v>297</v>
      </c>
      <c r="D1064" s="231" t="s">
        <v>149</v>
      </c>
      <c r="E1064" s="265"/>
      <c r="F1064" s="279">
        <v>0</v>
      </c>
      <c r="G1064" s="272">
        <f t="shared" si="65"/>
        <v>0</v>
      </c>
      <c r="H1064" s="122"/>
    </row>
    <row r="1065" spans="2:8" s="34" customFormat="1" ht="14.25" hidden="1" customHeight="1" x14ac:dyDescent="0.2">
      <c r="B1065" s="135"/>
      <c r="C1065" s="268" t="s">
        <v>281</v>
      </c>
      <c r="D1065" s="231" t="s">
        <v>149</v>
      </c>
      <c r="E1065" s="265"/>
      <c r="F1065" s="279">
        <v>0</v>
      </c>
      <c r="G1065" s="272">
        <f t="shared" si="65"/>
        <v>0</v>
      </c>
      <c r="H1065" s="122"/>
    </row>
    <row r="1066" spans="2:8" s="34" customFormat="1" ht="14.25" hidden="1" customHeight="1" x14ac:dyDescent="0.2">
      <c r="B1066" s="135"/>
      <c r="C1066" s="268" t="s">
        <v>282</v>
      </c>
      <c r="D1066" s="231" t="s">
        <v>149</v>
      </c>
      <c r="E1066" s="265"/>
      <c r="F1066" s="279">
        <v>0</v>
      </c>
      <c r="G1066" s="272">
        <f t="shared" si="65"/>
        <v>0</v>
      </c>
      <c r="H1066" s="122"/>
    </row>
    <row r="1067" spans="2:8" s="34" customFormat="1" hidden="1" x14ac:dyDescent="0.2">
      <c r="B1067" s="135"/>
      <c r="C1067" s="235" t="s">
        <v>283</v>
      </c>
      <c r="D1067" s="231" t="s">
        <v>149</v>
      </c>
      <c r="E1067" s="265"/>
      <c r="F1067" s="279">
        <v>0</v>
      </c>
      <c r="G1067" s="272">
        <f t="shared" si="65"/>
        <v>0</v>
      </c>
      <c r="H1067" s="122"/>
    </row>
    <row r="1068" spans="2:8" s="34" customFormat="1" ht="41.25" hidden="1" customHeight="1" x14ac:dyDescent="0.2">
      <c r="B1068" s="135"/>
      <c r="C1068" s="235" t="s">
        <v>284</v>
      </c>
      <c r="D1068" s="231" t="s">
        <v>149</v>
      </c>
      <c r="E1068" s="265"/>
      <c r="F1068" s="279">
        <v>0</v>
      </c>
      <c r="G1068" s="272">
        <f t="shared" si="65"/>
        <v>0</v>
      </c>
      <c r="H1068" s="122"/>
    </row>
    <row r="1069" spans="2:8" s="34" customFormat="1" ht="38.25" hidden="1" customHeight="1" x14ac:dyDescent="0.2">
      <c r="B1069" s="135"/>
      <c r="C1069" s="268" t="s">
        <v>285</v>
      </c>
      <c r="D1069" s="231" t="s">
        <v>149</v>
      </c>
      <c r="E1069" s="265"/>
      <c r="F1069" s="279">
        <v>0</v>
      </c>
      <c r="G1069" s="272">
        <f t="shared" si="65"/>
        <v>0</v>
      </c>
      <c r="H1069" s="122"/>
    </row>
    <row r="1070" spans="2:8" s="34" customFormat="1" hidden="1" x14ac:dyDescent="0.2">
      <c r="B1070" s="135"/>
      <c r="C1070" s="267" t="s">
        <v>298</v>
      </c>
      <c r="D1070" s="231" t="s">
        <v>149</v>
      </c>
      <c r="E1070" s="265"/>
      <c r="F1070" s="279">
        <v>0</v>
      </c>
      <c r="G1070" s="272">
        <f t="shared" si="65"/>
        <v>0</v>
      </c>
      <c r="H1070" s="122"/>
    </row>
    <row r="1071" spans="2:8" s="34" customFormat="1" hidden="1" x14ac:dyDescent="0.2">
      <c r="B1071" s="135"/>
      <c r="C1071" s="268" t="s">
        <v>193</v>
      </c>
      <c r="D1071" s="231" t="s">
        <v>149</v>
      </c>
      <c r="E1071" s="265"/>
      <c r="F1071" s="279">
        <v>0</v>
      </c>
      <c r="G1071" s="272">
        <f t="shared" si="65"/>
        <v>0</v>
      </c>
      <c r="H1071" s="122"/>
    </row>
    <row r="1072" spans="2:8" s="34" customFormat="1" hidden="1" x14ac:dyDescent="0.2">
      <c r="B1072" s="135"/>
      <c r="C1072" s="268" t="s">
        <v>194</v>
      </c>
      <c r="D1072" s="231" t="s">
        <v>149</v>
      </c>
      <c r="E1072" s="265"/>
      <c r="F1072" s="279">
        <v>0</v>
      </c>
      <c r="G1072" s="272">
        <f t="shared" si="65"/>
        <v>0</v>
      </c>
      <c r="H1072" s="122"/>
    </row>
    <row r="1073" spans="2:8" s="34" customFormat="1" hidden="1" x14ac:dyDescent="0.2">
      <c r="B1073" s="135"/>
      <c r="C1073" s="267" t="s">
        <v>286</v>
      </c>
      <c r="D1073" s="231" t="s">
        <v>149</v>
      </c>
      <c r="E1073" s="265"/>
      <c r="F1073" s="279">
        <v>0</v>
      </c>
      <c r="G1073" s="272">
        <f t="shared" si="65"/>
        <v>0</v>
      </c>
      <c r="H1073" s="122"/>
    </row>
    <row r="1074" spans="2:8" s="34" customFormat="1" hidden="1" x14ac:dyDescent="0.2">
      <c r="B1074" s="135"/>
      <c r="C1074" s="235" t="s">
        <v>239</v>
      </c>
      <c r="D1074" s="231" t="s">
        <v>149</v>
      </c>
      <c r="E1074" s="265"/>
      <c r="F1074" s="279">
        <v>0</v>
      </c>
      <c r="G1074" s="272">
        <f t="shared" si="65"/>
        <v>0</v>
      </c>
      <c r="H1074" s="122"/>
    </row>
    <row r="1075" spans="2:8" s="34" customFormat="1" hidden="1" x14ac:dyDescent="0.2">
      <c r="B1075" s="135"/>
      <c r="C1075" s="235" t="s">
        <v>240</v>
      </c>
      <c r="D1075" s="231" t="s">
        <v>149</v>
      </c>
      <c r="E1075" s="265"/>
      <c r="F1075" s="279">
        <v>0</v>
      </c>
      <c r="G1075" s="272">
        <f t="shared" si="65"/>
        <v>0</v>
      </c>
      <c r="H1075" s="122"/>
    </row>
    <row r="1076" spans="2:8" s="34" customFormat="1" hidden="1" x14ac:dyDescent="0.2">
      <c r="B1076" s="135"/>
      <c r="C1076" s="235" t="s">
        <v>227</v>
      </c>
      <c r="D1076" s="231" t="s">
        <v>149</v>
      </c>
      <c r="E1076" s="265"/>
      <c r="F1076" s="279">
        <v>0</v>
      </c>
      <c r="G1076" s="272">
        <f t="shared" si="65"/>
        <v>0</v>
      </c>
      <c r="H1076" s="122"/>
    </row>
    <row r="1077" spans="2:8" s="34" customFormat="1" hidden="1" x14ac:dyDescent="0.2">
      <c r="B1077" s="135"/>
      <c r="C1077" s="235" t="s">
        <v>197</v>
      </c>
      <c r="D1077" s="231" t="s">
        <v>149</v>
      </c>
      <c r="E1077" s="265"/>
      <c r="F1077" s="279">
        <v>0</v>
      </c>
      <c r="G1077" s="272">
        <f t="shared" si="65"/>
        <v>0</v>
      </c>
      <c r="H1077" s="122"/>
    </row>
    <row r="1078" spans="2:8" s="34" customFormat="1" hidden="1" x14ac:dyDescent="0.2">
      <c r="B1078" s="135"/>
      <c r="C1078" s="237" t="s">
        <v>198</v>
      </c>
      <c r="D1078" s="231" t="s">
        <v>149</v>
      </c>
      <c r="E1078" s="265"/>
      <c r="F1078" s="279">
        <v>0</v>
      </c>
      <c r="G1078" s="272">
        <f t="shared" si="65"/>
        <v>0</v>
      </c>
      <c r="H1078" s="122"/>
    </row>
    <row r="1079" spans="2:8" s="34" customFormat="1" hidden="1" x14ac:dyDescent="0.2">
      <c r="B1079" s="135"/>
      <c r="C1079" s="264" t="s">
        <v>851</v>
      </c>
      <c r="D1079" s="231"/>
      <c r="E1079" s="265"/>
      <c r="F1079" s="266">
        <v>0</v>
      </c>
      <c r="G1079" s="234"/>
      <c r="H1079" s="122"/>
    </row>
    <row r="1080" spans="2:8" s="34" customFormat="1" hidden="1" x14ac:dyDescent="0.2">
      <c r="B1080" s="135"/>
      <c r="C1080" s="267" t="s">
        <v>289</v>
      </c>
      <c r="D1080" s="231" t="s">
        <v>149</v>
      </c>
      <c r="E1080" s="265"/>
      <c r="F1080" s="279">
        <v>0</v>
      </c>
      <c r="G1080" s="272">
        <f t="shared" ref="G1080:G1107" si="66">E1080*F1080</f>
        <v>0</v>
      </c>
      <c r="H1080" s="122"/>
    </row>
    <row r="1081" spans="2:8" s="34" customFormat="1" hidden="1" x14ac:dyDescent="0.2">
      <c r="B1081" s="135"/>
      <c r="C1081" s="267" t="s">
        <v>213</v>
      </c>
      <c r="D1081" s="231" t="s">
        <v>149</v>
      </c>
      <c r="E1081" s="265"/>
      <c r="F1081" s="279">
        <v>0</v>
      </c>
      <c r="G1081" s="272">
        <f t="shared" si="66"/>
        <v>0</v>
      </c>
      <c r="H1081" s="122"/>
    </row>
    <row r="1082" spans="2:8" s="34" customFormat="1" hidden="1" x14ac:dyDescent="0.2">
      <c r="B1082" s="135"/>
      <c r="C1082" s="267" t="s">
        <v>290</v>
      </c>
      <c r="D1082" s="231" t="s">
        <v>149</v>
      </c>
      <c r="E1082" s="265"/>
      <c r="F1082" s="279">
        <v>0</v>
      </c>
      <c r="G1082" s="272">
        <f t="shared" si="66"/>
        <v>0</v>
      </c>
      <c r="H1082" s="122"/>
    </row>
    <row r="1083" spans="2:8" s="34" customFormat="1" ht="15" hidden="1" customHeight="1" x14ac:dyDescent="0.2">
      <c r="B1083" s="135"/>
      <c r="C1083" s="267" t="s">
        <v>291</v>
      </c>
      <c r="D1083" s="231" t="s">
        <v>149</v>
      </c>
      <c r="E1083" s="265"/>
      <c r="F1083" s="279">
        <v>0</v>
      </c>
      <c r="G1083" s="272">
        <f t="shared" si="66"/>
        <v>0</v>
      </c>
      <c r="H1083" s="122"/>
    </row>
    <row r="1084" spans="2:8" s="34" customFormat="1" ht="15" hidden="1" customHeight="1" x14ac:dyDescent="0.2">
      <c r="B1084" s="135"/>
      <c r="C1084" s="267" t="s">
        <v>274</v>
      </c>
      <c r="D1084" s="231" t="s">
        <v>149</v>
      </c>
      <c r="E1084" s="265"/>
      <c r="F1084" s="279">
        <v>0</v>
      </c>
      <c r="G1084" s="272">
        <f t="shared" si="66"/>
        <v>0</v>
      </c>
      <c r="H1084" s="122"/>
    </row>
    <row r="1085" spans="2:8" s="34" customFormat="1" ht="15" hidden="1" customHeight="1" x14ac:dyDescent="0.2">
      <c r="B1085" s="135"/>
      <c r="C1085" s="267" t="s">
        <v>292</v>
      </c>
      <c r="D1085" s="231" t="s">
        <v>149</v>
      </c>
      <c r="E1085" s="265"/>
      <c r="F1085" s="279">
        <v>0</v>
      </c>
      <c r="G1085" s="272">
        <f t="shared" si="66"/>
        <v>0</v>
      </c>
      <c r="H1085" s="122"/>
    </row>
    <row r="1086" spans="2:8" s="34" customFormat="1" ht="12" hidden="1" customHeight="1" x14ac:dyDescent="0.2">
      <c r="B1086" s="135"/>
      <c r="C1086" s="268" t="s">
        <v>293</v>
      </c>
      <c r="D1086" s="231" t="s">
        <v>149</v>
      </c>
      <c r="E1086" s="265"/>
      <c r="F1086" s="279">
        <v>0</v>
      </c>
      <c r="G1086" s="272">
        <f t="shared" si="66"/>
        <v>0</v>
      </c>
      <c r="H1086" s="122"/>
    </row>
    <row r="1087" spans="2:8" s="34" customFormat="1" ht="12.75" hidden="1" customHeight="1" x14ac:dyDescent="0.2">
      <c r="B1087" s="135"/>
      <c r="C1087" s="268" t="s">
        <v>294</v>
      </c>
      <c r="D1087" s="231" t="s">
        <v>149</v>
      </c>
      <c r="E1087" s="265"/>
      <c r="F1087" s="279">
        <v>0</v>
      </c>
      <c r="G1087" s="272">
        <f t="shared" si="66"/>
        <v>0</v>
      </c>
      <c r="H1087" s="122"/>
    </row>
    <row r="1088" spans="2:8" s="34" customFormat="1" ht="12.75" hidden="1" customHeight="1" x14ac:dyDescent="0.2">
      <c r="B1088" s="135"/>
      <c r="C1088" s="268" t="s">
        <v>278</v>
      </c>
      <c r="D1088" s="231" t="s">
        <v>149</v>
      </c>
      <c r="E1088" s="265"/>
      <c r="F1088" s="279">
        <v>0</v>
      </c>
      <c r="G1088" s="272">
        <f t="shared" si="66"/>
        <v>0</v>
      </c>
      <c r="H1088" s="122"/>
    </row>
    <row r="1089" spans="2:9" s="34" customFormat="1" hidden="1" x14ac:dyDescent="0.2">
      <c r="B1089" s="135"/>
      <c r="C1089" s="268" t="s">
        <v>295</v>
      </c>
      <c r="D1089" s="231" t="s">
        <v>149</v>
      </c>
      <c r="E1089" s="265"/>
      <c r="F1089" s="279">
        <v>0</v>
      </c>
      <c r="G1089" s="272">
        <f t="shared" si="66"/>
        <v>0</v>
      </c>
      <c r="H1089" s="122"/>
      <c r="I1089" s="136"/>
    </row>
    <row r="1090" spans="2:9" s="34" customFormat="1" ht="14.25" hidden="1" customHeight="1" x14ac:dyDescent="0.2">
      <c r="B1090" s="135"/>
      <c r="C1090" s="268" t="s">
        <v>296</v>
      </c>
      <c r="D1090" s="231" t="s">
        <v>149</v>
      </c>
      <c r="E1090" s="265"/>
      <c r="F1090" s="279">
        <v>0</v>
      </c>
      <c r="G1090" s="272">
        <f t="shared" si="66"/>
        <v>0</v>
      </c>
      <c r="H1090" s="122"/>
      <c r="I1090" s="136"/>
    </row>
    <row r="1091" spans="2:9" s="34" customFormat="1" ht="14.25" hidden="1" customHeight="1" x14ac:dyDescent="0.2">
      <c r="B1091" s="135"/>
      <c r="C1091" s="268" t="s">
        <v>297</v>
      </c>
      <c r="D1091" s="231" t="s">
        <v>149</v>
      </c>
      <c r="E1091" s="265"/>
      <c r="F1091" s="279">
        <v>0</v>
      </c>
      <c r="G1091" s="272">
        <f t="shared" si="66"/>
        <v>0</v>
      </c>
      <c r="H1091" s="122"/>
      <c r="I1091" s="136"/>
    </row>
    <row r="1092" spans="2:9" s="34" customFormat="1" ht="14.25" hidden="1" customHeight="1" x14ac:dyDescent="0.2">
      <c r="B1092" s="135"/>
      <c r="C1092" s="268" t="s">
        <v>281</v>
      </c>
      <c r="D1092" s="231" t="s">
        <v>149</v>
      </c>
      <c r="E1092" s="265"/>
      <c r="F1092" s="279">
        <v>0</v>
      </c>
      <c r="G1092" s="272">
        <f t="shared" si="66"/>
        <v>0</v>
      </c>
      <c r="H1092" s="122"/>
      <c r="I1092" s="136"/>
    </row>
    <row r="1093" spans="2:9" s="34" customFormat="1" ht="14.25" hidden="1" customHeight="1" x14ac:dyDescent="0.2">
      <c r="B1093" s="135"/>
      <c r="C1093" s="268" t="s">
        <v>282</v>
      </c>
      <c r="D1093" s="231" t="s">
        <v>149</v>
      </c>
      <c r="E1093" s="265"/>
      <c r="F1093" s="279">
        <v>0</v>
      </c>
      <c r="G1093" s="272">
        <f t="shared" si="66"/>
        <v>0</v>
      </c>
      <c r="H1093" s="122"/>
      <c r="I1093" s="136"/>
    </row>
    <row r="1094" spans="2:9" s="34" customFormat="1" hidden="1" x14ac:dyDescent="0.2">
      <c r="B1094" s="135"/>
      <c r="C1094" s="235" t="s">
        <v>283</v>
      </c>
      <c r="D1094" s="231" t="s">
        <v>149</v>
      </c>
      <c r="E1094" s="265"/>
      <c r="F1094" s="279">
        <v>0</v>
      </c>
      <c r="G1094" s="272">
        <f t="shared" si="66"/>
        <v>0</v>
      </c>
      <c r="H1094" s="122"/>
      <c r="I1094" s="136"/>
    </row>
    <row r="1095" spans="2:9" s="34" customFormat="1" ht="42" hidden="1" customHeight="1" x14ac:dyDescent="0.2">
      <c r="B1095" s="135"/>
      <c r="C1095" s="235" t="s">
        <v>284</v>
      </c>
      <c r="D1095" s="231" t="s">
        <v>149</v>
      </c>
      <c r="E1095" s="265"/>
      <c r="F1095" s="279">
        <v>0</v>
      </c>
      <c r="G1095" s="272">
        <f t="shared" si="66"/>
        <v>0</v>
      </c>
      <c r="H1095" s="122"/>
      <c r="I1095" s="136"/>
    </row>
    <row r="1096" spans="2:9" s="34" customFormat="1" ht="38.25" hidden="1" customHeight="1" x14ac:dyDescent="0.2">
      <c r="B1096" s="135"/>
      <c r="C1096" s="268" t="s">
        <v>285</v>
      </c>
      <c r="D1096" s="231" t="s">
        <v>149</v>
      </c>
      <c r="E1096" s="265"/>
      <c r="F1096" s="279">
        <v>0</v>
      </c>
      <c r="G1096" s="272">
        <f t="shared" si="66"/>
        <v>0</v>
      </c>
      <c r="H1096" s="122"/>
      <c r="I1096" s="136"/>
    </row>
    <row r="1097" spans="2:9" s="34" customFormat="1" hidden="1" x14ac:dyDescent="0.2">
      <c r="B1097" s="135"/>
      <c r="C1097" s="267" t="s">
        <v>298</v>
      </c>
      <c r="D1097" s="231" t="s">
        <v>149</v>
      </c>
      <c r="E1097" s="265"/>
      <c r="F1097" s="279">
        <v>0</v>
      </c>
      <c r="G1097" s="272">
        <f t="shared" si="66"/>
        <v>0</v>
      </c>
      <c r="H1097" s="122"/>
      <c r="I1097" s="136"/>
    </row>
    <row r="1098" spans="2:9" s="34" customFormat="1" hidden="1" x14ac:dyDescent="0.2">
      <c r="B1098" s="135"/>
      <c r="C1098" s="268" t="s">
        <v>193</v>
      </c>
      <c r="D1098" s="231" t="s">
        <v>149</v>
      </c>
      <c r="E1098" s="265"/>
      <c r="F1098" s="279">
        <v>0</v>
      </c>
      <c r="G1098" s="272">
        <f t="shared" si="66"/>
        <v>0</v>
      </c>
      <c r="H1098" s="122"/>
      <c r="I1098" s="136"/>
    </row>
    <row r="1099" spans="2:9" s="34" customFormat="1" hidden="1" x14ac:dyDescent="0.2">
      <c r="B1099" s="135"/>
      <c r="C1099" s="268" t="s">
        <v>194</v>
      </c>
      <c r="D1099" s="231" t="s">
        <v>149</v>
      </c>
      <c r="E1099" s="265"/>
      <c r="F1099" s="279">
        <v>0</v>
      </c>
      <c r="G1099" s="272">
        <f t="shared" si="66"/>
        <v>0</v>
      </c>
      <c r="H1099" s="122"/>
      <c r="I1099" s="136"/>
    </row>
    <row r="1100" spans="2:9" s="34" customFormat="1" hidden="1" x14ac:dyDescent="0.2">
      <c r="B1100" s="135"/>
      <c r="C1100" s="267" t="s">
        <v>286</v>
      </c>
      <c r="D1100" s="231" t="s">
        <v>149</v>
      </c>
      <c r="E1100" s="265"/>
      <c r="F1100" s="279">
        <v>0</v>
      </c>
      <c r="G1100" s="272">
        <f t="shared" si="66"/>
        <v>0</v>
      </c>
      <c r="H1100" s="122"/>
      <c r="I1100" s="126"/>
    </row>
    <row r="1101" spans="2:9" s="34" customFormat="1" hidden="1" x14ac:dyDescent="0.2">
      <c r="B1101" s="135"/>
      <c r="C1101" s="235" t="s">
        <v>239</v>
      </c>
      <c r="D1101" s="231" t="s">
        <v>149</v>
      </c>
      <c r="E1101" s="265"/>
      <c r="F1101" s="279">
        <v>0</v>
      </c>
      <c r="G1101" s="272">
        <f t="shared" si="66"/>
        <v>0</v>
      </c>
      <c r="H1101" s="122"/>
      <c r="I1101" s="136"/>
    </row>
    <row r="1102" spans="2:9" s="34" customFormat="1" hidden="1" x14ac:dyDescent="0.2">
      <c r="B1102" s="135"/>
      <c r="C1102" s="235" t="s">
        <v>240</v>
      </c>
      <c r="D1102" s="231" t="s">
        <v>149</v>
      </c>
      <c r="E1102" s="265"/>
      <c r="F1102" s="279">
        <v>0</v>
      </c>
      <c r="G1102" s="272">
        <f t="shared" si="66"/>
        <v>0</v>
      </c>
      <c r="H1102" s="122"/>
      <c r="I1102" s="136"/>
    </row>
    <row r="1103" spans="2:9" s="34" customFormat="1" hidden="1" x14ac:dyDescent="0.2">
      <c r="B1103" s="135"/>
      <c r="C1103" s="235" t="s">
        <v>241</v>
      </c>
      <c r="D1103" s="231" t="s">
        <v>149</v>
      </c>
      <c r="E1103" s="265"/>
      <c r="F1103" s="279">
        <v>0</v>
      </c>
      <c r="G1103" s="272">
        <f t="shared" si="66"/>
        <v>0</v>
      </c>
      <c r="H1103" s="122"/>
      <c r="I1103" s="136"/>
    </row>
    <row r="1104" spans="2:9" s="34" customFormat="1" hidden="1" x14ac:dyDescent="0.2">
      <c r="B1104" s="135"/>
      <c r="C1104" s="235" t="s">
        <v>242</v>
      </c>
      <c r="D1104" s="231" t="s">
        <v>149</v>
      </c>
      <c r="E1104" s="265"/>
      <c r="F1104" s="279">
        <v>0</v>
      </c>
      <c r="G1104" s="272">
        <f t="shared" si="66"/>
        <v>0</v>
      </c>
      <c r="H1104" s="122"/>
      <c r="I1104" s="136"/>
    </row>
    <row r="1105" spans="2:8" s="34" customFormat="1" hidden="1" x14ac:dyDescent="0.2">
      <c r="B1105" s="135"/>
      <c r="C1105" s="235" t="s">
        <v>227</v>
      </c>
      <c r="D1105" s="231" t="s">
        <v>149</v>
      </c>
      <c r="E1105" s="265"/>
      <c r="F1105" s="279">
        <v>0</v>
      </c>
      <c r="G1105" s="272">
        <f t="shared" si="66"/>
        <v>0</v>
      </c>
      <c r="H1105" s="122"/>
    </row>
    <row r="1106" spans="2:8" s="34" customFormat="1" hidden="1" x14ac:dyDescent="0.2">
      <c r="B1106" s="135"/>
      <c r="C1106" s="235" t="s">
        <v>197</v>
      </c>
      <c r="D1106" s="231" t="s">
        <v>149</v>
      </c>
      <c r="E1106" s="265"/>
      <c r="F1106" s="279">
        <v>0</v>
      </c>
      <c r="G1106" s="272">
        <f t="shared" si="66"/>
        <v>0</v>
      </c>
      <c r="H1106" s="122"/>
    </row>
    <row r="1107" spans="2:8" s="34" customFormat="1" hidden="1" x14ac:dyDescent="0.2">
      <c r="B1107" s="135"/>
      <c r="C1107" s="237" t="s">
        <v>198</v>
      </c>
      <c r="D1107" s="231" t="s">
        <v>149</v>
      </c>
      <c r="E1107" s="265"/>
      <c r="F1107" s="279">
        <v>0</v>
      </c>
      <c r="G1107" s="272">
        <f t="shared" si="66"/>
        <v>0</v>
      </c>
      <c r="H1107" s="122"/>
    </row>
    <row r="1108" spans="2:8" hidden="1" x14ac:dyDescent="0.2">
      <c r="B1108" s="292" t="s">
        <v>299</v>
      </c>
      <c r="C1108" s="280" t="s">
        <v>300</v>
      </c>
      <c r="D1108" s="281"/>
      <c r="E1108" s="282"/>
      <c r="F1108" s="283"/>
      <c r="G1108" s="284"/>
      <c r="H1108" s="122"/>
    </row>
    <row r="1109" spans="2:8" s="34" customFormat="1" ht="63" hidden="1" customHeight="1" x14ac:dyDescent="0.2">
      <c r="B1109" s="135"/>
      <c r="C1109" s="285" t="s">
        <v>301</v>
      </c>
      <c r="D1109" s="286" t="s">
        <v>149</v>
      </c>
      <c r="E1109" s="287"/>
      <c r="F1109" s="288">
        <v>0</v>
      </c>
      <c r="G1109" s="289">
        <f>E1109*F1109</f>
        <v>0</v>
      </c>
      <c r="H1109" s="122"/>
    </row>
    <row r="1110" spans="2:8" s="34" customFormat="1" ht="14.25" customHeight="1" x14ac:dyDescent="0.2">
      <c r="B1110" s="292" t="s">
        <v>1014</v>
      </c>
      <c r="C1110" s="46"/>
      <c r="D1110" s="198"/>
      <c r="E1110" s="348"/>
      <c r="F1110" s="351"/>
      <c r="G1110" s="352"/>
      <c r="H1110" s="122"/>
    </row>
    <row r="1111" spans="2:8" s="34" customFormat="1" ht="14.25" customHeight="1" x14ac:dyDescent="0.2">
      <c r="B1111" s="135"/>
      <c r="C1111" s="217" t="s">
        <v>1041</v>
      </c>
      <c r="D1111" s="198" t="s">
        <v>928</v>
      </c>
      <c r="E1111" s="348">
        <v>32</v>
      </c>
      <c r="F1111" s="351">
        <v>0</v>
      </c>
      <c r="G1111" s="352">
        <f t="shared" ref="G1111:G1124" si="67">E1111*F1111</f>
        <v>0</v>
      </c>
      <c r="H1111" s="122"/>
    </row>
    <row r="1112" spans="2:8" s="34" customFormat="1" ht="14.25" customHeight="1" x14ac:dyDescent="0.2">
      <c r="B1112" s="135"/>
      <c r="C1112" s="217" t="s">
        <v>1036</v>
      </c>
      <c r="D1112" s="198" t="s">
        <v>149</v>
      </c>
      <c r="E1112" s="348">
        <v>2</v>
      </c>
      <c r="F1112" s="351">
        <v>0</v>
      </c>
      <c r="G1112" s="352">
        <f t="shared" si="67"/>
        <v>0</v>
      </c>
      <c r="H1112" s="122"/>
    </row>
    <row r="1113" spans="2:8" s="34" customFormat="1" ht="14.25" customHeight="1" x14ac:dyDescent="0.2">
      <c r="B1113" s="135"/>
      <c r="C1113" s="217" t="s">
        <v>1037</v>
      </c>
      <c r="D1113" s="198" t="s">
        <v>149</v>
      </c>
      <c r="E1113" s="348">
        <v>4</v>
      </c>
      <c r="F1113" s="351">
        <v>0</v>
      </c>
      <c r="G1113" s="352">
        <f t="shared" si="67"/>
        <v>0</v>
      </c>
      <c r="H1113" s="122"/>
    </row>
    <row r="1114" spans="2:8" s="34" customFormat="1" ht="14.25" customHeight="1" x14ac:dyDescent="0.2">
      <c r="B1114" s="135"/>
      <c r="C1114" s="217" t="s">
        <v>1034</v>
      </c>
      <c r="D1114" s="198" t="s">
        <v>149</v>
      </c>
      <c r="E1114" s="348">
        <v>10</v>
      </c>
      <c r="F1114" s="351">
        <v>0</v>
      </c>
      <c r="G1114" s="352">
        <f t="shared" si="67"/>
        <v>0</v>
      </c>
      <c r="H1114" s="122"/>
    </row>
    <row r="1115" spans="2:8" s="34" customFormat="1" ht="14.25" customHeight="1" x14ac:dyDescent="0.2">
      <c r="B1115" s="135"/>
      <c r="C1115" s="217" t="s">
        <v>1035</v>
      </c>
      <c r="D1115" s="198" t="s">
        <v>149</v>
      </c>
      <c r="E1115" s="348">
        <v>2</v>
      </c>
      <c r="F1115" s="351">
        <v>0</v>
      </c>
      <c r="G1115" s="352">
        <f t="shared" si="67"/>
        <v>0</v>
      </c>
      <c r="H1115" s="122"/>
    </row>
    <row r="1116" spans="2:8" s="34" customFormat="1" ht="14.25" customHeight="1" x14ac:dyDescent="0.2">
      <c r="B1116" s="135"/>
      <c r="C1116" s="217" t="s">
        <v>1057</v>
      </c>
      <c r="D1116" s="198" t="s">
        <v>149</v>
      </c>
      <c r="E1116" s="348">
        <v>1</v>
      </c>
      <c r="F1116" s="351">
        <v>0</v>
      </c>
      <c r="G1116" s="352">
        <f t="shared" si="67"/>
        <v>0</v>
      </c>
      <c r="H1116" s="122"/>
    </row>
    <row r="1117" spans="2:8" s="34" customFormat="1" ht="14.25" customHeight="1" x14ac:dyDescent="0.2">
      <c r="B1117" s="135"/>
      <c r="C1117" s="217" t="s">
        <v>934</v>
      </c>
      <c r="D1117" s="198" t="s">
        <v>149</v>
      </c>
      <c r="E1117" s="348">
        <v>1</v>
      </c>
      <c r="F1117" s="351">
        <v>0</v>
      </c>
      <c r="G1117" s="352">
        <f t="shared" si="67"/>
        <v>0</v>
      </c>
      <c r="H1117" s="122"/>
    </row>
    <row r="1118" spans="2:8" s="34" customFormat="1" ht="14.25" customHeight="1" x14ac:dyDescent="0.2">
      <c r="B1118" s="135"/>
      <c r="C1118" s="217" t="s">
        <v>993</v>
      </c>
      <c r="D1118" s="198" t="s">
        <v>149</v>
      </c>
      <c r="E1118" s="348">
        <v>1</v>
      </c>
      <c r="F1118" s="351">
        <v>0</v>
      </c>
      <c r="G1118" s="352">
        <f t="shared" si="67"/>
        <v>0</v>
      </c>
      <c r="H1118" s="122"/>
    </row>
    <row r="1119" spans="2:8" s="34" customFormat="1" ht="14.25" customHeight="1" x14ac:dyDescent="0.2">
      <c r="B1119" s="135"/>
      <c r="C1119" s="217" t="s">
        <v>1005</v>
      </c>
      <c r="D1119" s="198" t="s">
        <v>149</v>
      </c>
      <c r="E1119" s="348">
        <v>1</v>
      </c>
      <c r="F1119" s="351">
        <v>0</v>
      </c>
      <c r="G1119" s="352">
        <f t="shared" si="67"/>
        <v>0</v>
      </c>
      <c r="H1119" s="122"/>
    </row>
    <row r="1120" spans="2:8" s="34" customFormat="1" ht="14.25" customHeight="1" x14ac:dyDescent="0.2">
      <c r="B1120" s="135"/>
      <c r="C1120" s="217" t="s">
        <v>1056</v>
      </c>
      <c r="D1120" s="198" t="s">
        <v>149</v>
      </c>
      <c r="E1120" s="348">
        <v>1</v>
      </c>
      <c r="F1120" s="351">
        <v>0</v>
      </c>
      <c r="G1120" s="352">
        <f t="shared" si="67"/>
        <v>0</v>
      </c>
      <c r="H1120" s="122"/>
    </row>
    <row r="1121" spans="2:8" s="34" customFormat="1" ht="14.25" customHeight="1" x14ac:dyDescent="0.2">
      <c r="B1121" s="135"/>
      <c r="C1121" s="217" t="s">
        <v>935</v>
      </c>
      <c r="D1121" s="198" t="s">
        <v>149</v>
      </c>
      <c r="E1121" s="348">
        <v>2</v>
      </c>
      <c r="F1121" s="351">
        <v>0</v>
      </c>
      <c r="G1121" s="352">
        <f t="shared" si="67"/>
        <v>0</v>
      </c>
      <c r="H1121" s="122"/>
    </row>
    <row r="1122" spans="2:8" s="34" customFormat="1" ht="14.25" customHeight="1" x14ac:dyDescent="0.2">
      <c r="B1122" s="135"/>
      <c r="C1122" s="217" t="s">
        <v>938</v>
      </c>
      <c r="D1122" s="198" t="s">
        <v>149</v>
      </c>
      <c r="E1122" s="348">
        <v>2</v>
      </c>
      <c r="F1122" s="351">
        <v>0</v>
      </c>
      <c r="G1122" s="352">
        <f t="shared" si="67"/>
        <v>0</v>
      </c>
      <c r="H1122" s="122"/>
    </row>
    <row r="1123" spans="2:8" s="34" customFormat="1" ht="14.25" customHeight="1" x14ac:dyDescent="0.2">
      <c r="B1123" s="135"/>
      <c r="C1123" s="217" t="s">
        <v>2449</v>
      </c>
      <c r="D1123" s="198" t="s">
        <v>149</v>
      </c>
      <c r="E1123" s="348">
        <v>10</v>
      </c>
      <c r="F1123" s="351">
        <v>0</v>
      </c>
      <c r="G1123" s="352">
        <f t="shared" si="67"/>
        <v>0</v>
      </c>
      <c r="H1123" s="122"/>
    </row>
    <row r="1124" spans="2:8" s="34" customFormat="1" ht="14.25" customHeight="1" x14ac:dyDescent="0.2">
      <c r="B1124" s="135"/>
      <c r="C1124" s="217" t="s">
        <v>2450</v>
      </c>
      <c r="D1124" s="198" t="s">
        <v>928</v>
      </c>
      <c r="E1124" s="348">
        <v>5</v>
      </c>
      <c r="F1124" s="351">
        <v>0</v>
      </c>
      <c r="G1124" s="352">
        <f t="shared" si="67"/>
        <v>0</v>
      </c>
      <c r="H1124" s="122"/>
    </row>
    <row r="1125" spans="2:8" s="34" customFormat="1" ht="14.25" customHeight="1" x14ac:dyDescent="0.2">
      <c r="B1125" s="292" t="s">
        <v>917</v>
      </c>
      <c r="C1125" s="67" t="s">
        <v>918</v>
      </c>
      <c r="D1125" s="63"/>
      <c r="E1125" s="62"/>
      <c r="F1125" s="61"/>
      <c r="G1125" s="60"/>
      <c r="H1125" s="122"/>
    </row>
    <row r="1126" spans="2:8" s="34" customFormat="1" ht="330.75" customHeight="1" x14ac:dyDescent="0.2">
      <c r="B1126" s="135"/>
      <c r="C1126" s="66" t="s">
        <v>919</v>
      </c>
      <c r="D1126" s="63" t="s">
        <v>149</v>
      </c>
      <c r="E1126" s="62">
        <v>2</v>
      </c>
      <c r="F1126" s="61"/>
      <c r="G1126" s="60"/>
      <c r="H1126" s="122"/>
    </row>
    <row r="1127" spans="2:8" s="34" customFormat="1" ht="240" customHeight="1" x14ac:dyDescent="0.2">
      <c r="B1127" s="135"/>
      <c r="C1127" s="65" t="s">
        <v>920</v>
      </c>
      <c r="D1127" s="63" t="s">
        <v>560</v>
      </c>
      <c r="E1127" s="62">
        <v>2</v>
      </c>
      <c r="F1127" s="61"/>
      <c r="G1127" s="60"/>
      <c r="H1127" s="122"/>
    </row>
    <row r="1128" spans="2:8" s="34" customFormat="1" ht="108.75" customHeight="1" x14ac:dyDescent="0.2">
      <c r="B1128" s="135"/>
      <c r="C1128" s="65" t="s">
        <v>921</v>
      </c>
      <c r="D1128" s="63" t="s">
        <v>149</v>
      </c>
      <c r="E1128" s="62">
        <v>2</v>
      </c>
      <c r="F1128" s="61"/>
      <c r="G1128" s="60"/>
      <c r="H1128" s="122"/>
    </row>
    <row r="1129" spans="2:8" s="34" customFormat="1" ht="82.5" customHeight="1" x14ac:dyDescent="0.2">
      <c r="B1129" s="135"/>
      <c r="C1129" s="65" t="s">
        <v>922</v>
      </c>
      <c r="D1129" s="63" t="s">
        <v>560</v>
      </c>
      <c r="E1129" s="62">
        <v>1</v>
      </c>
      <c r="F1129" s="61"/>
      <c r="G1129" s="60"/>
      <c r="H1129" s="122"/>
    </row>
    <row r="1130" spans="2:8" s="34" customFormat="1" ht="328.5" customHeight="1" x14ac:dyDescent="0.2">
      <c r="B1130" s="135"/>
      <c r="C1130" s="64" t="s">
        <v>923</v>
      </c>
      <c r="D1130" s="63" t="s">
        <v>149</v>
      </c>
      <c r="E1130" s="62">
        <v>2</v>
      </c>
      <c r="F1130" s="61"/>
      <c r="G1130" s="60"/>
      <c r="H1130" s="122"/>
    </row>
    <row r="1131" spans="2:8" s="34" customFormat="1" ht="18" customHeight="1" x14ac:dyDescent="0.2">
      <c r="B1131" s="135"/>
      <c r="C1131" s="64" t="s">
        <v>924</v>
      </c>
      <c r="D1131" s="63" t="s">
        <v>560</v>
      </c>
      <c r="E1131" s="62">
        <v>1</v>
      </c>
      <c r="F1131" s="61"/>
      <c r="G1131" s="60"/>
      <c r="H1131" s="122"/>
    </row>
    <row r="1132" spans="2:8" s="34" customFormat="1" ht="93.75" customHeight="1" x14ac:dyDescent="0.2">
      <c r="B1132" s="135"/>
      <c r="C1132" s="72" t="s">
        <v>2451</v>
      </c>
      <c r="D1132" s="63"/>
      <c r="E1132" s="62"/>
      <c r="F1132" s="61"/>
      <c r="G1132" s="60"/>
      <c r="H1132" s="122"/>
    </row>
    <row r="1133" spans="2:8" s="2730" customFormat="1" ht="18" customHeight="1" x14ac:dyDescent="0.2">
      <c r="B1133" s="2729"/>
      <c r="C1133" s="2756" t="s">
        <v>925</v>
      </c>
      <c r="D1133" s="2751" t="s">
        <v>560</v>
      </c>
      <c r="E1133" s="2752">
        <v>1</v>
      </c>
      <c r="F1133" s="61">
        <v>0</v>
      </c>
      <c r="G1133" s="60">
        <f>E1133*F1133</f>
        <v>0</v>
      </c>
      <c r="H1133" s="356"/>
    </row>
    <row r="1134" spans="2:8" s="9" customFormat="1" ht="25.5" customHeight="1" x14ac:dyDescent="0.25">
      <c r="B1134" s="293" t="s">
        <v>17</v>
      </c>
      <c r="C1134" s="294" t="s">
        <v>302</v>
      </c>
      <c r="D1134" s="218"/>
      <c r="E1134" s="203"/>
      <c r="F1134" s="204"/>
      <c r="G1134" s="290">
        <f>SUM(G50:G1133)</f>
        <v>0</v>
      </c>
      <c r="H1134" s="150"/>
    </row>
  </sheetData>
  <mergeCells count="5">
    <mergeCell ref="B49:G49"/>
    <mergeCell ref="B75:B78"/>
    <mergeCell ref="B34:G34"/>
    <mergeCell ref="B47:G47"/>
    <mergeCell ref="B48:G48"/>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19" max="16383" man="1"/>
    <brk id="30" max="16383" man="1"/>
    <brk id="3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B048-89FE-4741-B7B0-CAAF72C46681}">
  <sheetPr codeName="Sheet23">
    <tabColor rgb="FF7030A0"/>
  </sheetPr>
  <dimension ref="A2:L216"/>
  <sheetViews>
    <sheetView showZeros="0" topLeftCell="A54" zoomScale="110" zoomScaleNormal="110" workbookViewId="0">
      <selection activeCell="B66" sqref="B66:G66"/>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2217</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2452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G56</f>
        <v>0</v>
      </c>
      <c r="H15" s="18"/>
      <c r="I15" s="331"/>
      <c r="J15" s="331"/>
      <c r="K15" s="331"/>
      <c r="L15" s="331"/>
    </row>
    <row r="16" spans="1:12" s="17" customFormat="1" ht="18.75" customHeight="1" x14ac:dyDescent="0.25">
      <c r="A16" s="331"/>
      <c r="B16" s="332" t="s">
        <v>18</v>
      </c>
      <c r="C16" s="340" t="s">
        <v>367</v>
      </c>
      <c r="D16" s="341"/>
      <c r="E16" s="342"/>
      <c r="F16" s="58"/>
      <c r="G16" s="20">
        <f>G216</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s="34" customFormat="1" ht="14.25" customHeight="1" x14ac:dyDescent="0.2">
      <c r="A27" s="136"/>
      <c r="B27" s="292" t="s">
        <v>897</v>
      </c>
      <c r="C27" s="46"/>
      <c r="D27" s="198"/>
      <c r="E27" s="348"/>
      <c r="F27" s="351"/>
      <c r="G27" s="352"/>
      <c r="H27" s="122"/>
    </row>
    <row r="28" spans="1:8" s="34" customFormat="1" ht="14.25" customHeight="1" x14ac:dyDescent="0.2">
      <c r="A28" s="136"/>
      <c r="B28" s="135"/>
      <c r="C28" s="217" t="s">
        <v>2453</v>
      </c>
      <c r="D28" s="198" t="s">
        <v>149</v>
      </c>
      <c r="E28" s="348">
        <v>2</v>
      </c>
      <c r="F28" s="351">
        <v>0</v>
      </c>
      <c r="G28" s="352">
        <f t="shared" ref="G28:G35" si="0">E28*F28</f>
        <v>0</v>
      </c>
      <c r="H28" s="122"/>
    </row>
    <row r="29" spans="1:8" s="34" customFormat="1" ht="14.25" customHeight="1" x14ac:dyDescent="0.2">
      <c r="A29" s="136"/>
      <c r="B29" s="135"/>
      <c r="C29" s="217" t="s">
        <v>2454</v>
      </c>
      <c r="D29" s="198" t="s">
        <v>149</v>
      </c>
      <c r="E29" s="348">
        <v>2</v>
      </c>
      <c r="F29" s="351">
        <v>0</v>
      </c>
      <c r="G29" s="352">
        <f t="shared" si="0"/>
        <v>0</v>
      </c>
      <c r="H29" s="122"/>
    </row>
    <row r="30" spans="1:8" s="34" customFormat="1" ht="14.25" customHeight="1" x14ac:dyDescent="0.2">
      <c r="A30" s="136"/>
      <c r="B30" s="135"/>
      <c r="C30" s="217" t="s">
        <v>903</v>
      </c>
      <c r="D30" s="198" t="s">
        <v>149</v>
      </c>
      <c r="E30" s="348">
        <v>56</v>
      </c>
      <c r="F30" s="351">
        <v>0</v>
      </c>
      <c r="G30" s="352">
        <f t="shared" si="0"/>
        <v>0</v>
      </c>
      <c r="H30" s="122"/>
    </row>
    <row r="31" spans="1:8" s="34" customFormat="1" ht="14.25" customHeight="1" x14ac:dyDescent="0.2">
      <c r="A31" s="136"/>
      <c r="B31" s="135"/>
      <c r="C31" s="217" t="s">
        <v>2455</v>
      </c>
      <c r="D31" s="198" t="s">
        <v>149</v>
      </c>
      <c r="E31" s="348">
        <v>1</v>
      </c>
      <c r="F31" s="351">
        <v>0</v>
      </c>
      <c r="G31" s="352">
        <f t="shared" si="0"/>
        <v>0</v>
      </c>
      <c r="H31" s="122"/>
    </row>
    <row r="32" spans="1:8" s="34" customFormat="1" ht="14.25" customHeight="1" x14ac:dyDescent="0.2">
      <c r="A32" s="136"/>
      <c r="B32" s="135"/>
      <c r="C32" s="217" t="s">
        <v>2456</v>
      </c>
      <c r="D32" s="198" t="s">
        <v>149</v>
      </c>
      <c r="E32" s="348">
        <v>2</v>
      </c>
      <c r="F32" s="351">
        <v>0</v>
      </c>
      <c r="G32" s="352">
        <f t="shared" si="0"/>
        <v>0</v>
      </c>
      <c r="H32" s="122"/>
    </row>
    <row r="33" spans="2:8" s="34" customFormat="1" ht="14.25" customHeight="1" x14ac:dyDescent="0.2">
      <c r="B33" s="135"/>
      <c r="C33" s="217" t="s">
        <v>2457</v>
      </c>
      <c r="D33" s="198" t="s">
        <v>149</v>
      </c>
      <c r="E33" s="348">
        <v>2</v>
      </c>
      <c r="F33" s="351">
        <v>0</v>
      </c>
      <c r="G33" s="352">
        <f t="shared" si="0"/>
        <v>0</v>
      </c>
      <c r="H33" s="122"/>
    </row>
    <row r="34" spans="2:8" s="34" customFormat="1" ht="14.25" customHeight="1" x14ac:dyDescent="0.2">
      <c r="B34" s="135"/>
      <c r="C34" s="217" t="s">
        <v>904</v>
      </c>
      <c r="D34" s="198" t="s">
        <v>149</v>
      </c>
      <c r="E34" s="348">
        <v>6</v>
      </c>
      <c r="F34" s="351">
        <v>0</v>
      </c>
      <c r="G34" s="352">
        <f t="shared" si="0"/>
        <v>0</v>
      </c>
      <c r="H34" s="122"/>
    </row>
    <row r="35" spans="2:8" s="34" customFormat="1" ht="14.25" customHeight="1" x14ac:dyDescent="0.2">
      <c r="B35" s="135"/>
      <c r="C35" s="217" t="s">
        <v>2458</v>
      </c>
      <c r="D35" s="198" t="s">
        <v>149</v>
      </c>
      <c r="E35" s="348">
        <v>1</v>
      </c>
      <c r="F35" s="351">
        <v>0</v>
      </c>
      <c r="G35" s="352">
        <f t="shared" si="0"/>
        <v>0</v>
      </c>
      <c r="H35" s="122"/>
    </row>
    <row r="36" spans="2:8" s="34" customFormat="1" ht="14.25" customHeight="1" x14ac:dyDescent="0.2">
      <c r="B36" s="292" t="s">
        <v>917</v>
      </c>
      <c r="C36" s="67" t="s">
        <v>918</v>
      </c>
      <c r="D36" s="63"/>
      <c r="E36" s="62"/>
      <c r="F36" s="61"/>
      <c r="G36" s="60"/>
      <c r="H36" s="122"/>
    </row>
    <row r="37" spans="2:8" s="34" customFormat="1" ht="14.25" customHeight="1" x14ac:dyDescent="0.2">
      <c r="B37" s="135"/>
      <c r="C37" s="69" t="s">
        <v>1056</v>
      </c>
      <c r="D37" s="63" t="s">
        <v>149</v>
      </c>
      <c r="E37" s="62">
        <v>1</v>
      </c>
      <c r="F37" s="61"/>
      <c r="G37" s="60"/>
      <c r="H37" s="122"/>
    </row>
    <row r="38" spans="2:8" s="34" customFormat="1" ht="14.25" customHeight="1" x14ac:dyDescent="0.2">
      <c r="B38" s="135"/>
      <c r="C38" s="69" t="s">
        <v>1035</v>
      </c>
      <c r="D38" s="63" t="s">
        <v>149</v>
      </c>
      <c r="E38" s="62">
        <v>2</v>
      </c>
      <c r="F38" s="61"/>
      <c r="G38" s="60"/>
      <c r="H38" s="122"/>
    </row>
    <row r="39" spans="2:8" s="34" customFormat="1" ht="14.25" customHeight="1" x14ac:dyDescent="0.2">
      <c r="B39" s="135"/>
      <c r="C39" s="69" t="s">
        <v>1034</v>
      </c>
      <c r="D39" s="63" t="s">
        <v>149</v>
      </c>
      <c r="E39" s="62">
        <v>10</v>
      </c>
      <c r="F39" s="61"/>
      <c r="G39" s="60"/>
      <c r="H39" s="122"/>
    </row>
    <row r="40" spans="2:8" s="34" customFormat="1" ht="14.25" customHeight="1" x14ac:dyDescent="0.2">
      <c r="B40" s="135"/>
      <c r="C40" s="69" t="s">
        <v>1057</v>
      </c>
      <c r="D40" s="63" t="s">
        <v>149</v>
      </c>
      <c r="E40" s="62">
        <v>1</v>
      </c>
      <c r="F40" s="61"/>
      <c r="G40" s="60"/>
      <c r="H40" s="122"/>
    </row>
    <row r="41" spans="2:8" s="34" customFormat="1" ht="14.25" customHeight="1" x14ac:dyDescent="0.2">
      <c r="B41" s="135"/>
      <c r="C41" s="69" t="s">
        <v>1036</v>
      </c>
      <c r="D41" s="63" t="s">
        <v>149</v>
      </c>
      <c r="E41" s="62">
        <v>1</v>
      </c>
      <c r="F41" s="61"/>
      <c r="G41" s="60"/>
      <c r="H41" s="122"/>
    </row>
    <row r="42" spans="2:8" s="34" customFormat="1" ht="14.25" customHeight="1" x14ac:dyDescent="0.2">
      <c r="B42" s="135"/>
      <c r="C42" s="69" t="s">
        <v>1037</v>
      </c>
      <c r="D42" s="63" t="s">
        <v>149</v>
      </c>
      <c r="E42" s="62">
        <v>2</v>
      </c>
      <c r="F42" s="61"/>
      <c r="G42" s="60"/>
      <c r="H42" s="122"/>
    </row>
    <row r="43" spans="2:8" s="34" customFormat="1" ht="14.25" customHeight="1" x14ac:dyDescent="0.2">
      <c r="B43" s="135"/>
      <c r="C43" s="69" t="s">
        <v>1038</v>
      </c>
      <c r="D43" s="63" t="s">
        <v>149</v>
      </c>
      <c r="E43" s="62">
        <v>1</v>
      </c>
      <c r="F43" s="61"/>
      <c r="G43" s="60"/>
      <c r="H43" s="122"/>
    </row>
    <row r="44" spans="2:8" s="34" customFormat="1" ht="14.25" customHeight="1" x14ac:dyDescent="0.2">
      <c r="B44" s="135"/>
      <c r="C44" s="69" t="s">
        <v>1039</v>
      </c>
      <c r="D44" s="63" t="s">
        <v>149</v>
      </c>
      <c r="E44" s="62">
        <v>15</v>
      </c>
      <c r="F44" s="61"/>
      <c r="G44" s="60"/>
      <c r="H44" s="122"/>
    </row>
    <row r="45" spans="2:8" s="34" customFormat="1" ht="14.25" customHeight="1" x14ac:dyDescent="0.2">
      <c r="B45" s="135"/>
      <c r="C45" s="69" t="s">
        <v>1041</v>
      </c>
      <c r="D45" s="63" t="s">
        <v>928</v>
      </c>
      <c r="E45" s="62">
        <v>20</v>
      </c>
      <c r="F45" s="61"/>
      <c r="G45" s="60"/>
      <c r="H45" s="122"/>
    </row>
    <row r="46" spans="2:8" s="34" customFormat="1" ht="14.25" customHeight="1" x14ac:dyDescent="0.2">
      <c r="B46" s="135"/>
      <c r="C46" s="69" t="s">
        <v>940</v>
      </c>
      <c r="D46" s="63" t="s">
        <v>149</v>
      </c>
      <c r="E46" s="62">
        <v>4</v>
      </c>
      <c r="F46" s="61"/>
      <c r="G46" s="60"/>
      <c r="H46" s="122"/>
    </row>
    <row r="47" spans="2:8" s="34" customFormat="1" ht="15.75" customHeight="1" x14ac:dyDescent="0.2">
      <c r="B47" s="135"/>
      <c r="C47" s="69" t="s">
        <v>1005</v>
      </c>
      <c r="D47" s="63" t="s">
        <v>149</v>
      </c>
      <c r="E47" s="62">
        <v>1</v>
      </c>
      <c r="F47" s="61"/>
      <c r="G47" s="60"/>
      <c r="H47" s="122"/>
    </row>
    <row r="48" spans="2:8" s="34" customFormat="1" ht="15.75" customHeight="1" x14ac:dyDescent="0.2">
      <c r="B48" s="135"/>
      <c r="C48" s="69" t="s">
        <v>1059</v>
      </c>
      <c r="D48" s="63" t="s">
        <v>149</v>
      </c>
      <c r="E48" s="62">
        <v>1</v>
      </c>
      <c r="F48" s="61"/>
      <c r="G48" s="60"/>
      <c r="H48" s="122"/>
    </row>
    <row r="49" spans="2:8" s="34" customFormat="1" ht="330.75" customHeight="1" x14ac:dyDescent="0.2">
      <c r="B49" s="135"/>
      <c r="C49" s="66" t="s">
        <v>919</v>
      </c>
      <c r="D49" s="63" t="s">
        <v>149</v>
      </c>
      <c r="E49" s="62">
        <v>1</v>
      </c>
      <c r="F49" s="61"/>
      <c r="G49" s="60"/>
      <c r="H49" s="122"/>
    </row>
    <row r="50" spans="2:8" s="34" customFormat="1" ht="240" customHeight="1" x14ac:dyDescent="0.2">
      <c r="B50" s="135"/>
      <c r="C50" s="65" t="s">
        <v>920</v>
      </c>
      <c r="D50" s="63" t="s">
        <v>560</v>
      </c>
      <c r="E50" s="62">
        <v>1</v>
      </c>
      <c r="F50" s="61"/>
      <c r="G50" s="60"/>
      <c r="H50" s="122"/>
    </row>
    <row r="51" spans="2:8" s="34" customFormat="1" ht="108.75" customHeight="1" x14ac:dyDescent="0.2">
      <c r="B51" s="135"/>
      <c r="C51" s="65" t="s">
        <v>921</v>
      </c>
      <c r="D51" s="63" t="s">
        <v>149</v>
      </c>
      <c r="E51" s="62">
        <v>1</v>
      </c>
      <c r="F51" s="61"/>
      <c r="G51" s="60"/>
      <c r="H51" s="122"/>
    </row>
    <row r="52" spans="2:8" s="34" customFormat="1" ht="82.5" customHeight="1" x14ac:dyDescent="0.2">
      <c r="B52" s="135"/>
      <c r="C52" s="65" t="s">
        <v>988</v>
      </c>
      <c r="D52" s="63" t="s">
        <v>560</v>
      </c>
      <c r="E52" s="62">
        <v>1</v>
      </c>
      <c r="F52" s="61"/>
      <c r="G52" s="60"/>
      <c r="H52" s="122"/>
    </row>
    <row r="53" spans="2:8" s="34" customFormat="1" ht="328.5" customHeight="1" x14ac:dyDescent="0.2">
      <c r="B53" s="135"/>
      <c r="C53" s="64" t="s">
        <v>923</v>
      </c>
      <c r="D53" s="63" t="s">
        <v>149</v>
      </c>
      <c r="E53" s="62">
        <v>1</v>
      </c>
      <c r="F53" s="61"/>
      <c r="G53" s="60"/>
      <c r="H53" s="122"/>
    </row>
    <row r="54" spans="2:8" s="34" customFormat="1" ht="18" customHeight="1" x14ac:dyDescent="0.2">
      <c r="B54" s="135"/>
      <c r="C54" s="64" t="s">
        <v>924</v>
      </c>
      <c r="D54" s="63" t="s">
        <v>560</v>
      </c>
      <c r="E54" s="62">
        <v>1</v>
      </c>
      <c r="F54" s="61"/>
      <c r="G54" s="60"/>
      <c r="H54" s="122"/>
    </row>
    <row r="55" spans="2:8" s="2730" customFormat="1" ht="18" customHeight="1" x14ac:dyDescent="0.2">
      <c r="B55" s="2729"/>
      <c r="C55" s="2755" t="s">
        <v>925</v>
      </c>
      <c r="D55" s="2751" t="s">
        <v>98</v>
      </c>
      <c r="E55" s="62">
        <v>1</v>
      </c>
      <c r="F55" s="61">
        <v>0</v>
      </c>
      <c r="G55" s="60">
        <f t="shared" ref="G55" si="1">E55*F55</f>
        <v>0</v>
      </c>
      <c r="H55" s="356"/>
    </row>
    <row r="56" spans="2:8" s="9" customFormat="1" ht="25.5" customHeight="1" x14ac:dyDescent="0.25">
      <c r="B56" s="293" t="s">
        <v>17</v>
      </c>
      <c r="C56" s="294" t="s">
        <v>302</v>
      </c>
      <c r="D56" s="218"/>
      <c r="E56" s="203"/>
      <c r="F56" s="204"/>
      <c r="G56" s="290">
        <f>SUM(G27:G55)</f>
        <v>0</v>
      </c>
      <c r="H56" s="150"/>
    </row>
    <row r="57" spans="2:8" x14ac:dyDescent="0.2">
      <c r="B57" s="129"/>
      <c r="C57" s="197"/>
      <c r="D57" s="207"/>
      <c r="E57" s="199"/>
      <c r="F57" s="200"/>
      <c r="G57" s="201"/>
      <c r="H57" s="122"/>
    </row>
    <row r="58" spans="2:8" ht="24" x14ac:dyDescent="0.2">
      <c r="B58" s="128" t="s">
        <v>83</v>
      </c>
      <c r="C58" s="192" t="s">
        <v>89</v>
      </c>
      <c r="D58" s="192" t="s">
        <v>90</v>
      </c>
      <c r="E58" s="194" t="s">
        <v>91</v>
      </c>
      <c r="F58" s="195" t="s">
        <v>92</v>
      </c>
      <c r="G58" s="196" t="s">
        <v>93</v>
      </c>
      <c r="H58" s="122"/>
    </row>
    <row r="59" spans="2:8" x14ac:dyDescent="0.2">
      <c r="B59" s="51"/>
      <c r="C59" s="50"/>
      <c r="D59" s="50"/>
      <c r="E59" s="359"/>
      <c r="F59" s="360"/>
      <c r="G59" s="361"/>
      <c r="H59" s="122"/>
    </row>
    <row r="60" spans="2:8" ht="20.25" x14ac:dyDescent="0.2">
      <c r="B60" s="296" t="s">
        <v>18</v>
      </c>
      <c r="C60" s="297" t="s">
        <v>367</v>
      </c>
      <c r="D60" s="298"/>
      <c r="E60" s="299"/>
      <c r="F60" s="300"/>
      <c r="G60" s="301"/>
      <c r="H60" s="122"/>
    </row>
    <row r="61" spans="2:8" x14ac:dyDescent="0.2">
      <c r="B61" s="3205" t="s">
        <v>539</v>
      </c>
      <c r="C61" s="3206"/>
      <c r="D61" s="3206"/>
      <c r="E61" s="3206"/>
      <c r="F61" s="3206"/>
      <c r="G61" s="3207"/>
      <c r="H61" s="122"/>
    </row>
    <row r="62" spans="2:8" ht="25.5" customHeight="1" x14ac:dyDescent="0.2">
      <c r="B62" s="3205" t="s">
        <v>540</v>
      </c>
      <c r="C62" s="3206"/>
      <c r="D62" s="3206"/>
      <c r="E62" s="3206"/>
      <c r="F62" s="3206"/>
      <c r="G62" s="3207"/>
      <c r="H62" s="122"/>
    </row>
    <row r="63" spans="2:8" x14ac:dyDescent="0.2">
      <c r="B63" s="3205" t="s">
        <v>541</v>
      </c>
      <c r="C63" s="3206"/>
      <c r="D63" s="3206"/>
      <c r="E63" s="3206"/>
      <c r="F63" s="3206"/>
      <c r="G63" s="3207"/>
      <c r="H63" s="122"/>
    </row>
    <row r="64" spans="2:8" ht="25.5" customHeight="1" x14ac:dyDescent="0.2">
      <c r="B64" s="3205" t="s">
        <v>542</v>
      </c>
      <c r="C64" s="3206"/>
      <c r="D64" s="3206"/>
      <c r="E64" s="3206"/>
      <c r="F64" s="3206"/>
      <c r="G64" s="3207"/>
      <c r="H64" s="122"/>
    </row>
    <row r="65" spans="2:7" ht="25.5" customHeight="1" x14ac:dyDescent="0.2">
      <c r="B65" s="3205" t="s">
        <v>543</v>
      </c>
      <c r="C65" s="3206"/>
      <c r="D65" s="3206"/>
      <c r="E65" s="3206"/>
      <c r="F65" s="3206"/>
      <c r="G65" s="3207"/>
    </row>
    <row r="66" spans="2:7" ht="25.5" customHeight="1" x14ac:dyDescent="0.2">
      <c r="B66" s="3205" t="s">
        <v>544</v>
      </c>
      <c r="C66" s="3206"/>
      <c r="D66" s="3206"/>
      <c r="E66" s="3206"/>
      <c r="F66" s="3206"/>
      <c r="G66" s="3207"/>
    </row>
    <row r="67" spans="2:7" x14ac:dyDescent="0.2">
      <c r="B67" s="3205" t="s">
        <v>545</v>
      </c>
      <c r="C67" s="3206"/>
      <c r="D67" s="3206"/>
      <c r="E67" s="3206"/>
      <c r="F67" s="3206"/>
      <c r="G67" s="3207"/>
    </row>
    <row r="68" spans="2:7" x14ac:dyDescent="0.2">
      <c r="B68" s="153">
        <v>1</v>
      </c>
      <c r="C68" s="357" t="s">
        <v>550</v>
      </c>
      <c r="D68" s="207"/>
      <c r="E68" s="199"/>
      <c r="F68" s="269"/>
      <c r="G68" s="270"/>
    </row>
    <row r="69" spans="2:7" ht="132" x14ac:dyDescent="0.2">
      <c r="B69" s="129"/>
      <c r="C69" s="197" t="s">
        <v>815</v>
      </c>
      <c r="D69" s="207" t="s">
        <v>98</v>
      </c>
      <c r="E69" s="199">
        <v>1</v>
      </c>
      <c r="F69" s="2028">
        <v>0</v>
      </c>
      <c r="G69" s="270">
        <f t="shared" ref="G69:G89" si="2">E69*F69</f>
        <v>0</v>
      </c>
    </row>
    <row r="70" spans="2:7" ht="72" x14ac:dyDescent="0.2">
      <c r="B70" s="129"/>
      <c r="C70" s="197" t="s">
        <v>751</v>
      </c>
      <c r="D70" s="207" t="s">
        <v>123</v>
      </c>
      <c r="E70" s="199">
        <v>1</v>
      </c>
      <c r="F70" s="2028">
        <v>0</v>
      </c>
      <c r="G70" s="270">
        <f t="shared" si="2"/>
        <v>0</v>
      </c>
    </row>
    <row r="71" spans="2:7" ht="72" x14ac:dyDescent="0.2">
      <c r="B71" s="129"/>
      <c r="C71" s="197" t="s">
        <v>752</v>
      </c>
      <c r="D71" s="207" t="s">
        <v>123</v>
      </c>
      <c r="E71" s="199">
        <v>1</v>
      </c>
      <c r="F71" s="2028">
        <v>0</v>
      </c>
      <c r="G71" s="270">
        <f t="shared" si="2"/>
        <v>0</v>
      </c>
    </row>
    <row r="72" spans="2:7" ht="72" x14ac:dyDescent="0.2">
      <c r="B72" s="129"/>
      <c r="C72" s="197" t="s">
        <v>753</v>
      </c>
      <c r="D72" s="207" t="s">
        <v>123</v>
      </c>
      <c r="E72" s="199">
        <v>2</v>
      </c>
      <c r="F72" s="2028">
        <v>0</v>
      </c>
      <c r="G72" s="270">
        <f t="shared" si="2"/>
        <v>0</v>
      </c>
    </row>
    <row r="73" spans="2:7" ht="72" x14ac:dyDescent="0.2">
      <c r="B73" s="129"/>
      <c r="C73" s="197" t="s">
        <v>754</v>
      </c>
      <c r="D73" s="207" t="s">
        <v>123</v>
      </c>
      <c r="E73" s="199">
        <v>1</v>
      </c>
      <c r="F73" s="2028">
        <v>0</v>
      </c>
      <c r="G73" s="270">
        <f t="shared" si="2"/>
        <v>0</v>
      </c>
    </row>
    <row r="74" spans="2:7" ht="60" x14ac:dyDescent="0.2">
      <c r="B74" s="129"/>
      <c r="C74" s="197" t="s">
        <v>755</v>
      </c>
      <c r="D74" s="207" t="s">
        <v>123</v>
      </c>
      <c r="E74" s="199">
        <v>1</v>
      </c>
      <c r="F74" s="2028">
        <v>0</v>
      </c>
      <c r="G74" s="270">
        <f t="shared" si="2"/>
        <v>0</v>
      </c>
    </row>
    <row r="75" spans="2:7" ht="84" x14ac:dyDescent="0.2">
      <c r="B75" s="129"/>
      <c r="C75" s="311" t="s">
        <v>756</v>
      </c>
      <c r="D75" s="207" t="s">
        <v>98</v>
      </c>
      <c r="E75" s="199">
        <v>1</v>
      </c>
      <c r="F75" s="2028">
        <v>0</v>
      </c>
      <c r="G75" s="270">
        <f t="shared" si="2"/>
        <v>0</v>
      </c>
    </row>
    <row r="76" spans="2:7" ht="60" x14ac:dyDescent="0.2">
      <c r="B76" s="129"/>
      <c r="C76" s="197" t="s">
        <v>757</v>
      </c>
      <c r="D76" s="207" t="s">
        <v>123</v>
      </c>
      <c r="E76" s="199">
        <v>1</v>
      </c>
      <c r="F76" s="2028">
        <v>0</v>
      </c>
      <c r="G76" s="270">
        <f t="shared" si="2"/>
        <v>0</v>
      </c>
    </row>
    <row r="77" spans="2:7" ht="120" x14ac:dyDescent="0.2">
      <c r="B77" s="129"/>
      <c r="C77" s="197" t="s">
        <v>619</v>
      </c>
      <c r="D77" s="207" t="s">
        <v>123</v>
      </c>
      <c r="E77" s="199">
        <v>1</v>
      </c>
      <c r="F77" s="2028">
        <v>0</v>
      </c>
      <c r="G77" s="270">
        <f t="shared" si="2"/>
        <v>0</v>
      </c>
    </row>
    <row r="78" spans="2:7" ht="36" x14ac:dyDescent="0.2">
      <c r="B78" s="129"/>
      <c r="C78" s="197" t="s">
        <v>758</v>
      </c>
      <c r="D78" s="207" t="s">
        <v>123</v>
      </c>
      <c r="E78" s="199">
        <v>40</v>
      </c>
      <c r="F78" s="2028">
        <v>0</v>
      </c>
      <c r="G78" s="270">
        <f t="shared" si="2"/>
        <v>0</v>
      </c>
    </row>
    <row r="79" spans="2:7" ht="36" x14ac:dyDescent="0.2">
      <c r="B79" s="129"/>
      <c r="C79" s="197" t="s">
        <v>759</v>
      </c>
      <c r="D79" s="207" t="s">
        <v>123</v>
      </c>
      <c r="E79" s="199">
        <v>10</v>
      </c>
      <c r="F79" s="2028">
        <v>0</v>
      </c>
      <c r="G79" s="270">
        <f t="shared" si="2"/>
        <v>0</v>
      </c>
    </row>
    <row r="80" spans="2:7" ht="36" x14ac:dyDescent="0.2">
      <c r="B80" s="129"/>
      <c r="C80" s="197" t="s">
        <v>760</v>
      </c>
      <c r="D80" s="207" t="s">
        <v>123</v>
      </c>
      <c r="E80" s="199">
        <v>2</v>
      </c>
      <c r="F80" s="2028">
        <v>0</v>
      </c>
      <c r="G80" s="270">
        <f t="shared" si="2"/>
        <v>0</v>
      </c>
    </row>
    <row r="81" spans="2:8" ht="36" x14ac:dyDescent="0.2">
      <c r="B81" s="129"/>
      <c r="C81" s="197" t="s">
        <v>761</v>
      </c>
      <c r="D81" s="207" t="s">
        <v>123</v>
      </c>
      <c r="E81" s="199">
        <v>12</v>
      </c>
      <c r="F81" s="2028">
        <v>0</v>
      </c>
      <c r="G81" s="270">
        <f t="shared" si="2"/>
        <v>0</v>
      </c>
    </row>
    <row r="82" spans="2:8" ht="36" x14ac:dyDescent="0.2">
      <c r="B82" s="129"/>
      <c r="C82" s="197" t="s">
        <v>762</v>
      </c>
      <c r="D82" s="207" t="s">
        <v>123</v>
      </c>
      <c r="E82" s="199">
        <v>1</v>
      </c>
      <c r="F82" s="2028">
        <v>0</v>
      </c>
      <c r="G82" s="270">
        <f t="shared" si="2"/>
        <v>0</v>
      </c>
    </row>
    <row r="83" spans="2:8" ht="48" x14ac:dyDescent="0.2">
      <c r="B83" s="129"/>
      <c r="C83" s="197" t="s">
        <v>763</v>
      </c>
      <c r="D83" s="207" t="s">
        <v>123</v>
      </c>
      <c r="E83" s="199">
        <v>1</v>
      </c>
      <c r="F83" s="2028">
        <v>0</v>
      </c>
      <c r="G83" s="270">
        <f t="shared" si="2"/>
        <v>0</v>
      </c>
    </row>
    <row r="84" spans="2:8" ht="60" x14ac:dyDescent="0.2">
      <c r="B84" s="129"/>
      <c r="C84" s="197" t="s">
        <v>764</v>
      </c>
      <c r="D84" s="207" t="s">
        <v>123</v>
      </c>
      <c r="E84" s="199">
        <v>3</v>
      </c>
      <c r="F84" s="2028">
        <v>0</v>
      </c>
      <c r="G84" s="270">
        <f t="shared" si="2"/>
        <v>0</v>
      </c>
    </row>
    <row r="85" spans="2:8" ht="60" x14ac:dyDescent="0.2">
      <c r="B85" s="129"/>
      <c r="C85" s="197" t="s">
        <v>765</v>
      </c>
      <c r="D85" s="207" t="s">
        <v>123</v>
      </c>
      <c r="E85" s="199">
        <v>3</v>
      </c>
      <c r="F85" s="2028">
        <v>0</v>
      </c>
      <c r="G85" s="270">
        <f t="shared" si="2"/>
        <v>0</v>
      </c>
    </row>
    <row r="86" spans="2:8" ht="60" x14ac:dyDescent="0.2">
      <c r="B86" s="129"/>
      <c r="C86" s="197" t="s">
        <v>766</v>
      </c>
      <c r="D86" s="207" t="s">
        <v>123</v>
      </c>
      <c r="E86" s="199">
        <v>3</v>
      </c>
      <c r="F86" s="2028">
        <v>0</v>
      </c>
      <c r="G86" s="270">
        <f t="shared" si="2"/>
        <v>0</v>
      </c>
    </row>
    <row r="87" spans="2:8" ht="48" x14ac:dyDescent="0.2">
      <c r="B87" s="129"/>
      <c r="C87" s="197" t="s">
        <v>767</v>
      </c>
      <c r="D87" s="207" t="s">
        <v>98</v>
      </c>
      <c r="E87" s="199">
        <v>1</v>
      </c>
      <c r="F87" s="2028">
        <v>0</v>
      </c>
      <c r="G87" s="270">
        <f t="shared" si="2"/>
        <v>0</v>
      </c>
    </row>
    <row r="88" spans="2:8" ht="72" x14ac:dyDescent="0.2">
      <c r="B88" s="129"/>
      <c r="C88" s="197" t="s">
        <v>768</v>
      </c>
      <c r="D88" s="207" t="s">
        <v>123</v>
      </c>
      <c r="E88" s="199">
        <v>1</v>
      </c>
      <c r="F88" s="2028">
        <v>0</v>
      </c>
      <c r="G88" s="270">
        <f t="shared" si="2"/>
        <v>0</v>
      </c>
    </row>
    <row r="89" spans="2:8" ht="84" x14ac:dyDescent="0.2">
      <c r="B89" s="129"/>
      <c r="C89" s="197" t="s">
        <v>620</v>
      </c>
      <c r="D89" s="207" t="s">
        <v>123</v>
      </c>
      <c r="E89" s="199">
        <v>1</v>
      </c>
      <c r="F89" s="2028">
        <v>0</v>
      </c>
      <c r="G89" s="270">
        <f t="shared" si="2"/>
        <v>0</v>
      </c>
    </row>
    <row r="90" spans="2:8" x14ac:dyDescent="0.2">
      <c r="B90" s="153">
        <v>2</v>
      </c>
      <c r="C90" s="357" t="s">
        <v>769</v>
      </c>
      <c r="D90" s="207"/>
      <c r="E90" s="199"/>
      <c r="F90" s="269"/>
      <c r="G90" s="270"/>
    </row>
    <row r="91" spans="2:8" s="121" customFormat="1" ht="387.75" customHeight="1" x14ac:dyDescent="0.2">
      <c r="B91" s="2743"/>
      <c r="C91" s="2744"/>
      <c r="D91" s="2745"/>
      <c r="E91" s="2746"/>
      <c r="F91" s="2747"/>
      <c r="G91" s="2736"/>
      <c r="H91" s="122"/>
    </row>
    <row r="92" spans="2:8" s="121" customFormat="1" ht="24.75" customHeight="1" x14ac:dyDescent="0.2">
      <c r="B92" s="2749"/>
      <c r="C92" s="2744" t="s">
        <v>2465</v>
      </c>
      <c r="D92" s="2748" t="s">
        <v>98</v>
      </c>
      <c r="E92" s="2746">
        <v>1</v>
      </c>
      <c r="F92" s="2747">
        <v>0</v>
      </c>
      <c r="G92" s="2736">
        <f t="shared" ref="G92" si="3">E92*F92</f>
        <v>0</v>
      </c>
      <c r="H92" s="122"/>
    </row>
    <row r="93" spans="2:8" ht="60" x14ac:dyDescent="0.2">
      <c r="B93" s="129"/>
      <c r="C93" s="197" t="s">
        <v>772</v>
      </c>
      <c r="D93" s="207" t="s">
        <v>123</v>
      </c>
      <c r="E93" s="199">
        <v>1</v>
      </c>
      <c r="F93" s="2028">
        <v>0</v>
      </c>
      <c r="G93" s="270">
        <f t="shared" ref="G93:G100" si="4">E93*F93</f>
        <v>0</v>
      </c>
    </row>
    <row r="94" spans="2:8" ht="48" x14ac:dyDescent="0.2">
      <c r="B94" s="129"/>
      <c r="C94" s="197" t="s">
        <v>625</v>
      </c>
      <c r="D94" s="207" t="s">
        <v>123</v>
      </c>
      <c r="E94" s="199">
        <v>1</v>
      </c>
      <c r="F94" s="2028">
        <v>0</v>
      </c>
      <c r="G94" s="270">
        <f t="shared" si="4"/>
        <v>0</v>
      </c>
    </row>
    <row r="95" spans="2:8" ht="48" x14ac:dyDescent="0.2">
      <c r="B95" s="362"/>
      <c r="C95" s="311" t="s">
        <v>771</v>
      </c>
      <c r="D95" s="207" t="s">
        <v>123</v>
      </c>
      <c r="E95" s="199">
        <v>1</v>
      </c>
      <c r="F95" s="2028">
        <v>0</v>
      </c>
      <c r="G95" s="270">
        <f t="shared" si="4"/>
        <v>0</v>
      </c>
    </row>
    <row r="96" spans="2:8" ht="84" x14ac:dyDescent="0.2">
      <c r="B96" s="362"/>
      <c r="C96" s="311" t="s">
        <v>943</v>
      </c>
      <c r="D96" s="207" t="s">
        <v>123</v>
      </c>
      <c r="E96" s="199">
        <v>1</v>
      </c>
      <c r="F96" s="2028">
        <v>0</v>
      </c>
      <c r="G96" s="270">
        <f t="shared" si="4"/>
        <v>0</v>
      </c>
    </row>
    <row r="97" spans="2:7" ht="228" x14ac:dyDescent="0.2">
      <c r="B97" s="153"/>
      <c r="C97" s="311" t="s">
        <v>773</v>
      </c>
      <c r="D97" s="207" t="s">
        <v>123</v>
      </c>
      <c r="E97" s="199">
        <v>1</v>
      </c>
      <c r="F97" s="2028">
        <v>0</v>
      </c>
      <c r="G97" s="270">
        <f t="shared" si="4"/>
        <v>0</v>
      </c>
    </row>
    <row r="98" spans="2:7" ht="72" x14ac:dyDescent="0.2">
      <c r="B98" s="153"/>
      <c r="C98" s="311" t="s">
        <v>944</v>
      </c>
      <c r="D98" s="207" t="s">
        <v>98</v>
      </c>
      <c r="E98" s="199">
        <v>1</v>
      </c>
      <c r="F98" s="2028">
        <v>0</v>
      </c>
      <c r="G98" s="270">
        <f t="shared" si="4"/>
        <v>0</v>
      </c>
    </row>
    <row r="99" spans="2:7" ht="48" x14ac:dyDescent="0.2">
      <c r="B99" s="129"/>
      <c r="C99" s="197" t="s">
        <v>603</v>
      </c>
      <c r="D99" s="207" t="s">
        <v>123</v>
      </c>
      <c r="E99" s="199">
        <v>1</v>
      </c>
      <c r="F99" s="2028">
        <v>0</v>
      </c>
      <c r="G99" s="270">
        <f t="shared" si="4"/>
        <v>0</v>
      </c>
    </row>
    <row r="100" spans="2:7" ht="312" x14ac:dyDescent="0.2">
      <c r="B100" s="129"/>
      <c r="C100" s="197" t="s">
        <v>630</v>
      </c>
      <c r="D100" s="207" t="s">
        <v>98</v>
      </c>
      <c r="E100" s="199">
        <v>2</v>
      </c>
      <c r="F100" s="2028">
        <v>0</v>
      </c>
      <c r="G100" s="270">
        <f t="shared" si="4"/>
        <v>0</v>
      </c>
    </row>
    <row r="101" spans="2:7" x14ac:dyDescent="0.2">
      <c r="B101" s="153">
        <v>3</v>
      </c>
      <c r="C101" s="357" t="s">
        <v>775</v>
      </c>
      <c r="D101" s="207"/>
      <c r="E101" s="199"/>
      <c r="F101" s="269"/>
      <c r="G101" s="270"/>
    </row>
    <row r="102" spans="2:7" ht="312" x14ac:dyDescent="0.2">
      <c r="B102" s="129"/>
      <c r="C102" s="197" t="s">
        <v>776</v>
      </c>
      <c r="D102" s="207" t="s">
        <v>98</v>
      </c>
      <c r="E102" s="199">
        <v>1</v>
      </c>
      <c r="F102" s="2028">
        <v>0</v>
      </c>
      <c r="G102" s="270">
        <f t="shared" ref="G102" si="5">E102*F102</f>
        <v>0</v>
      </c>
    </row>
    <row r="103" spans="2:7" ht="72" x14ac:dyDescent="0.2">
      <c r="B103" s="129"/>
      <c r="C103" s="197" t="s">
        <v>777</v>
      </c>
      <c r="D103" s="207" t="s">
        <v>98</v>
      </c>
      <c r="E103" s="199">
        <v>1</v>
      </c>
      <c r="F103" s="2028">
        <v>0</v>
      </c>
      <c r="G103" s="270">
        <f>E103*F103</f>
        <v>0</v>
      </c>
    </row>
    <row r="104" spans="2:7" ht="108" x14ac:dyDescent="0.2">
      <c r="B104" s="129"/>
      <c r="C104" s="197" t="s">
        <v>778</v>
      </c>
      <c r="D104" s="207" t="s">
        <v>98</v>
      </c>
      <c r="E104" s="199">
        <v>1</v>
      </c>
      <c r="F104" s="2028">
        <v>0</v>
      </c>
      <c r="G104" s="270">
        <f>E104*F104</f>
        <v>0</v>
      </c>
    </row>
    <row r="105" spans="2:7" x14ac:dyDescent="0.2">
      <c r="B105" s="153">
        <v>4</v>
      </c>
      <c r="C105" s="357" t="s">
        <v>779</v>
      </c>
      <c r="D105" s="207"/>
      <c r="E105" s="199"/>
      <c r="F105" s="269"/>
      <c r="G105" s="270"/>
    </row>
    <row r="106" spans="2:7" ht="72" x14ac:dyDescent="0.2">
      <c r="B106" s="153"/>
      <c r="C106" s="311" t="s">
        <v>780</v>
      </c>
      <c r="D106" s="207" t="s">
        <v>98</v>
      </c>
      <c r="E106" s="199">
        <v>2</v>
      </c>
      <c r="F106" s="2028">
        <v>0</v>
      </c>
      <c r="G106" s="270">
        <f>E106*F106</f>
        <v>0</v>
      </c>
    </row>
    <row r="107" spans="2:7" ht="60" x14ac:dyDescent="0.2">
      <c r="B107" s="129"/>
      <c r="C107" s="197" t="s">
        <v>781</v>
      </c>
      <c r="D107" s="207" t="s">
        <v>98</v>
      </c>
      <c r="E107" s="199">
        <v>2</v>
      </c>
      <c r="F107" s="2028">
        <v>0</v>
      </c>
      <c r="G107" s="270">
        <f t="shared" ref="G107:G112" si="6">E107*F107</f>
        <v>0</v>
      </c>
    </row>
    <row r="108" spans="2:7" ht="72" x14ac:dyDescent="0.2">
      <c r="B108" s="153"/>
      <c r="C108" s="311" t="s">
        <v>945</v>
      </c>
      <c r="D108" s="207" t="s">
        <v>98</v>
      </c>
      <c r="E108" s="199">
        <v>2</v>
      </c>
      <c r="F108" s="2028">
        <v>0</v>
      </c>
      <c r="G108" s="270">
        <f t="shared" si="6"/>
        <v>0</v>
      </c>
    </row>
    <row r="109" spans="2:7" ht="84" x14ac:dyDescent="0.2">
      <c r="B109" s="153"/>
      <c r="C109" s="311" t="s">
        <v>533</v>
      </c>
      <c r="D109" s="207" t="s">
        <v>123</v>
      </c>
      <c r="E109" s="199">
        <v>2</v>
      </c>
      <c r="F109" s="2028">
        <v>0</v>
      </c>
      <c r="G109" s="270">
        <f t="shared" si="6"/>
        <v>0</v>
      </c>
    </row>
    <row r="110" spans="2:7" ht="36" x14ac:dyDescent="0.2">
      <c r="B110" s="129"/>
      <c r="C110" s="197" t="s">
        <v>782</v>
      </c>
      <c r="D110" s="207" t="s">
        <v>123</v>
      </c>
      <c r="E110" s="199">
        <v>1</v>
      </c>
      <c r="F110" s="2028">
        <v>0</v>
      </c>
      <c r="G110" s="270">
        <f t="shared" si="6"/>
        <v>0</v>
      </c>
    </row>
    <row r="111" spans="2:7" ht="132" x14ac:dyDescent="0.2">
      <c r="B111" s="153"/>
      <c r="C111" s="188" t="s">
        <v>508</v>
      </c>
      <c r="D111" s="207" t="s">
        <v>123</v>
      </c>
      <c r="E111" s="199">
        <v>1</v>
      </c>
      <c r="F111" s="2028">
        <v>0</v>
      </c>
      <c r="G111" s="270">
        <f t="shared" si="6"/>
        <v>0</v>
      </c>
    </row>
    <row r="112" spans="2:7" ht="120" x14ac:dyDescent="0.2">
      <c r="B112" s="129"/>
      <c r="C112" s="197" t="s">
        <v>783</v>
      </c>
      <c r="D112" s="207" t="s">
        <v>123</v>
      </c>
      <c r="E112" s="199">
        <v>1</v>
      </c>
      <c r="F112" s="2028">
        <v>0</v>
      </c>
      <c r="G112" s="270">
        <f t="shared" si="6"/>
        <v>0</v>
      </c>
    </row>
    <row r="113" spans="2:8" x14ac:dyDescent="0.2">
      <c r="B113" s="153">
        <v>5</v>
      </c>
      <c r="C113" s="357" t="s">
        <v>784</v>
      </c>
      <c r="D113" s="207"/>
      <c r="E113" s="199"/>
      <c r="F113" s="269"/>
      <c r="G113" s="270"/>
    </row>
    <row r="114" spans="2:8" x14ac:dyDescent="0.2">
      <c r="B114" s="153"/>
      <c r="C114" s="311" t="s">
        <v>643</v>
      </c>
      <c r="D114" s="207" t="s">
        <v>644</v>
      </c>
      <c r="E114" s="199">
        <v>20</v>
      </c>
      <c r="F114" s="2028">
        <v>0</v>
      </c>
      <c r="G114" s="270">
        <f t="shared" ref="G114" si="7">E114*F114</f>
        <v>0</v>
      </c>
      <c r="H114" s="122"/>
    </row>
    <row r="115" spans="2:8" x14ac:dyDescent="0.2">
      <c r="B115" s="153"/>
      <c r="C115" s="311" t="s">
        <v>645</v>
      </c>
      <c r="D115" s="207" t="s">
        <v>644</v>
      </c>
      <c r="E115" s="199">
        <v>30</v>
      </c>
      <c r="F115" s="2028">
        <v>0</v>
      </c>
      <c r="G115" s="270">
        <f t="shared" ref="G115:G122" si="8">E115*F115</f>
        <v>0</v>
      </c>
      <c r="H115" s="122"/>
    </row>
    <row r="116" spans="2:8" x14ac:dyDescent="0.2">
      <c r="B116" s="153"/>
      <c r="C116" s="311" t="s">
        <v>646</v>
      </c>
      <c r="D116" s="207" t="s">
        <v>644</v>
      </c>
      <c r="E116" s="199">
        <v>100</v>
      </c>
      <c r="F116" s="2028">
        <v>0</v>
      </c>
      <c r="G116" s="270">
        <f t="shared" si="8"/>
        <v>0</v>
      </c>
      <c r="H116" s="122"/>
    </row>
    <row r="117" spans="2:8" x14ac:dyDescent="0.2">
      <c r="B117" s="153"/>
      <c r="C117" s="311" t="s">
        <v>647</v>
      </c>
      <c r="D117" s="207" t="s">
        <v>644</v>
      </c>
      <c r="E117" s="199">
        <v>50</v>
      </c>
      <c r="F117" s="2028">
        <v>0</v>
      </c>
      <c r="G117" s="270">
        <f t="shared" si="8"/>
        <v>0</v>
      </c>
      <c r="H117" s="122"/>
    </row>
    <row r="118" spans="2:8" x14ac:dyDescent="0.2">
      <c r="B118" s="153"/>
      <c r="C118" s="311" t="s">
        <v>648</v>
      </c>
      <c r="D118" s="207" t="s">
        <v>644</v>
      </c>
      <c r="E118" s="199">
        <v>30</v>
      </c>
      <c r="F118" s="2028">
        <v>0</v>
      </c>
      <c r="G118" s="270">
        <f t="shared" si="8"/>
        <v>0</v>
      </c>
      <c r="H118" s="122"/>
    </row>
    <row r="119" spans="2:8" x14ac:dyDescent="0.2">
      <c r="B119" s="153"/>
      <c r="C119" s="311" t="s">
        <v>650</v>
      </c>
      <c r="D119" s="207" t="s">
        <v>123</v>
      </c>
      <c r="E119" s="199">
        <v>2</v>
      </c>
      <c r="F119" s="2028">
        <v>0</v>
      </c>
      <c r="G119" s="270">
        <f t="shared" si="8"/>
        <v>0</v>
      </c>
      <c r="H119" s="122"/>
    </row>
    <row r="120" spans="2:8" x14ac:dyDescent="0.2">
      <c r="B120" s="153"/>
      <c r="C120" s="311" t="s">
        <v>651</v>
      </c>
      <c r="D120" s="207" t="s">
        <v>644</v>
      </c>
      <c r="E120" s="199">
        <v>50</v>
      </c>
      <c r="F120" s="2028">
        <v>0</v>
      </c>
      <c r="G120" s="270">
        <f t="shared" si="8"/>
        <v>0</v>
      </c>
      <c r="H120" s="122"/>
    </row>
    <row r="121" spans="2:8" x14ac:dyDescent="0.2">
      <c r="B121" s="153"/>
      <c r="C121" s="311" t="s">
        <v>652</v>
      </c>
      <c r="D121" s="207" t="s">
        <v>644</v>
      </c>
      <c r="E121" s="199">
        <v>30</v>
      </c>
      <c r="F121" s="2028">
        <v>0</v>
      </c>
      <c r="G121" s="270">
        <f t="shared" si="8"/>
        <v>0</v>
      </c>
      <c r="H121" s="122"/>
    </row>
    <row r="122" spans="2:8" x14ac:dyDescent="0.2">
      <c r="B122" s="129"/>
      <c r="C122" s="311" t="s">
        <v>632</v>
      </c>
      <c r="D122" s="207" t="s">
        <v>98</v>
      </c>
      <c r="E122" s="199">
        <v>1</v>
      </c>
      <c r="F122" s="2028">
        <v>0</v>
      </c>
      <c r="G122" s="270">
        <f t="shared" si="8"/>
        <v>0</v>
      </c>
      <c r="H122" s="122"/>
    </row>
    <row r="123" spans="2:8" s="11" customFormat="1" x14ac:dyDescent="0.2">
      <c r="B123" s="59">
        <v>6</v>
      </c>
      <c r="C123" s="357" t="s">
        <v>785</v>
      </c>
      <c r="D123" s="15"/>
      <c r="E123" s="419"/>
      <c r="F123" s="14"/>
      <c r="G123" s="13"/>
      <c r="H123" s="12"/>
    </row>
    <row r="124" spans="2:8" s="11" customFormat="1" ht="36" x14ac:dyDescent="0.2">
      <c r="B124" s="59"/>
      <c r="C124" s="311" t="s">
        <v>666</v>
      </c>
      <c r="D124" s="207" t="s">
        <v>644</v>
      </c>
      <c r="E124" s="199">
        <v>20</v>
      </c>
      <c r="F124" s="2028">
        <v>0</v>
      </c>
      <c r="G124" s="270">
        <f t="shared" ref="G124" si="9">E124*F124</f>
        <v>0</v>
      </c>
      <c r="H124" s="12"/>
    </row>
    <row r="125" spans="2:8" s="11" customFormat="1" x14ac:dyDescent="0.2">
      <c r="B125" s="59"/>
      <c r="C125" s="311" t="s">
        <v>667</v>
      </c>
      <c r="D125" s="207" t="s">
        <v>644</v>
      </c>
      <c r="E125" s="199">
        <v>50</v>
      </c>
      <c r="F125" s="2028">
        <v>0</v>
      </c>
      <c r="G125" s="270">
        <f t="shared" ref="G125:G131" si="10">E125*F125</f>
        <v>0</v>
      </c>
      <c r="H125" s="12"/>
    </row>
    <row r="126" spans="2:8" s="11" customFormat="1" x14ac:dyDescent="0.2">
      <c r="B126" s="59"/>
      <c r="C126" s="311" t="s">
        <v>668</v>
      </c>
      <c r="D126" s="207" t="s">
        <v>644</v>
      </c>
      <c r="E126" s="199">
        <v>20</v>
      </c>
      <c r="F126" s="2028">
        <v>0</v>
      </c>
      <c r="G126" s="270">
        <f t="shared" si="10"/>
        <v>0</v>
      </c>
      <c r="H126" s="12"/>
    </row>
    <row r="127" spans="2:8" s="11" customFormat="1" ht="24" x14ac:dyDescent="0.2">
      <c r="B127" s="59"/>
      <c r="C127" s="311" t="s">
        <v>673</v>
      </c>
      <c r="D127" s="207" t="s">
        <v>123</v>
      </c>
      <c r="E127" s="199">
        <v>2</v>
      </c>
      <c r="F127" s="2028">
        <v>0</v>
      </c>
      <c r="G127" s="270">
        <f t="shared" si="10"/>
        <v>0</v>
      </c>
      <c r="H127" s="12"/>
    </row>
    <row r="128" spans="2:8" s="11" customFormat="1" x14ac:dyDescent="0.2">
      <c r="B128" s="59"/>
      <c r="C128" s="311" t="s">
        <v>787</v>
      </c>
      <c r="D128" s="207" t="s">
        <v>123</v>
      </c>
      <c r="E128" s="199">
        <v>1</v>
      </c>
      <c r="F128" s="2028">
        <v>0</v>
      </c>
      <c r="G128" s="270">
        <f t="shared" si="10"/>
        <v>0</v>
      </c>
      <c r="H128" s="12"/>
    </row>
    <row r="129" spans="2:8" s="11" customFormat="1" x14ac:dyDescent="0.2">
      <c r="B129" s="59"/>
      <c r="C129" s="311" t="s">
        <v>675</v>
      </c>
      <c r="D129" s="207" t="s">
        <v>123</v>
      </c>
      <c r="E129" s="199">
        <v>3</v>
      </c>
      <c r="F129" s="2028">
        <v>0</v>
      </c>
      <c r="G129" s="270">
        <f t="shared" si="10"/>
        <v>0</v>
      </c>
      <c r="H129" s="12"/>
    </row>
    <row r="130" spans="2:8" s="11" customFormat="1" x14ac:dyDescent="0.2">
      <c r="B130" s="59"/>
      <c r="C130" s="311" t="s">
        <v>676</v>
      </c>
      <c r="D130" s="207" t="s">
        <v>123</v>
      </c>
      <c r="E130" s="199">
        <v>2</v>
      </c>
      <c r="F130" s="2028">
        <v>0</v>
      </c>
      <c r="G130" s="270">
        <f t="shared" si="10"/>
        <v>0</v>
      </c>
      <c r="H130" s="12"/>
    </row>
    <row r="131" spans="2:8" s="11" customFormat="1" ht="24" x14ac:dyDescent="0.2">
      <c r="B131" s="59"/>
      <c r="C131" s="311" t="s">
        <v>677</v>
      </c>
      <c r="D131" s="207" t="s">
        <v>123</v>
      </c>
      <c r="E131" s="199">
        <v>1</v>
      </c>
      <c r="F131" s="2028">
        <v>0</v>
      </c>
      <c r="G131" s="270">
        <f t="shared" si="10"/>
        <v>0</v>
      </c>
      <c r="H131" s="12"/>
    </row>
    <row r="132" spans="2:8" x14ac:dyDescent="0.2">
      <c r="B132" s="153">
        <v>7</v>
      </c>
      <c r="C132" s="357" t="s">
        <v>788</v>
      </c>
      <c r="D132" s="207"/>
      <c r="E132" s="199"/>
      <c r="F132" s="269"/>
      <c r="G132" s="270"/>
      <c r="H132" s="122"/>
    </row>
    <row r="133" spans="2:8" x14ac:dyDescent="0.2">
      <c r="B133" s="153"/>
      <c r="C133" s="197" t="s">
        <v>655</v>
      </c>
      <c r="D133" s="207" t="s">
        <v>644</v>
      </c>
      <c r="E133" s="199">
        <v>40</v>
      </c>
      <c r="F133" s="2028">
        <v>0</v>
      </c>
      <c r="G133" s="270">
        <f t="shared" ref="G133" si="11">E133*F133</f>
        <v>0</v>
      </c>
      <c r="H133" s="122"/>
    </row>
    <row r="134" spans="2:8" ht="36" x14ac:dyDescent="0.2">
      <c r="B134" s="153"/>
      <c r="C134" s="197" t="s">
        <v>656</v>
      </c>
      <c r="D134" s="207" t="s">
        <v>98</v>
      </c>
      <c r="E134" s="199">
        <v>2</v>
      </c>
      <c r="F134" s="2028">
        <v>0</v>
      </c>
      <c r="G134" s="270">
        <f>E134*F134</f>
        <v>0</v>
      </c>
      <c r="H134" s="122"/>
    </row>
    <row r="135" spans="2:8" ht="36" x14ac:dyDescent="0.2">
      <c r="B135" s="153"/>
      <c r="C135" s="197" t="s">
        <v>657</v>
      </c>
      <c r="D135" s="207" t="s">
        <v>98</v>
      </c>
      <c r="E135" s="199">
        <v>1</v>
      </c>
      <c r="F135" s="2028">
        <v>0</v>
      </c>
      <c r="G135" s="270">
        <f>E135*F135</f>
        <v>0</v>
      </c>
      <c r="H135" s="122"/>
    </row>
    <row r="136" spans="2:8" x14ac:dyDescent="0.2">
      <c r="B136" s="153"/>
      <c r="C136" s="197" t="s">
        <v>663</v>
      </c>
      <c r="D136" s="207" t="s">
        <v>98</v>
      </c>
      <c r="E136" s="199">
        <v>1</v>
      </c>
      <c r="F136" s="2028">
        <v>0</v>
      </c>
      <c r="G136" s="270">
        <f>E136*F136</f>
        <v>0</v>
      </c>
      <c r="H136" s="122"/>
    </row>
    <row r="137" spans="2:8" x14ac:dyDescent="0.2">
      <c r="B137" s="153">
        <v>8</v>
      </c>
      <c r="C137" s="357" t="s">
        <v>679</v>
      </c>
      <c r="D137" s="207"/>
      <c r="E137" s="199"/>
      <c r="F137" s="269"/>
      <c r="G137" s="270"/>
      <c r="H137" s="122"/>
    </row>
    <row r="138" spans="2:8" ht="60" x14ac:dyDescent="0.2">
      <c r="B138" s="129"/>
      <c r="C138" s="197" t="s">
        <v>789</v>
      </c>
      <c r="D138" s="207" t="s">
        <v>98</v>
      </c>
      <c r="E138" s="199">
        <v>1</v>
      </c>
      <c r="F138" s="2028">
        <v>0</v>
      </c>
      <c r="G138" s="270">
        <f>E138*F138</f>
        <v>0</v>
      </c>
      <c r="H138" s="122"/>
    </row>
    <row r="139" spans="2:8" ht="36" x14ac:dyDescent="0.2">
      <c r="B139" s="129"/>
      <c r="C139" s="197" t="s">
        <v>790</v>
      </c>
      <c r="D139" s="207" t="s">
        <v>98</v>
      </c>
      <c r="E139" s="199">
        <v>1</v>
      </c>
      <c r="F139" s="2028">
        <v>0</v>
      </c>
      <c r="G139" s="270">
        <f>E139*F139</f>
        <v>0</v>
      </c>
      <c r="H139" s="122"/>
    </row>
    <row r="140" spans="2:8" ht="48" x14ac:dyDescent="0.2">
      <c r="B140" s="129"/>
      <c r="C140" s="197" t="s">
        <v>791</v>
      </c>
      <c r="D140" s="207" t="s">
        <v>98</v>
      </c>
      <c r="E140" s="199">
        <v>1</v>
      </c>
      <c r="F140" s="2028">
        <v>0</v>
      </c>
      <c r="G140" s="270">
        <f>E140*F140</f>
        <v>0</v>
      </c>
      <c r="H140" s="122"/>
    </row>
    <row r="141" spans="2:8" ht="48" x14ac:dyDescent="0.2">
      <c r="B141" s="153"/>
      <c r="C141" s="311" t="s">
        <v>792</v>
      </c>
      <c r="D141" s="207" t="s">
        <v>98</v>
      </c>
      <c r="E141" s="199">
        <v>1</v>
      </c>
      <c r="F141" s="2028">
        <v>0</v>
      </c>
      <c r="G141" s="270">
        <f>E141*F141</f>
        <v>0</v>
      </c>
      <c r="H141" s="122"/>
    </row>
    <row r="142" spans="2:8" s="121" customFormat="1" ht="16.5" customHeight="1" x14ac:dyDescent="0.2">
      <c r="B142" s="153"/>
      <c r="C142" s="311" t="s">
        <v>1042</v>
      </c>
      <c r="D142" s="207"/>
      <c r="E142" s="199"/>
      <c r="F142" s="269"/>
      <c r="G142" s="270"/>
      <c r="H142" s="122"/>
    </row>
    <row r="143" spans="2:8" x14ac:dyDescent="0.2">
      <c r="B143" s="153">
        <v>1</v>
      </c>
      <c r="C143" s="357" t="s">
        <v>550</v>
      </c>
      <c r="D143" s="207"/>
      <c r="E143" s="199"/>
      <c r="F143" s="269"/>
      <c r="G143" s="270"/>
      <c r="H143" s="122"/>
    </row>
    <row r="144" spans="2:8" ht="132" x14ac:dyDescent="0.2">
      <c r="B144" s="153"/>
      <c r="C144" s="311" t="s">
        <v>815</v>
      </c>
      <c r="D144" s="10" t="s">
        <v>98</v>
      </c>
      <c r="E144" s="199">
        <v>1</v>
      </c>
      <c r="F144" s="2028">
        <v>0</v>
      </c>
      <c r="G144" s="270">
        <f>E144*F144</f>
        <v>0</v>
      </c>
      <c r="H144" s="122"/>
    </row>
    <row r="145" spans="2:8" ht="72" x14ac:dyDescent="0.2">
      <c r="B145" s="153"/>
      <c r="C145" s="311" t="s">
        <v>751</v>
      </c>
      <c r="D145" s="10" t="s">
        <v>123</v>
      </c>
      <c r="E145" s="199">
        <v>1</v>
      </c>
      <c r="F145" s="2028">
        <v>0</v>
      </c>
      <c r="G145" s="270">
        <f t="shared" ref="G145:G164" si="12">E145*F145</f>
        <v>0</v>
      </c>
      <c r="H145" s="122"/>
    </row>
    <row r="146" spans="2:8" ht="72" x14ac:dyDescent="0.2">
      <c r="B146" s="153"/>
      <c r="C146" s="311" t="s">
        <v>752</v>
      </c>
      <c r="D146" s="10" t="s">
        <v>123</v>
      </c>
      <c r="E146" s="199">
        <v>1</v>
      </c>
      <c r="F146" s="2028">
        <v>0</v>
      </c>
      <c r="G146" s="270">
        <f t="shared" si="12"/>
        <v>0</v>
      </c>
    </row>
    <row r="147" spans="2:8" ht="72" x14ac:dyDescent="0.2">
      <c r="B147" s="153"/>
      <c r="C147" s="311" t="s">
        <v>753</v>
      </c>
      <c r="D147" s="10" t="s">
        <v>123</v>
      </c>
      <c r="E147" s="199">
        <v>2</v>
      </c>
      <c r="F147" s="2028">
        <v>0</v>
      </c>
      <c r="G147" s="270">
        <f t="shared" si="12"/>
        <v>0</v>
      </c>
    </row>
    <row r="148" spans="2:8" ht="72" x14ac:dyDescent="0.2">
      <c r="B148" s="153"/>
      <c r="C148" s="311" t="s">
        <v>754</v>
      </c>
      <c r="D148" s="10" t="s">
        <v>123</v>
      </c>
      <c r="E148" s="199">
        <v>1</v>
      </c>
      <c r="F148" s="2028">
        <v>0</v>
      </c>
      <c r="G148" s="270">
        <f t="shared" si="12"/>
        <v>0</v>
      </c>
    </row>
    <row r="149" spans="2:8" ht="60" x14ac:dyDescent="0.2">
      <c r="B149" s="153"/>
      <c r="C149" s="311" t="s">
        <v>755</v>
      </c>
      <c r="D149" s="10" t="s">
        <v>123</v>
      </c>
      <c r="E149" s="199">
        <v>1</v>
      </c>
      <c r="F149" s="2028">
        <v>0</v>
      </c>
      <c r="G149" s="270">
        <f t="shared" si="12"/>
        <v>0</v>
      </c>
    </row>
    <row r="150" spans="2:8" ht="84" x14ac:dyDescent="0.2">
      <c r="B150" s="153"/>
      <c r="C150" s="311" t="s">
        <v>756</v>
      </c>
      <c r="D150" s="10" t="s">
        <v>98</v>
      </c>
      <c r="E150" s="199">
        <v>1</v>
      </c>
      <c r="F150" s="2028">
        <v>0</v>
      </c>
      <c r="G150" s="270">
        <f t="shared" si="12"/>
        <v>0</v>
      </c>
    </row>
    <row r="151" spans="2:8" ht="60" x14ac:dyDescent="0.2">
      <c r="B151" s="153"/>
      <c r="C151" s="311" t="s">
        <v>757</v>
      </c>
      <c r="D151" s="10" t="s">
        <v>123</v>
      </c>
      <c r="E151" s="199">
        <v>1</v>
      </c>
      <c r="F151" s="2028">
        <v>0</v>
      </c>
      <c r="G151" s="270">
        <f t="shared" si="12"/>
        <v>0</v>
      </c>
    </row>
    <row r="152" spans="2:8" ht="120" x14ac:dyDescent="0.2">
      <c r="B152" s="153"/>
      <c r="C152" s="311" t="s">
        <v>619</v>
      </c>
      <c r="D152" s="10" t="s">
        <v>123</v>
      </c>
      <c r="E152" s="199">
        <v>1</v>
      </c>
      <c r="F152" s="2028">
        <v>0</v>
      </c>
      <c r="G152" s="270">
        <f t="shared" si="12"/>
        <v>0</v>
      </c>
    </row>
    <row r="153" spans="2:8" ht="36" x14ac:dyDescent="0.2">
      <c r="B153" s="153"/>
      <c r="C153" s="311" t="s">
        <v>758</v>
      </c>
      <c r="D153" s="10" t="s">
        <v>123</v>
      </c>
      <c r="E153" s="199">
        <v>40</v>
      </c>
      <c r="F153" s="2028">
        <v>0</v>
      </c>
      <c r="G153" s="270">
        <f t="shared" si="12"/>
        <v>0</v>
      </c>
    </row>
    <row r="154" spans="2:8" ht="36" x14ac:dyDescent="0.2">
      <c r="B154" s="153"/>
      <c r="C154" s="311" t="s">
        <v>759</v>
      </c>
      <c r="D154" s="10" t="s">
        <v>123</v>
      </c>
      <c r="E154" s="199">
        <v>10</v>
      </c>
      <c r="F154" s="2028">
        <v>0</v>
      </c>
      <c r="G154" s="270">
        <f t="shared" si="12"/>
        <v>0</v>
      </c>
    </row>
    <row r="155" spans="2:8" ht="36" x14ac:dyDescent="0.2">
      <c r="B155" s="153"/>
      <c r="C155" s="311" t="s">
        <v>760</v>
      </c>
      <c r="D155" s="10" t="s">
        <v>123</v>
      </c>
      <c r="E155" s="199">
        <v>2</v>
      </c>
      <c r="F155" s="2028">
        <v>0</v>
      </c>
      <c r="G155" s="270">
        <f t="shared" si="12"/>
        <v>0</v>
      </c>
    </row>
    <row r="156" spans="2:8" ht="36" x14ac:dyDescent="0.2">
      <c r="B156" s="153"/>
      <c r="C156" s="311" t="s">
        <v>761</v>
      </c>
      <c r="D156" s="10" t="s">
        <v>123</v>
      </c>
      <c r="E156" s="199">
        <v>10</v>
      </c>
      <c r="F156" s="2028">
        <v>0</v>
      </c>
      <c r="G156" s="270">
        <f t="shared" si="12"/>
        <v>0</v>
      </c>
    </row>
    <row r="157" spans="2:8" ht="36" x14ac:dyDescent="0.2">
      <c r="B157" s="153"/>
      <c r="C157" s="311" t="s">
        <v>762</v>
      </c>
      <c r="D157" s="10" t="s">
        <v>123</v>
      </c>
      <c r="E157" s="199">
        <v>1</v>
      </c>
      <c r="F157" s="2028">
        <v>0</v>
      </c>
      <c r="G157" s="270">
        <f t="shared" si="12"/>
        <v>0</v>
      </c>
    </row>
    <row r="158" spans="2:8" ht="48" x14ac:dyDescent="0.2">
      <c r="B158" s="153"/>
      <c r="C158" s="311" t="s">
        <v>763</v>
      </c>
      <c r="D158" s="10" t="s">
        <v>123</v>
      </c>
      <c r="E158" s="199">
        <v>1</v>
      </c>
      <c r="F158" s="2028">
        <v>0</v>
      </c>
      <c r="G158" s="270">
        <f t="shared" si="12"/>
        <v>0</v>
      </c>
    </row>
    <row r="159" spans="2:8" ht="60" x14ac:dyDescent="0.2">
      <c r="B159" s="153"/>
      <c r="C159" s="311" t="s">
        <v>764</v>
      </c>
      <c r="D159" s="10" t="s">
        <v>123</v>
      </c>
      <c r="E159" s="199">
        <v>3</v>
      </c>
      <c r="F159" s="2028">
        <v>0</v>
      </c>
      <c r="G159" s="270">
        <f t="shared" si="12"/>
        <v>0</v>
      </c>
    </row>
    <row r="160" spans="2:8" ht="60" x14ac:dyDescent="0.2">
      <c r="B160" s="153"/>
      <c r="C160" s="311" t="s">
        <v>765</v>
      </c>
      <c r="D160" s="10" t="s">
        <v>123</v>
      </c>
      <c r="E160" s="199">
        <v>3</v>
      </c>
      <c r="F160" s="2028">
        <v>0</v>
      </c>
      <c r="G160" s="270">
        <f t="shared" si="12"/>
        <v>0</v>
      </c>
    </row>
    <row r="161" spans="2:7" ht="60" x14ac:dyDescent="0.2">
      <c r="B161" s="153"/>
      <c r="C161" s="311" t="s">
        <v>766</v>
      </c>
      <c r="D161" s="10" t="s">
        <v>123</v>
      </c>
      <c r="E161" s="199">
        <v>3</v>
      </c>
      <c r="F161" s="2028">
        <v>0</v>
      </c>
      <c r="G161" s="270">
        <f t="shared" si="12"/>
        <v>0</v>
      </c>
    </row>
    <row r="162" spans="2:7" ht="48" x14ac:dyDescent="0.2">
      <c r="B162" s="153"/>
      <c r="C162" s="311" t="s">
        <v>767</v>
      </c>
      <c r="D162" s="10" t="s">
        <v>98</v>
      </c>
      <c r="E162" s="199">
        <v>1</v>
      </c>
      <c r="F162" s="2028">
        <v>0</v>
      </c>
      <c r="G162" s="270">
        <f t="shared" si="12"/>
        <v>0</v>
      </c>
    </row>
    <row r="163" spans="2:7" ht="72" x14ac:dyDescent="0.2">
      <c r="B163" s="153"/>
      <c r="C163" s="311" t="s">
        <v>768</v>
      </c>
      <c r="D163" s="10" t="s">
        <v>123</v>
      </c>
      <c r="E163" s="199">
        <v>1</v>
      </c>
      <c r="F163" s="2028">
        <v>0</v>
      </c>
      <c r="G163" s="270">
        <f t="shared" si="12"/>
        <v>0</v>
      </c>
    </row>
    <row r="164" spans="2:7" ht="84" x14ac:dyDescent="0.2">
      <c r="B164" s="153"/>
      <c r="C164" s="311" t="s">
        <v>620</v>
      </c>
      <c r="D164" s="10" t="s">
        <v>123</v>
      </c>
      <c r="E164" s="199">
        <v>1</v>
      </c>
      <c r="F164" s="2028">
        <v>0</v>
      </c>
      <c r="G164" s="270">
        <f t="shared" si="12"/>
        <v>0</v>
      </c>
    </row>
    <row r="165" spans="2:7" x14ac:dyDescent="0.2">
      <c r="B165" s="153">
        <v>2</v>
      </c>
      <c r="C165" s="357" t="s">
        <v>769</v>
      </c>
      <c r="D165" s="207"/>
      <c r="E165" s="199"/>
      <c r="F165" s="269"/>
      <c r="G165" s="270"/>
    </row>
    <row r="166" spans="2:7" ht="72" x14ac:dyDescent="0.2">
      <c r="B166" s="153"/>
      <c r="C166" s="311" t="s">
        <v>770</v>
      </c>
      <c r="D166" s="207" t="s">
        <v>98</v>
      </c>
      <c r="E166" s="199">
        <v>1</v>
      </c>
      <c r="F166" s="2028">
        <v>0</v>
      </c>
      <c r="G166" s="270">
        <f t="shared" ref="G166" si="13">E166*F166</f>
        <v>0</v>
      </c>
    </row>
    <row r="167" spans="2:7" ht="48" x14ac:dyDescent="0.2">
      <c r="B167" s="153"/>
      <c r="C167" s="311" t="s">
        <v>771</v>
      </c>
      <c r="D167" s="207" t="s">
        <v>123</v>
      </c>
      <c r="E167" s="199">
        <v>1</v>
      </c>
      <c r="F167" s="2028">
        <v>0</v>
      </c>
      <c r="G167" s="270">
        <f t="shared" ref="G167:G174" si="14">E167*F167</f>
        <v>0</v>
      </c>
    </row>
    <row r="168" spans="2:7" ht="48" x14ac:dyDescent="0.2">
      <c r="B168" s="153"/>
      <c r="C168" s="311" t="s">
        <v>625</v>
      </c>
      <c r="D168" s="207" t="s">
        <v>123</v>
      </c>
      <c r="E168" s="199">
        <v>1</v>
      </c>
      <c r="F168" s="2028">
        <v>0</v>
      </c>
      <c r="G168" s="270">
        <f t="shared" si="14"/>
        <v>0</v>
      </c>
    </row>
    <row r="169" spans="2:7" ht="60" x14ac:dyDescent="0.2">
      <c r="B169" s="153"/>
      <c r="C169" s="311" t="s">
        <v>772</v>
      </c>
      <c r="D169" s="207" t="s">
        <v>123</v>
      </c>
      <c r="E169" s="199">
        <v>1</v>
      </c>
      <c r="F169" s="2028">
        <v>0</v>
      </c>
      <c r="G169" s="270">
        <f t="shared" si="14"/>
        <v>0</v>
      </c>
    </row>
    <row r="170" spans="2:7" ht="84" x14ac:dyDescent="0.2">
      <c r="B170" s="153"/>
      <c r="C170" s="311" t="s">
        <v>943</v>
      </c>
      <c r="D170" s="207" t="s">
        <v>123</v>
      </c>
      <c r="E170" s="199">
        <v>1</v>
      </c>
      <c r="F170" s="2028">
        <v>0</v>
      </c>
      <c r="G170" s="270">
        <f t="shared" si="14"/>
        <v>0</v>
      </c>
    </row>
    <row r="171" spans="2:7" ht="228" x14ac:dyDescent="0.2">
      <c r="B171" s="153"/>
      <c r="C171" s="311" t="s">
        <v>773</v>
      </c>
      <c r="D171" s="207" t="s">
        <v>123</v>
      </c>
      <c r="E171" s="199">
        <v>1</v>
      </c>
      <c r="F171" s="2028">
        <v>0</v>
      </c>
      <c r="G171" s="270">
        <f t="shared" si="14"/>
        <v>0</v>
      </c>
    </row>
    <row r="172" spans="2:7" ht="72" x14ac:dyDescent="0.2">
      <c r="B172" s="153"/>
      <c r="C172" s="311" t="s">
        <v>944</v>
      </c>
      <c r="D172" s="207" t="s">
        <v>98</v>
      </c>
      <c r="E172" s="199">
        <v>1</v>
      </c>
      <c r="F172" s="2028">
        <v>0</v>
      </c>
      <c r="G172" s="270">
        <f t="shared" si="14"/>
        <v>0</v>
      </c>
    </row>
    <row r="173" spans="2:7" ht="48" x14ac:dyDescent="0.2">
      <c r="B173" s="153"/>
      <c r="C173" s="311" t="s">
        <v>603</v>
      </c>
      <c r="D173" s="207" t="s">
        <v>123</v>
      </c>
      <c r="E173" s="199">
        <v>1</v>
      </c>
      <c r="F173" s="2028">
        <v>0</v>
      </c>
      <c r="G173" s="270">
        <f t="shared" si="14"/>
        <v>0</v>
      </c>
    </row>
    <row r="174" spans="2:7" ht="312" x14ac:dyDescent="0.2">
      <c r="B174" s="153"/>
      <c r="C174" s="311" t="s">
        <v>630</v>
      </c>
      <c r="D174" s="207" t="s">
        <v>98</v>
      </c>
      <c r="E174" s="199">
        <v>2</v>
      </c>
      <c r="F174" s="2028">
        <v>0</v>
      </c>
      <c r="G174" s="270">
        <f t="shared" si="14"/>
        <v>0</v>
      </c>
    </row>
    <row r="175" spans="2:7" x14ac:dyDescent="0.2">
      <c r="B175" s="153">
        <v>3</v>
      </c>
      <c r="C175" s="357" t="s">
        <v>775</v>
      </c>
      <c r="D175" s="207"/>
      <c r="E175" s="199"/>
      <c r="F175" s="269"/>
      <c r="G175" s="270"/>
    </row>
    <row r="176" spans="2:7" ht="312" x14ac:dyDescent="0.2">
      <c r="B176" s="153"/>
      <c r="C176" s="311" t="s">
        <v>776</v>
      </c>
      <c r="D176" s="207" t="s">
        <v>98</v>
      </c>
      <c r="E176" s="199">
        <v>1</v>
      </c>
      <c r="F176" s="2028">
        <v>0</v>
      </c>
      <c r="G176" s="270">
        <f t="shared" ref="G176" si="15">E176*F176</f>
        <v>0</v>
      </c>
    </row>
    <row r="177" spans="2:7" ht="72" x14ac:dyDescent="0.2">
      <c r="B177" s="153"/>
      <c r="C177" s="311" t="s">
        <v>777</v>
      </c>
      <c r="D177" s="207" t="s">
        <v>98</v>
      </c>
      <c r="E177" s="199">
        <v>1</v>
      </c>
      <c r="F177" s="2028">
        <v>0</v>
      </c>
      <c r="G177" s="270">
        <f>E177*F177</f>
        <v>0</v>
      </c>
    </row>
    <row r="178" spans="2:7" ht="108" x14ac:dyDescent="0.2">
      <c r="B178" s="153"/>
      <c r="C178" s="311" t="s">
        <v>778</v>
      </c>
      <c r="D178" s="207" t="s">
        <v>98</v>
      </c>
      <c r="E178" s="199">
        <v>1</v>
      </c>
      <c r="F178" s="2028">
        <v>0</v>
      </c>
      <c r="G178" s="270">
        <f>E178*F178</f>
        <v>0</v>
      </c>
    </row>
    <row r="179" spans="2:7" x14ac:dyDescent="0.2">
      <c r="B179" s="153">
        <v>4</v>
      </c>
      <c r="C179" s="357" t="s">
        <v>779</v>
      </c>
      <c r="D179" s="207"/>
      <c r="E179" s="199"/>
      <c r="F179" s="269"/>
      <c r="G179" s="270"/>
    </row>
    <row r="180" spans="2:7" ht="72" x14ac:dyDescent="0.2">
      <c r="B180" s="153"/>
      <c r="C180" s="311" t="s">
        <v>780</v>
      </c>
      <c r="D180" s="207" t="s">
        <v>98</v>
      </c>
      <c r="E180" s="199">
        <v>2</v>
      </c>
      <c r="F180" s="2028">
        <v>0</v>
      </c>
      <c r="G180" s="270">
        <f>E180*F180</f>
        <v>0</v>
      </c>
    </row>
    <row r="181" spans="2:7" ht="60" x14ac:dyDescent="0.2">
      <c r="B181" s="153"/>
      <c r="C181" s="311" t="s">
        <v>781</v>
      </c>
      <c r="D181" s="207" t="s">
        <v>98</v>
      </c>
      <c r="E181" s="199">
        <v>2</v>
      </c>
      <c r="F181" s="2028">
        <v>0</v>
      </c>
      <c r="G181" s="270">
        <f t="shared" ref="G181:G186" si="16">E181*F181</f>
        <v>0</v>
      </c>
    </row>
    <row r="182" spans="2:7" ht="84" x14ac:dyDescent="0.2">
      <c r="B182" s="153"/>
      <c r="C182" s="311" t="s">
        <v>2207</v>
      </c>
      <c r="D182" s="207" t="s">
        <v>123</v>
      </c>
      <c r="E182" s="199">
        <v>1</v>
      </c>
      <c r="F182" s="2028">
        <v>0</v>
      </c>
      <c r="G182" s="270">
        <f t="shared" si="16"/>
        <v>0</v>
      </c>
    </row>
    <row r="183" spans="2:7" ht="72" x14ac:dyDescent="0.2">
      <c r="B183" s="153"/>
      <c r="C183" s="311" t="s">
        <v>1043</v>
      </c>
      <c r="D183" s="207" t="s">
        <v>98</v>
      </c>
      <c r="E183" s="199">
        <v>1</v>
      </c>
      <c r="F183" s="2028">
        <v>0</v>
      </c>
      <c r="G183" s="270">
        <f t="shared" si="16"/>
        <v>0</v>
      </c>
    </row>
    <row r="184" spans="2:7" ht="36" x14ac:dyDescent="0.2">
      <c r="B184" s="153"/>
      <c r="C184" s="311" t="s">
        <v>782</v>
      </c>
      <c r="D184" s="207" t="s">
        <v>123</v>
      </c>
      <c r="E184" s="199">
        <v>1</v>
      </c>
      <c r="F184" s="2028">
        <v>0</v>
      </c>
      <c r="G184" s="270">
        <f t="shared" si="16"/>
        <v>0</v>
      </c>
    </row>
    <row r="185" spans="2:7" ht="132" x14ac:dyDescent="0.2">
      <c r="B185" s="153"/>
      <c r="C185" s="311" t="s">
        <v>508</v>
      </c>
      <c r="D185" s="207" t="s">
        <v>123</v>
      </c>
      <c r="E185" s="199">
        <v>1</v>
      </c>
      <c r="F185" s="2028">
        <v>0</v>
      </c>
      <c r="G185" s="270">
        <f t="shared" si="16"/>
        <v>0</v>
      </c>
    </row>
    <row r="186" spans="2:7" ht="120" x14ac:dyDescent="0.2">
      <c r="B186" s="153"/>
      <c r="C186" s="311" t="s">
        <v>783</v>
      </c>
      <c r="D186" s="207" t="s">
        <v>123</v>
      </c>
      <c r="E186" s="199">
        <v>1</v>
      </c>
      <c r="F186" s="2028">
        <v>0</v>
      </c>
      <c r="G186" s="270">
        <f t="shared" si="16"/>
        <v>0</v>
      </c>
    </row>
    <row r="187" spans="2:7" x14ac:dyDescent="0.2">
      <c r="B187" s="153">
        <v>5</v>
      </c>
      <c r="C187" s="357" t="s">
        <v>784</v>
      </c>
      <c r="D187" s="207"/>
      <c r="E187" s="199"/>
      <c r="F187" s="269"/>
      <c r="G187" s="270"/>
    </row>
    <row r="188" spans="2:7" x14ac:dyDescent="0.2">
      <c r="B188" s="153"/>
      <c r="C188" s="311" t="s">
        <v>643</v>
      </c>
      <c r="D188" s="207" t="s">
        <v>644</v>
      </c>
      <c r="E188" s="199">
        <v>20</v>
      </c>
      <c r="F188" s="2028">
        <v>0</v>
      </c>
      <c r="G188" s="270">
        <f t="shared" ref="G188" si="17">E188*F188</f>
        <v>0</v>
      </c>
    </row>
    <row r="189" spans="2:7" x14ac:dyDescent="0.2">
      <c r="B189" s="153"/>
      <c r="C189" s="311" t="s">
        <v>645</v>
      </c>
      <c r="D189" s="207" t="s">
        <v>644</v>
      </c>
      <c r="E189" s="199">
        <v>30</v>
      </c>
      <c r="F189" s="2028">
        <v>0</v>
      </c>
      <c r="G189" s="270">
        <f t="shared" ref="G189:G196" si="18">E189*F189</f>
        <v>0</v>
      </c>
    </row>
    <row r="190" spans="2:7" x14ac:dyDescent="0.2">
      <c r="B190" s="153"/>
      <c r="C190" s="311" t="s">
        <v>646</v>
      </c>
      <c r="D190" s="207" t="s">
        <v>644</v>
      </c>
      <c r="E190" s="199">
        <v>100</v>
      </c>
      <c r="F190" s="2028">
        <v>0</v>
      </c>
      <c r="G190" s="270">
        <f t="shared" si="18"/>
        <v>0</v>
      </c>
    </row>
    <row r="191" spans="2:7" x14ac:dyDescent="0.2">
      <c r="B191" s="153"/>
      <c r="C191" s="311" t="s">
        <v>647</v>
      </c>
      <c r="D191" s="207" t="s">
        <v>644</v>
      </c>
      <c r="E191" s="199">
        <v>50</v>
      </c>
      <c r="F191" s="2028">
        <v>0</v>
      </c>
      <c r="G191" s="270">
        <f t="shared" si="18"/>
        <v>0</v>
      </c>
    </row>
    <row r="192" spans="2:7" x14ac:dyDescent="0.2">
      <c r="B192" s="153"/>
      <c r="C192" s="311" t="s">
        <v>648</v>
      </c>
      <c r="D192" s="207" t="s">
        <v>644</v>
      </c>
      <c r="E192" s="199">
        <v>30</v>
      </c>
      <c r="F192" s="2028">
        <v>0</v>
      </c>
      <c r="G192" s="270">
        <f t="shared" si="18"/>
        <v>0</v>
      </c>
    </row>
    <row r="193" spans="2:7" x14ac:dyDescent="0.2">
      <c r="B193" s="153"/>
      <c r="C193" s="311" t="s">
        <v>650</v>
      </c>
      <c r="D193" s="207" t="s">
        <v>123</v>
      </c>
      <c r="E193" s="199">
        <v>2</v>
      </c>
      <c r="F193" s="2028">
        <v>0</v>
      </c>
      <c r="G193" s="270">
        <f t="shared" si="18"/>
        <v>0</v>
      </c>
    </row>
    <row r="194" spans="2:7" x14ac:dyDescent="0.2">
      <c r="B194" s="153"/>
      <c r="C194" s="311" t="s">
        <v>651</v>
      </c>
      <c r="D194" s="207" t="s">
        <v>644</v>
      </c>
      <c r="E194" s="199">
        <v>50</v>
      </c>
      <c r="F194" s="2028">
        <v>0</v>
      </c>
      <c r="G194" s="270">
        <f t="shared" si="18"/>
        <v>0</v>
      </c>
    </row>
    <row r="195" spans="2:7" x14ac:dyDescent="0.2">
      <c r="B195" s="153"/>
      <c r="C195" s="311" t="s">
        <v>652</v>
      </c>
      <c r="D195" s="207" t="s">
        <v>644</v>
      </c>
      <c r="E195" s="199">
        <v>30</v>
      </c>
      <c r="F195" s="2028">
        <v>0</v>
      </c>
      <c r="G195" s="270">
        <f t="shared" si="18"/>
        <v>0</v>
      </c>
    </row>
    <row r="196" spans="2:7" x14ac:dyDescent="0.2">
      <c r="B196" s="153"/>
      <c r="C196" s="311" t="s">
        <v>632</v>
      </c>
      <c r="D196" s="207" t="s">
        <v>98</v>
      </c>
      <c r="E196" s="199">
        <v>1</v>
      </c>
      <c r="F196" s="2028">
        <v>0</v>
      </c>
      <c r="G196" s="270">
        <f t="shared" si="18"/>
        <v>0</v>
      </c>
    </row>
    <row r="197" spans="2:7" x14ac:dyDescent="0.2">
      <c r="B197" s="153">
        <v>6</v>
      </c>
      <c r="C197" s="357" t="s">
        <v>785</v>
      </c>
      <c r="D197" s="15"/>
      <c r="E197" s="419"/>
      <c r="F197" s="14"/>
      <c r="G197" s="13"/>
    </row>
    <row r="198" spans="2:7" ht="36" x14ac:dyDescent="0.2">
      <c r="B198" s="153"/>
      <c r="C198" s="311" t="s">
        <v>666</v>
      </c>
      <c r="D198" s="207" t="s">
        <v>644</v>
      </c>
      <c r="E198" s="199">
        <v>20</v>
      </c>
      <c r="F198" s="2028">
        <v>0</v>
      </c>
      <c r="G198" s="270">
        <f t="shared" ref="G198" si="19">E198*F198</f>
        <v>0</v>
      </c>
    </row>
    <row r="199" spans="2:7" x14ac:dyDescent="0.2">
      <c r="B199" s="153"/>
      <c r="C199" s="311" t="s">
        <v>667</v>
      </c>
      <c r="D199" s="207" t="s">
        <v>644</v>
      </c>
      <c r="E199" s="199">
        <v>50</v>
      </c>
      <c r="F199" s="2028">
        <v>0</v>
      </c>
      <c r="G199" s="270">
        <f t="shared" ref="G199:G205" si="20">E199*F199</f>
        <v>0</v>
      </c>
    </row>
    <row r="200" spans="2:7" x14ac:dyDescent="0.2">
      <c r="B200" s="153"/>
      <c r="C200" s="311" t="s">
        <v>668</v>
      </c>
      <c r="D200" s="207" t="s">
        <v>644</v>
      </c>
      <c r="E200" s="199">
        <v>20</v>
      </c>
      <c r="F200" s="2028">
        <v>0</v>
      </c>
      <c r="G200" s="270">
        <f t="shared" si="20"/>
        <v>0</v>
      </c>
    </row>
    <row r="201" spans="2:7" ht="24" x14ac:dyDescent="0.2">
      <c r="B201" s="153"/>
      <c r="C201" s="311" t="s">
        <v>673</v>
      </c>
      <c r="D201" s="207" t="s">
        <v>123</v>
      </c>
      <c r="E201" s="199">
        <v>2</v>
      </c>
      <c r="F201" s="2028">
        <v>0</v>
      </c>
      <c r="G201" s="270">
        <f t="shared" si="20"/>
        <v>0</v>
      </c>
    </row>
    <row r="202" spans="2:7" x14ac:dyDescent="0.2">
      <c r="B202" s="153"/>
      <c r="C202" s="311" t="s">
        <v>787</v>
      </c>
      <c r="D202" s="207" t="s">
        <v>123</v>
      </c>
      <c r="E202" s="199">
        <v>1</v>
      </c>
      <c r="F202" s="2028">
        <v>0</v>
      </c>
      <c r="G202" s="270">
        <f t="shared" si="20"/>
        <v>0</v>
      </c>
    </row>
    <row r="203" spans="2:7" x14ac:dyDescent="0.2">
      <c r="B203" s="153"/>
      <c r="C203" s="311" t="s">
        <v>675</v>
      </c>
      <c r="D203" s="207" t="s">
        <v>123</v>
      </c>
      <c r="E203" s="199">
        <v>3</v>
      </c>
      <c r="F203" s="2028">
        <v>0</v>
      </c>
      <c r="G203" s="270">
        <f t="shared" si="20"/>
        <v>0</v>
      </c>
    </row>
    <row r="204" spans="2:7" x14ac:dyDescent="0.2">
      <c r="B204" s="153"/>
      <c r="C204" s="311" t="s">
        <v>676</v>
      </c>
      <c r="D204" s="207" t="s">
        <v>123</v>
      </c>
      <c r="E204" s="199">
        <v>2</v>
      </c>
      <c r="F204" s="2028">
        <v>0</v>
      </c>
      <c r="G204" s="270">
        <f t="shared" si="20"/>
        <v>0</v>
      </c>
    </row>
    <row r="205" spans="2:7" ht="24" x14ac:dyDescent="0.2">
      <c r="B205" s="153"/>
      <c r="C205" s="311" t="s">
        <v>677</v>
      </c>
      <c r="D205" s="207" t="s">
        <v>123</v>
      </c>
      <c r="E205" s="199">
        <v>1</v>
      </c>
      <c r="F205" s="2028">
        <v>0</v>
      </c>
      <c r="G205" s="270">
        <f t="shared" si="20"/>
        <v>0</v>
      </c>
    </row>
    <row r="206" spans="2:7" x14ac:dyDescent="0.2">
      <c r="B206" s="153">
        <v>7</v>
      </c>
      <c r="C206" s="357" t="s">
        <v>788</v>
      </c>
      <c r="D206" s="207"/>
      <c r="E206" s="199"/>
      <c r="F206" s="269"/>
      <c r="G206" s="270"/>
    </row>
    <row r="207" spans="2:7" x14ac:dyDescent="0.2">
      <c r="B207" s="153"/>
      <c r="C207" s="197" t="s">
        <v>655</v>
      </c>
      <c r="D207" s="207" t="s">
        <v>644</v>
      </c>
      <c r="E207" s="199">
        <v>40</v>
      </c>
      <c r="F207" s="2028">
        <v>0</v>
      </c>
      <c r="G207" s="270">
        <f t="shared" ref="G207" si="21">E207*F207</f>
        <v>0</v>
      </c>
    </row>
    <row r="208" spans="2:7" ht="36" x14ac:dyDescent="0.2">
      <c r="B208" s="153"/>
      <c r="C208" s="197" t="s">
        <v>656</v>
      </c>
      <c r="D208" s="207" t="s">
        <v>98</v>
      </c>
      <c r="E208" s="199">
        <v>2</v>
      </c>
      <c r="F208" s="2028">
        <v>0</v>
      </c>
      <c r="G208" s="270">
        <f>E208*F208</f>
        <v>0</v>
      </c>
    </row>
    <row r="209" spans="2:7" ht="36" x14ac:dyDescent="0.2">
      <c r="B209" s="153"/>
      <c r="C209" s="197" t="s">
        <v>657</v>
      </c>
      <c r="D209" s="207" t="s">
        <v>98</v>
      </c>
      <c r="E209" s="199">
        <v>1</v>
      </c>
      <c r="F209" s="2028">
        <v>0</v>
      </c>
      <c r="G209" s="270">
        <f>E209*F209</f>
        <v>0</v>
      </c>
    </row>
    <row r="210" spans="2:7" x14ac:dyDescent="0.2">
      <c r="B210" s="153"/>
      <c r="C210" s="197" t="s">
        <v>663</v>
      </c>
      <c r="D210" s="207" t="s">
        <v>98</v>
      </c>
      <c r="E210" s="199">
        <v>1</v>
      </c>
      <c r="F210" s="2028">
        <v>0</v>
      </c>
      <c r="G210" s="270">
        <f>E210*F210</f>
        <v>0</v>
      </c>
    </row>
    <row r="211" spans="2:7" x14ac:dyDescent="0.2">
      <c r="B211" s="153">
        <v>8</v>
      </c>
      <c r="C211" s="357" t="s">
        <v>679</v>
      </c>
      <c r="D211" s="207"/>
      <c r="E211" s="199"/>
      <c r="F211" s="269"/>
      <c r="G211" s="270"/>
    </row>
    <row r="212" spans="2:7" ht="60" x14ac:dyDescent="0.2">
      <c r="B212" s="153"/>
      <c r="C212" s="311" t="s">
        <v>789</v>
      </c>
      <c r="D212" s="207" t="s">
        <v>98</v>
      </c>
      <c r="E212" s="199">
        <v>1</v>
      </c>
      <c r="F212" s="2028">
        <v>0</v>
      </c>
      <c r="G212" s="270">
        <f>E212*F212</f>
        <v>0</v>
      </c>
    </row>
    <row r="213" spans="2:7" ht="36" x14ac:dyDescent="0.2">
      <c r="B213" s="153"/>
      <c r="C213" s="311" t="s">
        <v>790</v>
      </c>
      <c r="D213" s="207" t="s">
        <v>98</v>
      </c>
      <c r="E213" s="199">
        <v>1</v>
      </c>
      <c r="F213" s="2028">
        <v>0</v>
      </c>
      <c r="G213" s="270">
        <f>E213*F213</f>
        <v>0</v>
      </c>
    </row>
    <row r="214" spans="2:7" ht="48" x14ac:dyDescent="0.2">
      <c r="B214" s="153"/>
      <c r="C214" s="311" t="s">
        <v>791</v>
      </c>
      <c r="D214" s="207" t="s">
        <v>98</v>
      </c>
      <c r="E214" s="199">
        <v>1</v>
      </c>
      <c r="F214" s="2028">
        <v>0</v>
      </c>
      <c r="G214" s="270">
        <f>E214*F214</f>
        <v>0</v>
      </c>
    </row>
    <row r="215" spans="2:7" ht="48" x14ac:dyDescent="0.2">
      <c r="B215" s="153"/>
      <c r="C215" s="311" t="s">
        <v>792</v>
      </c>
      <c r="D215" s="207" t="s">
        <v>98</v>
      </c>
      <c r="E215" s="199">
        <v>1</v>
      </c>
      <c r="F215" s="2028">
        <v>0</v>
      </c>
      <c r="G215" s="270">
        <f>E215*F215</f>
        <v>0</v>
      </c>
    </row>
    <row r="216" spans="2:7" x14ac:dyDescent="0.2">
      <c r="B216" s="293" t="s">
        <v>18</v>
      </c>
      <c r="C216" s="294" t="s">
        <v>794</v>
      </c>
      <c r="D216" s="218"/>
      <c r="E216" s="203"/>
      <c r="F216" s="204"/>
      <c r="G216" s="290">
        <f>SUM(G69:G215)</f>
        <v>0</v>
      </c>
    </row>
  </sheetData>
  <mergeCells count="8">
    <mergeCell ref="B65:G65"/>
    <mergeCell ref="B66:G66"/>
    <mergeCell ref="B67:G67"/>
    <mergeCell ref="B26:G26"/>
    <mergeCell ref="B61:G61"/>
    <mergeCell ref="B62:G62"/>
    <mergeCell ref="B63:G63"/>
    <mergeCell ref="B64:G64"/>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7B7C8-BC16-473E-952D-4C38DBDDF7C6}">
  <sheetPr codeName="Sheet25">
    <tabColor rgb="FFFFC000"/>
  </sheetPr>
  <dimension ref="A2:L96"/>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701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819</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G96</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2465</v>
      </c>
      <c r="D53" s="2748" t="s">
        <v>98</v>
      </c>
      <c r="E53" s="2746">
        <v>1</v>
      </c>
      <c r="F53" s="2747">
        <v>0</v>
      </c>
      <c r="G53" s="2736">
        <f t="shared" ref="G53" si="1">E53*F53</f>
        <v>0</v>
      </c>
      <c r="H53" s="122"/>
    </row>
    <row r="54" spans="1:12" s="2" customFormat="1" ht="48" x14ac:dyDescent="0.2">
      <c r="A54" s="121"/>
      <c r="B54" s="153"/>
      <c r="C54" s="311" t="s">
        <v>771</v>
      </c>
      <c r="D54" s="10" t="s">
        <v>123</v>
      </c>
      <c r="E54" s="199">
        <v>1</v>
      </c>
      <c r="F54" s="269">
        <v>0</v>
      </c>
      <c r="G54" s="270">
        <f t="shared" ref="G54:G59" si="2">E54*F54</f>
        <v>0</v>
      </c>
      <c r="H54" s="122"/>
      <c r="I54" s="121"/>
      <c r="J54" s="121"/>
      <c r="K54" s="121"/>
      <c r="L54" s="121"/>
    </row>
    <row r="55" spans="1:12" s="2" customFormat="1" ht="60" x14ac:dyDescent="0.2">
      <c r="A55" s="121"/>
      <c r="B55" s="153"/>
      <c r="C55" s="311" t="s">
        <v>772</v>
      </c>
      <c r="D55" s="10"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774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10"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s="2" customFormat="1" ht="96" x14ac:dyDescent="0.2">
      <c r="A68" s="121"/>
      <c r="B68" s="153"/>
      <c r="C68" s="311" t="s">
        <v>783</v>
      </c>
      <c r="D68" s="10" t="s">
        <v>123</v>
      </c>
      <c r="E68" s="199">
        <v>1</v>
      </c>
      <c r="F68" s="269">
        <v>0</v>
      </c>
      <c r="G68" s="270">
        <f>E68*F68</f>
        <v>0</v>
      </c>
      <c r="H68" s="122"/>
      <c r="I68" s="121"/>
      <c r="J68" s="121"/>
      <c r="K68" s="121"/>
      <c r="L68" s="121"/>
    </row>
    <row r="69" spans="1:12" s="2" customFormat="1" x14ac:dyDescent="0.2">
      <c r="A69" s="121"/>
      <c r="B69" s="153">
        <v>5</v>
      </c>
      <c r="C69" s="357" t="s">
        <v>784</v>
      </c>
      <c r="D69" s="207"/>
      <c r="E69" s="199"/>
      <c r="F69" s="269"/>
      <c r="G69" s="270"/>
      <c r="H69" s="122"/>
      <c r="I69" s="121"/>
      <c r="J69" s="121"/>
      <c r="K69" s="121"/>
      <c r="L69" s="121"/>
    </row>
    <row r="70" spans="1:12" s="2" customFormat="1" x14ac:dyDescent="0.2">
      <c r="A70" s="121"/>
      <c r="B70" s="153"/>
      <c r="C70" s="311" t="s">
        <v>645</v>
      </c>
      <c r="D70" s="207" t="s">
        <v>644</v>
      </c>
      <c r="E70" s="199">
        <v>15</v>
      </c>
      <c r="F70" s="269">
        <v>0</v>
      </c>
      <c r="G70" s="270">
        <f t="shared" ref="G70:G77" si="3">E70*F70</f>
        <v>0</v>
      </c>
      <c r="H70" s="122"/>
      <c r="I70" s="121"/>
      <c r="J70" s="121"/>
      <c r="K70" s="121"/>
      <c r="L70" s="121"/>
    </row>
    <row r="71" spans="1:12" s="2" customFormat="1" x14ac:dyDescent="0.2">
      <c r="A71" s="121"/>
      <c r="B71" s="153"/>
      <c r="C71" s="311" t="s">
        <v>646</v>
      </c>
      <c r="D71" s="207" t="s">
        <v>644</v>
      </c>
      <c r="E71" s="199">
        <v>50</v>
      </c>
      <c r="F71" s="269">
        <v>0</v>
      </c>
      <c r="G71" s="270">
        <f t="shared" si="3"/>
        <v>0</v>
      </c>
      <c r="H71" s="122"/>
      <c r="I71" s="121"/>
      <c r="J71" s="121"/>
      <c r="K71" s="121"/>
      <c r="L71" s="121"/>
    </row>
    <row r="72" spans="1:12" s="2" customFormat="1" x14ac:dyDescent="0.2">
      <c r="A72" s="121"/>
      <c r="B72" s="153"/>
      <c r="C72" s="311" t="s">
        <v>647</v>
      </c>
      <c r="D72" s="207" t="s">
        <v>644</v>
      </c>
      <c r="E72" s="199">
        <v>25</v>
      </c>
      <c r="F72" s="269">
        <v>0</v>
      </c>
      <c r="G72" s="270">
        <f t="shared" si="3"/>
        <v>0</v>
      </c>
      <c r="H72" s="122"/>
      <c r="I72" s="121"/>
      <c r="J72" s="121"/>
      <c r="K72" s="121"/>
      <c r="L72" s="121"/>
    </row>
    <row r="73" spans="1:12" s="2" customFormat="1" x14ac:dyDescent="0.2">
      <c r="A73" s="121"/>
      <c r="B73" s="153"/>
      <c r="C73" s="311" t="s">
        <v>648</v>
      </c>
      <c r="D73" s="207" t="s">
        <v>644</v>
      </c>
      <c r="E73" s="199">
        <v>15</v>
      </c>
      <c r="F73" s="269">
        <v>0</v>
      </c>
      <c r="G73" s="270">
        <f t="shared" si="3"/>
        <v>0</v>
      </c>
      <c r="H73" s="122"/>
      <c r="I73" s="121"/>
      <c r="J73" s="121"/>
      <c r="K73" s="121"/>
      <c r="L73" s="121"/>
    </row>
    <row r="74" spans="1:12" s="2" customFormat="1" x14ac:dyDescent="0.2">
      <c r="A74" s="121"/>
      <c r="B74" s="153"/>
      <c r="C74" s="311" t="s">
        <v>650</v>
      </c>
      <c r="D74" s="207" t="s">
        <v>123</v>
      </c>
      <c r="E74" s="199">
        <v>2</v>
      </c>
      <c r="F74" s="269">
        <v>0</v>
      </c>
      <c r="G74" s="270">
        <f t="shared" si="3"/>
        <v>0</v>
      </c>
      <c r="H74" s="122"/>
      <c r="I74" s="121"/>
      <c r="J74" s="121"/>
      <c r="K74" s="121"/>
      <c r="L74" s="121"/>
    </row>
    <row r="75" spans="1:12" s="2" customFormat="1" x14ac:dyDescent="0.2">
      <c r="A75" s="121"/>
      <c r="B75" s="153"/>
      <c r="C75" s="311" t="s">
        <v>651</v>
      </c>
      <c r="D75" s="207" t="s">
        <v>644</v>
      </c>
      <c r="E75" s="199">
        <v>20</v>
      </c>
      <c r="F75" s="269">
        <v>0</v>
      </c>
      <c r="G75" s="270">
        <f t="shared" si="3"/>
        <v>0</v>
      </c>
      <c r="H75" s="122"/>
      <c r="I75" s="121"/>
      <c r="J75" s="121"/>
      <c r="K75" s="121"/>
      <c r="L75" s="121"/>
    </row>
    <row r="76" spans="1:12" s="2" customFormat="1" x14ac:dyDescent="0.2">
      <c r="A76" s="121"/>
      <c r="B76" s="153"/>
      <c r="C76" s="311" t="s">
        <v>652</v>
      </c>
      <c r="D76" s="207" t="s">
        <v>644</v>
      </c>
      <c r="E76" s="199">
        <v>15</v>
      </c>
      <c r="F76" s="269">
        <v>0</v>
      </c>
      <c r="G76" s="270">
        <f t="shared" si="3"/>
        <v>0</v>
      </c>
      <c r="H76" s="122"/>
      <c r="I76" s="121"/>
      <c r="J76" s="121"/>
      <c r="K76" s="121"/>
      <c r="L76" s="121"/>
    </row>
    <row r="77" spans="1:12" s="2" customFormat="1" x14ac:dyDescent="0.2">
      <c r="A77" s="121"/>
      <c r="B77" s="153"/>
      <c r="C77" s="311" t="s">
        <v>632</v>
      </c>
      <c r="D77" s="207" t="s">
        <v>98</v>
      </c>
      <c r="E77" s="199">
        <v>1</v>
      </c>
      <c r="F77" s="269">
        <v>0</v>
      </c>
      <c r="G77" s="270">
        <f t="shared" si="3"/>
        <v>0</v>
      </c>
      <c r="H77" s="122"/>
      <c r="I77" s="121"/>
      <c r="J77" s="121"/>
      <c r="K77" s="121"/>
      <c r="L77" s="121"/>
    </row>
    <row r="78" spans="1:12" s="12" customFormat="1" x14ac:dyDescent="0.2">
      <c r="A78" s="11"/>
      <c r="B78" s="153">
        <v>6</v>
      </c>
      <c r="C78" s="357" t="s">
        <v>785</v>
      </c>
      <c r="D78" s="15"/>
      <c r="E78" s="419"/>
      <c r="F78" s="14"/>
      <c r="G78" s="13"/>
      <c r="I78" s="11"/>
      <c r="J78" s="11"/>
      <c r="K78" s="11"/>
      <c r="L78" s="11"/>
    </row>
    <row r="79" spans="1:12" s="12" customFormat="1" ht="24" x14ac:dyDescent="0.2">
      <c r="A79" s="11"/>
      <c r="B79" s="153"/>
      <c r="C79" s="311" t="s">
        <v>666</v>
      </c>
      <c r="D79" s="207" t="s">
        <v>644</v>
      </c>
      <c r="E79" s="199">
        <v>8</v>
      </c>
      <c r="F79" s="269">
        <v>0</v>
      </c>
      <c r="G79" s="270">
        <f t="shared" ref="G79:G85" si="4">E79*F79</f>
        <v>0</v>
      </c>
      <c r="I79" s="11"/>
      <c r="J79" s="11"/>
      <c r="K79" s="11"/>
      <c r="L79" s="11"/>
    </row>
    <row r="80" spans="1:12" s="12" customFormat="1" x14ac:dyDescent="0.2">
      <c r="A80" s="11"/>
      <c r="B80" s="153"/>
      <c r="C80" s="311" t="s">
        <v>667</v>
      </c>
      <c r="D80" s="207" t="s">
        <v>644</v>
      </c>
      <c r="E80" s="199">
        <v>50</v>
      </c>
      <c r="F80" s="269">
        <v>0</v>
      </c>
      <c r="G80" s="270">
        <f t="shared" si="4"/>
        <v>0</v>
      </c>
      <c r="I80" s="11"/>
      <c r="J80" s="11"/>
      <c r="K80" s="11"/>
      <c r="L80" s="11"/>
    </row>
    <row r="81" spans="1:12" s="12" customFormat="1" x14ac:dyDescent="0.2">
      <c r="A81" s="11"/>
      <c r="B81" s="153"/>
      <c r="C81" s="311" t="s">
        <v>668</v>
      </c>
      <c r="D81" s="207" t="s">
        <v>644</v>
      </c>
      <c r="E81" s="199">
        <v>20</v>
      </c>
      <c r="F81" s="269">
        <v>0</v>
      </c>
      <c r="G81" s="270">
        <f t="shared" si="4"/>
        <v>0</v>
      </c>
      <c r="I81" s="11"/>
      <c r="J81" s="11"/>
      <c r="K81" s="11"/>
      <c r="L81" s="11"/>
    </row>
    <row r="82" spans="1:12" s="12" customFormat="1" x14ac:dyDescent="0.2">
      <c r="A82" s="11"/>
      <c r="B82" s="153"/>
      <c r="C82" s="311" t="s">
        <v>673</v>
      </c>
      <c r="D82" s="207" t="s">
        <v>123</v>
      </c>
      <c r="E82" s="199">
        <v>1</v>
      </c>
      <c r="F82" s="269">
        <v>0</v>
      </c>
      <c r="G82" s="270">
        <f t="shared" si="4"/>
        <v>0</v>
      </c>
      <c r="I82" s="11"/>
      <c r="J82" s="11"/>
      <c r="K82" s="11"/>
      <c r="L82" s="11"/>
    </row>
    <row r="83" spans="1:12" s="12" customFormat="1" x14ac:dyDescent="0.2">
      <c r="A83" s="11"/>
      <c r="B83" s="153"/>
      <c r="C83" s="311" t="s">
        <v>675</v>
      </c>
      <c r="D83" s="207" t="s">
        <v>123</v>
      </c>
      <c r="E83" s="199">
        <v>3</v>
      </c>
      <c r="F83" s="269">
        <v>0</v>
      </c>
      <c r="G83" s="270">
        <f t="shared" si="4"/>
        <v>0</v>
      </c>
      <c r="I83" s="11"/>
      <c r="J83" s="11"/>
      <c r="K83" s="11"/>
      <c r="L83" s="11"/>
    </row>
    <row r="84" spans="1:12" s="12" customFormat="1" x14ac:dyDescent="0.2">
      <c r="A84" s="11"/>
      <c r="B84" s="153"/>
      <c r="C84" s="311" t="s">
        <v>676</v>
      </c>
      <c r="D84" s="207" t="s">
        <v>123</v>
      </c>
      <c r="E84" s="199">
        <v>2</v>
      </c>
      <c r="F84" s="269">
        <v>0</v>
      </c>
      <c r="G84" s="270">
        <f t="shared" si="4"/>
        <v>0</v>
      </c>
      <c r="I84" s="11"/>
      <c r="J84" s="11"/>
      <c r="K84" s="11"/>
      <c r="L84" s="11"/>
    </row>
    <row r="85" spans="1:12" s="12" customFormat="1" ht="24" x14ac:dyDescent="0.2">
      <c r="A85" s="11"/>
      <c r="B85" s="153"/>
      <c r="C85" s="311" t="s">
        <v>677</v>
      </c>
      <c r="D85" s="207" t="s">
        <v>123</v>
      </c>
      <c r="E85" s="199">
        <v>1</v>
      </c>
      <c r="F85" s="269">
        <v>0</v>
      </c>
      <c r="G85" s="270">
        <f t="shared" si="4"/>
        <v>0</v>
      </c>
      <c r="I85" s="11"/>
      <c r="J85" s="11"/>
      <c r="K85" s="11"/>
      <c r="L85" s="11"/>
    </row>
    <row r="86" spans="1:12" s="2" customFormat="1" x14ac:dyDescent="0.2">
      <c r="A86" s="121"/>
      <c r="B86" s="153">
        <v>7</v>
      </c>
      <c r="C86" s="357" t="s">
        <v>788</v>
      </c>
      <c r="D86" s="207"/>
      <c r="E86" s="199"/>
      <c r="F86" s="269"/>
      <c r="G86" s="270"/>
      <c r="H86" s="122"/>
      <c r="I86" s="121"/>
      <c r="J86" s="121"/>
      <c r="K86" s="121"/>
      <c r="L86" s="121"/>
    </row>
    <row r="87" spans="1:12" s="2" customFormat="1" x14ac:dyDescent="0.2">
      <c r="A87" s="121"/>
      <c r="B87" s="153"/>
      <c r="C87" s="197" t="s">
        <v>655</v>
      </c>
      <c r="D87" s="207" t="s">
        <v>644</v>
      </c>
      <c r="E87" s="199">
        <v>10</v>
      </c>
      <c r="F87" s="269">
        <v>0</v>
      </c>
      <c r="G87" s="270">
        <f>E87*F87</f>
        <v>0</v>
      </c>
      <c r="H87" s="122"/>
      <c r="I87" s="121"/>
      <c r="J87" s="121"/>
      <c r="K87" s="121"/>
      <c r="L87" s="121"/>
    </row>
    <row r="88" spans="1:12" s="2" customFormat="1" ht="36" x14ac:dyDescent="0.2">
      <c r="A88" s="121"/>
      <c r="B88" s="153"/>
      <c r="C88" s="197" t="s">
        <v>656</v>
      </c>
      <c r="D88" s="207" t="s">
        <v>98</v>
      </c>
      <c r="E88" s="199">
        <v>1</v>
      </c>
      <c r="F88" s="269">
        <v>0</v>
      </c>
      <c r="G88" s="270">
        <f>E88*F88</f>
        <v>0</v>
      </c>
      <c r="H88" s="122"/>
      <c r="I88" s="121"/>
      <c r="J88" s="121"/>
      <c r="K88" s="121"/>
      <c r="L88" s="121"/>
    </row>
    <row r="89" spans="1:12" s="2" customFormat="1" ht="24" x14ac:dyDescent="0.2">
      <c r="A89" s="121"/>
      <c r="B89" s="153"/>
      <c r="C89" s="197" t="s">
        <v>657</v>
      </c>
      <c r="D89" s="207" t="s">
        <v>98</v>
      </c>
      <c r="E89" s="199">
        <v>1</v>
      </c>
      <c r="F89" s="269">
        <v>0</v>
      </c>
      <c r="G89" s="270">
        <f>E89*F89</f>
        <v>0</v>
      </c>
      <c r="H89" s="122"/>
      <c r="I89" s="121"/>
      <c r="J89" s="121"/>
      <c r="K89" s="121"/>
      <c r="L89" s="121"/>
    </row>
    <row r="90" spans="1:12" s="2" customFormat="1" x14ac:dyDescent="0.2">
      <c r="A90" s="121"/>
      <c r="B90" s="153"/>
      <c r="C90" s="197" t="s">
        <v>663</v>
      </c>
      <c r="D90" s="207" t="s">
        <v>98</v>
      </c>
      <c r="E90" s="199">
        <v>1</v>
      </c>
      <c r="F90" s="269">
        <v>0</v>
      </c>
      <c r="G90" s="270">
        <f>E90*F90</f>
        <v>0</v>
      </c>
      <c r="H90" s="122"/>
      <c r="I90" s="121"/>
      <c r="J90" s="121"/>
      <c r="K90" s="121"/>
      <c r="L90" s="121"/>
    </row>
    <row r="91" spans="1:12" s="2" customFormat="1" x14ac:dyDescent="0.2">
      <c r="A91" s="121"/>
      <c r="B91" s="153">
        <v>8</v>
      </c>
      <c r="C91" s="357" t="s">
        <v>679</v>
      </c>
      <c r="D91" s="207"/>
      <c r="E91" s="199"/>
      <c r="F91" s="269"/>
      <c r="G91" s="270"/>
      <c r="H91" s="122"/>
      <c r="I91" s="121"/>
      <c r="J91" s="121"/>
      <c r="K91" s="121"/>
      <c r="L91" s="121"/>
    </row>
    <row r="92" spans="1:12" ht="48" x14ac:dyDescent="0.2">
      <c r="A92" s="121"/>
      <c r="B92" s="153"/>
      <c r="C92" s="311" t="s">
        <v>789</v>
      </c>
      <c r="D92" s="10" t="s">
        <v>98</v>
      </c>
      <c r="E92" s="199">
        <v>1</v>
      </c>
      <c r="F92" s="269">
        <v>0</v>
      </c>
      <c r="G92" s="270">
        <f>E92*F92</f>
        <v>0</v>
      </c>
      <c r="H92" s="122"/>
      <c r="I92" s="121"/>
      <c r="J92" s="121"/>
      <c r="K92" s="121"/>
      <c r="L92" s="121"/>
    </row>
    <row r="93" spans="1:12" ht="36" x14ac:dyDescent="0.2">
      <c r="A93" s="121"/>
      <c r="B93" s="153"/>
      <c r="C93" s="311" t="s">
        <v>790</v>
      </c>
      <c r="D93" s="207" t="s">
        <v>98</v>
      </c>
      <c r="E93" s="199">
        <v>1</v>
      </c>
      <c r="F93" s="269">
        <v>0</v>
      </c>
      <c r="G93" s="270">
        <f>E93*F93</f>
        <v>0</v>
      </c>
      <c r="H93" s="122"/>
      <c r="I93" s="121"/>
      <c r="J93" s="121"/>
      <c r="K93" s="121"/>
      <c r="L93" s="121"/>
    </row>
    <row r="94" spans="1:12" ht="36" x14ac:dyDescent="0.2">
      <c r="A94" s="121"/>
      <c r="B94" s="153"/>
      <c r="C94" s="311" t="s">
        <v>791</v>
      </c>
      <c r="D94" s="10" t="s">
        <v>98</v>
      </c>
      <c r="E94" s="199">
        <v>1</v>
      </c>
      <c r="F94" s="269">
        <v>0</v>
      </c>
      <c r="G94" s="270">
        <f>E94*F94</f>
        <v>0</v>
      </c>
      <c r="H94" s="122"/>
      <c r="I94" s="121"/>
      <c r="J94" s="121"/>
      <c r="K94" s="121"/>
      <c r="L94" s="121"/>
    </row>
    <row r="95" spans="1:12" ht="36" x14ac:dyDescent="0.2">
      <c r="A95" s="121"/>
      <c r="B95" s="153"/>
      <c r="C95" s="311" t="s">
        <v>792</v>
      </c>
      <c r="D95" s="207" t="s">
        <v>98</v>
      </c>
      <c r="E95" s="199">
        <v>1</v>
      </c>
      <c r="F95" s="269">
        <v>0</v>
      </c>
      <c r="G95" s="270">
        <f>E95*F95</f>
        <v>0</v>
      </c>
      <c r="H95" s="122"/>
      <c r="I95" s="121"/>
      <c r="J95" s="121"/>
      <c r="K95" s="121"/>
      <c r="L95" s="121"/>
    </row>
    <row r="96" spans="1:12" s="9" customFormat="1" ht="23.25" customHeight="1" x14ac:dyDescent="0.25">
      <c r="A96" s="147"/>
      <c r="B96" s="327" t="s">
        <v>18</v>
      </c>
      <c r="C96" s="214" t="s">
        <v>818</v>
      </c>
      <c r="D96" s="214"/>
      <c r="E96" s="215"/>
      <c r="F96" s="216"/>
      <c r="G96" s="290">
        <f>SUM(G30:G95)</f>
        <v>0</v>
      </c>
      <c r="H96" s="150"/>
      <c r="I96" s="147"/>
      <c r="J96" s="147"/>
      <c r="K96" s="147"/>
      <c r="L96"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F823-1882-4ACF-807B-99E38471F72E}">
  <sheetPr codeName="Sheet21">
    <tabColor rgb="FF7030A0"/>
  </sheetPr>
  <dimension ref="A2:L210"/>
  <sheetViews>
    <sheetView showZeros="0" topLeftCell="A48" zoomScale="110" zoomScaleNormal="110" workbookViewId="0">
      <selection activeCell="B60" sqref="B60:G60"/>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1406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2217</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2459</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G50</f>
        <v>0</v>
      </c>
      <c r="H15" s="18"/>
      <c r="I15" s="331"/>
      <c r="J15" s="331"/>
      <c r="K15" s="331"/>
      <c r="L15" s="331"/>
    </row>
    <row r="16" spans="1:12" s="17" customFormat="1" ht="18.75" customHeight="1" x14ac:dyDescent="0.25">
      <c r="A16" s="331"/>
      <c r="B16" s="332" t="s">
        <v>18</v>
      </c>
      <c r="C16" s="340" t="s">
        <v>367</v>
      </c>
      <c r="D16" s="341"/>
      <c r="E16" s="342"/>
      <c r="F16" s="58"/>
      <c r="G16" s="20">
        <f>G210</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00">
        <v>0</v>
      </c>
      <c r="G30" s="201"/>
      <c r="H30" s="122"/>
    </row>
    <row r="31" spans="1:8" s="34" customFormat="1" ht="14.25" customHeight="1" x14ac:dyDescent="0.2">
      <c r="A31" s="136"/>
      <c r="B31" s="292" t="s">
        <v>897</v>
      </c>
      <c r="C31" s="67" t="s">
        <v>918</v>
      </c>
      <c r="D31" s="63"/>
      <c r="E31" s="62"/>
      <c r="F31" s="61"/>
      <c r="G31" s="60"/>
      <c r="H31" s="122"/>
    </row>
    <row r="32" spans="1:8" s="34" customFormat="1" ht="14.25" customHeight="1" x14ac:dyDescent="0.2">
      <c r="A32" s="136"/>
      <c r="B32" s="135"/>
      <c r="C32" s="69" t="s">
        <v>1056</v>
      </c>
      <c r="D32" s="63" t="s">
        <v>149</v>
      </c>
      <c r="E32" s="62">
        <v>1</v>
      </c>
      <c r="F32" s="61"/>
      <c r="G32" s="60"/>
      <c r="H32" s="122"/>
    </row>
    <row r="33" spans="2:8" s="34" customFormat="1" ht="14.25" customHeight="1" x14ac:dyDescent="0.2">
      <c r="B33" s="135"/>
      <c r="C33" s="69" t="s">
        <v>1033</v>
      </c>
      <c r="D33" s="63" t="s">
        <v>149</v>
      </c>
      <c r="E33" s="62">
        <v>1</v>
      </c>
      <c r="F33" s="61"/>
      <c r="G33" s="60"/>
      <c r="H33" s="122"/>
    </row>
    <row r="34" spans="2:8" s="34" customFormat="1" ht="14.25" customHeight="1" x14ac:dyDescent="0.2">
      <c r="B34" s="135"/>
      <c r="C34" s="69" t="s">
        <v>1034</v>
      </c>
      <c r="D34" s="63" t="s">
        <v>149</v>
      </c>
      <c r="E34" s="62">
        <v>8</v>
      </c>
      <c r="F34" s="61"/>
      <c r="G34" s="60"/>
      <c r="H34" s="122"/>
    </row>
    <row r="35" spans="2:8" s="34" customFormat="1" ht="14.25" customHeight="1" x14ac:dyDescent="0.2">
      <c r="B35" s="135"/>
      <c r="C35" s="69" t="s">
        <v>1035</v>
      </c>
      <c r="D35" s="63" t="s">
        <v>149</v>
      </c>
      <c r="E35" s="62">
        <v>2</v>
      </c>
      <c r="F35" s="61"/>
      <c r="G35" s="60"/>
      <c r="H35" s="122"/>
    </row>
    <row r="36" spans="2:8" s="34" customFormat="1" ht="14.25" customHeight="1" x14ac:dyDescent="0.2">
      <c r="B36" s="135"/>
      <c r="C36" s="69" t="s">
        <v>1036</v>
      </c>
      <c r="D36" s="63" t="s">
        <v>149</v>
      </c>
      <c r="E36" s="62">
        <v>1</v>
      </c>
      <c r="F36" s="61"/>
      <c r="G36" s="60"/>
      <c r="H36" s="122"/>
    </row>
    <row r="37" spans="2:8" s="34" customFormat="1" ht="14.25" customHeight="1" x14ac:dyDescent="0.2">
      <c r="B37" s="135"/>
      <c r="C37" s="69" t="s">
        <v>1037</v>
      </c>
      <c r="D37" s="63" t="s">
        <v>149</v>
      </c>
      <c r="E37" s="62">
        <v>2</v>
      </c>
      <c r="F37" s="61"/>
      <c r="G37" s="60"/>
      <c r="H37" s="122"/>
    </row>
    <row r="38" spans="2:8" s="34" customFormat="1" ht="14.25" customHeight="1" x14ac:dyDescent="0.2">
      <c r="B38" s="135"/>
      <c r="C38" s="69" t="s">
        <v>1038</v>
      </c>
      <c r="D38" s="63" t="s">
        <v>149</v>
      </c>
      <c r="E38" s="62">
        <v>1</v>
      </c>
      <c r="F38" s="61"/>
      <c r="G38" s="60"/>
      <c r="H38" s="122"/>
    </row>
    <row r="39" spans="2:8" s="34" customFormat="1" ht="14.25" customHeight="1" x14ac:dyDescent="0.2">
      <c r="B39" s="135"/>
      <c r="C39" s="69" t="s">
        <v>1039</v>
      </c>
      <c r="D39" s="63" t="s">
        <v>149</v>
      </c>
      <c r="E39" s="62">
        <v>10</v>
      </c>
      <c r="F39" s="61"/>
      <c r="G39" s="60"/>
      <c r="H39" s="122"/>
    </row>
    <row r="40" spans="2:8" s="34" customFormat="1" ht="14.25" customHeight="1" x14ac:dyDescent="0.2">
      <c r="B40" s="135"/>
      <c r="C40" s="69" t="s">
        <v>1005</v>
      </c>
      <c r="D40" s="63" t="s">
        <v>149</v>
      </c>
      <c r="E40" s="62">
        <v>1</v>
      </c>
      <c r="F40" s="61"/>
      <c r="G40" s="60"/>
      <c r="H40" s="122"/>
    </row>
    <row r="41" spans="2:8" s="34" customFormat="1" ht="14.25" customHeight="1" x14ac:dyDescent="0.2">
      <c r="B41" s="135"/>
      <c r="C41" s="69" t="s">
        <v>2460</v>
      </c>
      <c r="D41" s="63" t="s">
        <v>149</v>
      </c>
      <c r="E41" s="62">
        <v>1</v>
      </c>
      <c r="F41" s="61"/>
      <c r="G41" s="60"/>
      <c r="H41" s="122"/>
    </row>
    <row r="42" spans="2:8" s="34" customFormat="1" ht="14.25" customHeight="1" x14ac:dyDescent="0.2">
      <c r="B42" s="135"/>
      <c r="C42" s="69" t="s">
        <v>940</v>
      </c>
      <c r="D42" s="63" t="s">
        <v>149</v>
      </c>
      <c r="E42" s="62">
        <v>4</v>
      </c>
      <c r="F42" s="61"/>
      <c r="G42" s="60"/>
      <c r="H42" s="122"/>
    </row>
    <row r="43" spans="2:8" s="34" customFormat="1" ht="330.75" customHeight="1" x14ac:dyDescent="0.2">
      <c r="B43" s="135"/>
      <c r="C43" s="66" t="s">
        <v>919</v>
      </c>
      <c r="D43" s="63" t="s">
        <v>149</v>
      </c>
      <c r="E43" s="62">
        <v>1</v>
      </c>
      <c r="F43" s="61"/>
      <c r="G43" s="60"/>
      <c r="H43" s="122"/>
    </row>
    <row r="44" spans="2:8" s="34" customFormat="1" ht="240" customHeight="1" x14ac:dyDescent="0.2">
      <c r="B44" s="135"/>
      <c r="C44" s="65" t="s">
        <v>920</v>
      </c>
      <c r="D44" s="63" t="s">
        <v>560</v>
      </c>
      <c r="E44" s="62">
        <v>1</v>
      </c>
      <c r="F44" s="61"/>
      <c r="G44" s="60"/>
      <c r="H44" s="122"/>
    </row>
    <row r="45" spans="2:8" s="34" customFormat="1" ht="108.75" customHeight="1" x14ac:dyDescent="0.2">
      <c r="B45" s="135"/>
      <c r="C45" s="65" t="s">
        <v>921</v>
      </c>
      <c r="D45" s="63" t="s">
        <v>149</v>
      </c>
      <c r="E45" s="62">
        <v>1</v>
      </c>
      <c r="F45" s="61"/>
      <c r="G45" s="60"/>
      <c r="H45" s="122"/>
    </row>
    <row r="46" spans="2:8" s="34" customFormat="1" ht="82.5" customHeight="1" x14ac:dyDescent="0.2">
      <c r="B46" s="135"/>
      <c r="C46" s="65" t="s">
        <v>988</v>
      </c>
      <c r="D46" s="63" t="s">
        <v>560</v>
      </c>
      <c r="E46" s="62">
        <v>1</v>
      </c>
      <c r="F46" s="61"/>
      <c r="G46" s="60"/>
      <c r="H46" s="122"/>
    </row>
    <row r="47" spans="2:8" s="34" customFormat="1" ht="328.5" customHeight="1" x14ac:dyDescent="0.2">
      <c r="B47" s="135"/>
      <c r="C47" s="64" t="s">
        <v>923</v>
      </c>
      <c r="D47" s="63" t="s">
        <v>149</v>
      </c>
      <c r="E47" s="62">
        <v>1</v>
      </c>
      <c r="F47" s="61"/>
      <c r="G47" s="60"/>
      <c r="H47" s="122"/>
    </row>
    <row r="48" spans="2:8" s="34" customFormat="1" ht="18" customHeight="1" x14ac:dyDescent="0.2">
      <c r="B48" s="135"/>
      <c r="C48" s="64" t="s">
        <v>924</v>
      </c>
      <c r="D48" s="63" t="s">
        <v>560</v>
      </c>
      <c r="E48" s="62">
        <v>1</v>
      </c>
      <c r="F48" s="61"/>
      <c r="G48" s="60"/>
      <c r="H48" s="122"/>
    </row>
    <row r="49" spans="2:8" s="2730" customFormat="1" ht="18" customHeight="1" x14ac:dyDescent="0.2">
      <c r="B49" s="2729"/>
      <c r="C49" s="2755" t="s">
        <v>925</v>
      </c>
      <c r="D49" s="2751" t="s">
        <v>98</v>
      </c>
      <c r="E49" s="62">
        <v>1</v>
      </c>
      <c r="F49" s="61">
        <v>0</v>
      </c>
      <c r="G49" s="60">
        <f t="shared" ref="G49" si="0">E49*F49</f>
        <v>0</v>
      </c>
      <c r="H49" s="356"/>
    </row>
    <row r="50" spans="2:8" s="9" customFormat="1" ht="25.5" customHeight="1" x14ac:dyDescent="0.25">
      <c r="B50" s="293" t="s">
        <v>17</v>
      </c>
      <c r="C50" s="294" t="s">
        <v>302</v>
      </c>
      <c r="D50" s="218"/>
      <c r="E50" s="203"/>
      <c r="F50" s="204"/>
      <c r="G50" s="290">
        <f>SUM(G27:G49)</f>
        <v>0</v>
      </c>
      <c r="H50" s="150"/>
    </row>
    <row r="51" spans="2:8" x14ac:dyDescent="0.2">
      <c r="B51" s="129"/>
      <c r="C51" s="197"/>
      <c r="D51" s="207"/>
      <c r="E51" s="199"/>
      <c r="F51" s="200"/>
      <c r="G51" s="201"/>
      <c r="H51" s="122"/>
    </row>
    <row r="52" spans="2:8" ht="24" x14ac:dyDescent="0.2">
      <c r="B52" s="128" t="s">
        <v>83</v>
      </c>
      <c r="C52" s="192" t="s">
        <v>89</v>
      </c>
      <c r="D52" s="192" t="s">
        <v>90</v>
      </c>
      <c r="E52" s="194" t="s">
        <v>91</v>
      </c>
      <c r="F52" s="195" t="s">
        <v>92</v>
      </c>
      <c r="G52" s="196" t="s">
        <v>93</v>
      </c>
      <c r="H52" s="122"/>
    </row>
    <row r="53" spans="2:8" x14ac:dyDescent="0.2">
      <c r="B53" s="51"/>
      <c r="C53" s="50"/>
      <c r="D53" s="50"/>
      <c r="E53" s="359"/>
      <c r="F53" s="360"/>
      <c r="G53" s="361"/>
      <c r="H53" s="122"/>
    </row>
    <row r="54" spans="2:8" ht="20.25" x14ac:dyDescent="0.2">
      <c r="B54" s="296" t="s">
        <v>18</v>
      </c>
      <c r="C54" s="297" t="s">
        <v>367</v>
      </c>
      <c r="D54" s="298"/>
      <c r="E54" s="299"/>
      <c r="F54" s="300"/>
      <c r="G54" s="301"/>
      <c r="H54" s="122"/>
    </row>
    <row r="55" spans="2:8" x14ac:dyDescent="0.2">
      <c r="B55" s="3205" t="s">
        <v>539</v>
      </c>
      <c r="C55" s="3206"/>
      <c r="D55" s="3206"/>
      <c r="E55" s="3206"/>
      <c r="F55" s="3206"/>
      <c r="G55" s="3207"/>
      <c r="H55" s="122"/>
    </row>
    <row r="56" spans="2:8" ht="25.5" customHeight="1" x14ac:dyDescent="0.2">
      <c r="B56" s="3205" t="s">
        <v>540</v>
      </c>
      <c r="C56" s="3206"/>
      <c r="D56" s="3206"/>
      <c r="E56" s="3206"/>
      <c r="F56" s="3206"/>
      <c r="G56" s="3207"/>
      <c r="H56" s="122"/>
    </row>
    <row r="57" spans="2:8" x14ac:dyDescent="0.2">
      <c r="B57" s="3205" t="s">
        <v>541</v>
      </c>
      <c r="C57" s="3206"/>
      <c r="D57" s="3206"/>
      <c r="E57" s="3206"/>
      <c r="F57" s="3206"/>
      <c r="G57" s="3207"/>
      <c r="H57" s="122"/>
    </row>
    <row r="58" spans="2:8" ht="25.5" customHeight="1" x14ac:dyDescent="0.2">
      <c r="B58" s="3205" t="s">
        <v>542</v>
      </c>
      <c r="C58" s="3206"/>
      <c r="D58" s="3206"/>
      <c r="E58" s="3206"/>
      <c r="F58" s="3206"/>
      <c r="G58" s="3207"/>
      <c r="H58" s="122"/>
    </row>
    <row r="59" spans="2:8" ht="25.5" customHeight="1" x14ac:dyDescent="0.2">
      <c r="B59" s="3205" t="s">
        <v>543</v>
      </c>
      <c r="C59" s="3206"/>
      <c r="D59" s="3206"/>
      <c r="E59" s="3206"/>
      <c r="F59" s="3206"/>
      <c r="G59" s="3207"/>
      <c r="H59" s="122"/>
    </row>
    <row r="60" spans="2:8" ht="25.5" customHeight="1" x14ac:dyDescent="0.2">
      <c r="B60" s="3205" t="s">
        <v>544</v>
      </c>
      <c r="C60" s="3206"/>
      <c r="D60" s="3206"/>
      <c r="E60" s="3206"/>
      <c r="F60" s="3206"/>
      <c r="G60" s="3207"/>
      <c r="H60" s="122"/>
    </row>
    <row r="61" spans="2:8" x14ac:dyDescent="0.2">
      <c r="B61" s="3205" t="s">
        <v>545</v>
      </c>
      <c r="C61" s="3206"/>
      <c r="D61" s="3206"/>
      <c r="E61" s="3206"/>
      <c r="F61" s="3206"/>
      <c r="G61" s="3207"/>
      <c r="H61" s="122"/>
    </row>
    <row r="62" spans="2:8" x14ac:dyDescent="0.2">
      <c r="B62" s="153">
        <v>1</v>
      </c>
      <c r="C62" s="357" t="s">
        <v>550</v>
      </c>
      <c r="D62" s="207"/>
      <c r="E62" s="199"/>
      <c r="F62" s="269"/>
      <c r="G62" s="270"/>
      <c r="H62" s="122"/>
    </row>
    <row r="63" spans="2:8" ht="132" x14ac:dyDescent="0.2">
      <c r="B63" s="129"/>
      <c r="C63" s="197" t="s">
        <v>815</v>
      </c>
      <c r="D63" s="207" t="s">
        <v>98</v>
      </c>
      <c r="E63" s="199">
        <v>1</v>
      </c>
      <c r="F63" s="269">
        <v>0</v>
      </c>
      <c r="G63" s="270">
        <f>E63*F63</f>
        <v>0</v>
      </c>
      <c r="H63" s="122"/>
    </row>
    <row r="64" spans="2:8" ht="72" x14ac:dyDescent="0.2">
      <c r="B64" s="129"/>
      <c r="C64" s="197" t="s">
        <v>751</v>
      </c>
      <c r="D64" s="207" t="s">
        <v>123</v>
      </c>
      <c r="E64" s="199">
        <v>1</v>
      </c>
      <c r="F64" s="269">
        <v>0</v>
      </c>
      <c r="G64" s="270">
        <f t="shared" ref="G64:G83" si="1">E64*F64</f>
        <v>0</v>
      </c>
      <c r="H64" s="122"/>
    </row>
    <row r="65" spans="2:7" ht="72" x14ac:dyDescent="0.2">
      <c r="B65" s="129"/>
      <c r="C65" s="197" t="s">
        <v>752</v>
      </c>
      <c r="D65" s="207" t="s">
        <v>123</v>
      </c>
      <c r="E65" s="199">
        <v>1</v>
      </c>
      <c r="F65" s="269">
        <v>0</v>
      </c>
      <c r="G65" s="270">
        <f t="shared" si="1"/>
        <v>0</v>
      </c>
    </row>
    <row r="66" spans="2:7" ht="72" x14ac:dyDescent="0.2">
      <c r="B66" s="129"/>
      <c r="C66" s="197" t="s">
        <v>753</v>
      </c>
      <c r="D66" s="207" t="s">
        <v>123</v>
      </c>
      <c r="E66" s="199">
        <v>2</v>
      </c>
      <c r="F66" s="269">
        <v>0</v>
      </c>
      <c r="G66" s="270">
        <f t="shared" si="1"/>
        <v>0</v>
      </c>
    </row>
    <row r="67" spans="2:7" ht="72" x14ac:dyDescent="0.2">
      <c r="B67" s="129"/>
      <c r="C67" s="197" t="s">
        <v>754</v>
      </c>
      <c r="D67" s="207" t="s">
        <v>123</v>
      </c>
      <c r="E67" s="199">
        <v>1</v>
      </c>
      <c r="F67" s="269">
        <v>0</v>
      </c>
      <c r="G67" s="270">
        <f t="shared" si="1"/>
        <v>0</v>
      </c>
    </row>
    <row r="68" spans="2:7" ht="60" x14ac:dyDescent="0.2">
      <c r="B68" s="129"/>
      <c r="C68" s="197" t="s">
        <v>755</v>
      </c>
      <c r="D68" s="207" t="s">
        <v>123</v>
      </c>
      <c r="E68" s="199">
        <v>1</v>
      </c>
      <c r="F68" s="269">
        <v>0</v>
      </c>
      <c r="G68" s="270">
        <f t="shared" si="1"/>
        <v>0</v>
      </c>
    </row>
    <row r="69" spans="2:7" ht="84" x14ac:dyDescent="0.2">
      <c r="B69" s="129"/>
      <c r="C69" s="311" t="s">
        <v>756</v>
      </c>
      <c r="D69" s="207" t="s">
        <v>98</v>
      </c>
      <c r="E69" s="199">
        <v>1</v>
      </c>
      <c r="F69" s="269">
        <v>0</v>
      </c>
      <c r="G69" s="270">
        <f t="shared" si="1"/>
        <v>0</v>
      </c>
    </row>
    <row r="70" spans="2:7" ht="60" x14ac:dyDescent="0.2">
      <c r="B70" s="129"/>
      <c r="C70" s="197" t="s">
        <v>757</v>
      </c>
      <c r="D70" s="207" t="s">
        <v>123</v>
      </c>
      <c r="E70" s="199">
        <v>1</v>
      </c>
      <c r="F70" s="269">
        <v>0</v>
      </c>
      <c r="G70" s="270">
        <f t="shared" si="1"/>
        <v>0</v>
      </c>
    </row>
    <row r="71" spans="2:7" ht="120" x14ac:dyDescent="0.2">
      <c r="B71" s="129"/>
      <c r="C71" s="197" t="s">
        <v>619</v>
      </c>
      <c r="D71" s="207" t="s">
        <v>123</v>
      </c>
      <c r="E71" s="199">
        <v>1</v>
      </c>
      <c r="F71" s="269">
        <v>0</v>
      </c>
      <c r="G71" s="270">
        <f t="shared" si="1"/>
        <v>0</v>
      </c>
    </row>
    <row r="72" spans="2:7" ht="36" x14ac:dyDescent="0.2">
      <c r="B72" s="129"/>
      <c r="C72" s="197" t="s">
        <v>758</v>
      </c>
      <c r="D72" s="207" t="s">
        <v>123</v>
      </c>
      <c r="E72" s="199">
        <v>40</v>
      </c>
      <c r="F72" s="269">
        <v>0</v>
      </c>
      <c r="G72" s="270">
        <f t="shared" si="1"/>
        <v>0</v>
      </c>
    </row>
    <row r="73" spans="2:7" ht="36" x14ac:dyDescent="0.2">
      <c r="B73" s="129"/>
      <c r="C73" s="197" t="s">
        <v>759</v>
      </c>
      <c r="D73" s="207" t="s">
        <v>123</v>
      </c>
      <c r="E73" s="199">
        <v>10</v>
      </c>
      <c r="F73" s="269">
        <v>0</v>
      </c>
      <c r="G73" s="270">
        <f t="shared" si="1"/>
        <v>0</v>
      </c>
    </row>
    <row r="74" spans="2:7" ht="36" x14ac:dyDescent="0.2">
      <c r="B74" s="129"/>
      <c r="C74" s="197" t="s">
        <v>760</v>
      </c>
      <c r="D74" s="207" t="s">
        <v>123</v>
      </c>
      <c r="E74" s="199">
        <v>2</v>
      </c>
      <c r="F74" s="269">
        <v>0</v>
      </c>
      <c r="G74" s="270">
        <f t="shared" si="1"/>
        <v>0</v>
      </c>
    </row>
    <row r="75" spans="2:7" ht="36" x14ac:dyDescent="0.2">
      <c r="B75" s="129"/>
      <c r="C75" s="197" t="s">
        <v>761</v>
      </c>
      <c r="D75" s="207" t="s">
        <v>123</v>
      </c>
      <c r="E75" s="199">
        <v>12</v>
      </c>
      <c r="F75" s="269">
        <v>0</v>
      </c>
      <c r="G75" s="270">
        <f t="shared" si="1"/>
        <v>0</v>
      </c>
    </row>
    <row r="76" spans="2:7" ht="36" x14ac:dyDescent="0.2">
      <c r="B76" s="129"/>
      <c r="C76" s="197" t="s">
        <v>762</v>
      </c>
      <c r="D76" s="207" t="s">
        <v>123</v>
      </c>
      <c r="E76" s="199">
        <v>1</v>
      </c>
      <c r="F76" s="269">
        <v>0</v>
      </c>
      <c r="G76" s="270">
        <f t="shared" si="1"/>
        <v>0</v>
      </c>
    </row>
    <row r="77" spans="2:7" ht="48" x14ac:dyDescent="0.2">
      <c r="B77" s="129"/>
      <c r="C77" s="197" t="s">
        <v>763</v>
      </c>
      <c r="D77" s="207" t="s">
        <v>123</v>
      </c>
      <c r="E77" s="199">
        <v>1</v>
      </c>
      <c r="F77" s="269">
        <v>0</v>
      </c>
      <c r="G77" s="270">
        <f t="shared" si="1"/>
        <v>0</v>
      </c>
    </row>
    <row r="78" spans="2:7" ht="60" x14ac:dyDescent="0.2">
      <c r="B78" s="129"/>
      <c r="C78" s="197" t="s">
        <v>764</v>
      </c>
      <c r="D78" s="207" t="s">
        <v>123</v>
      </c>
      <c r="E78" s="199">
        <v>3</v>
      </c>
      <c r="F78" s="269">
        <v>0</v>
      </c>
      <c r="G78" s="270">
        <f t="shared" si="1"/>
        <v>0</v>
      </c>
    </row>
    <row r="79" spans="2:7" ht="60" x14ac:dyDescent="0.2">
      <c r="B79" s="129"/>
      <c r="C79" s="197" t="s">
        <v>765</v>
      </c>
      <c r="D79" s="207" t="s">
        <v>123</v>
      </c>
      <c r="E79" s="199">
        <v>3</v>
      </c>
      <c r="F79" s="269">
        <v>0</v>
      </c>
      <c r="G79" s="270">
        <f t="shared" si="1"/>
        <v>0</v>
      </c>
    </row>
    <row r="80" spans="2:7" ht="60" x14ac:dyDescent="0.2">
      <c r="B80" s="129"/>
      <c r="C80" s="197" t="s">
        <v>766</v>
      </c>
      <c r="D80" s="207" t="s">
        <v>123</v>
      </c>
      <c r="E80" s="199">
        <v>3</v>
      </c>
      <c r="F80" s="269">
        <v>0</v>
      </c>
      <c r="G80" s="270">
        <f t="shared" si="1"/>
        <v>0</v>
      </c>
    </row>
    <row r="81" spans="2:8" ht="48" x14ac:dyDescent="0.2">
      <c r="B81" s="129"/>
      <c r="C81" s="197" t="s">
        <v>767</v>
      </c>
      <c r="D81" s="207" t="s">
        <v>98</v>
      </c>
      <c r="E81" s="199">
        <v>1</v>
      </c>
      <c r="F81" s="269">
        <v>0</v>
      </c>
      <c r="G81" s="270">
        <f t="shared" si="1"/>
        <v>0</v>
      </c>
    </row>
    <row r="82" spans="2:8" ht="72" x14ac:dyDescent="0.2">
      <c r="B82" s="129"/>
      <c r="C82" s="197" t="s">
        <v>768</v>
      </c>
      <c r="D82" s="207" t="s">
        <v>123</v>
      </c>
      <c r="E82" s="199">
        <v>1</v>
      </c>
      <c r="F82" s="269">
        <v>0</v>
      </c>
      <c r="G82" s="270">
        <f t="shared" si="1"/>
        <v>0</v>
      </c>
    </row>
    <row r="83" spans="2:8" ht="84" x14ac:dyDescent="0.2">
      <c r="B83" s="129"/>
      <c r="C83" s="197" t="s">
        <v>620</v>
      </c>
      <c r="D83" s="207" t="s">
        <v>123</v>
      </c>
      <c r="E83" s="199">
        <v>1</v>
      </c>
      <c r="F83" s="269">
        <v>0</v>
      </c>
      <c r="G83" s="270">
        <f t="shared" si="1"/>
        <v>0</v>
      </c>
    </row>
    <row r="84" spans="2:8" x14ac:dyDescent="0.2">
      <c r="B84" s="153">
        <v>2</v>
      </c>
      <c r="C84" s="357" t="s">
        <v>769</v>
      </c>
      <c r="D84" s="207"/>
      <c r="E84" s="199"/>
      <c r="F84" s="269"/>
      <c r="G84" s="270"/>
    </row>
    <row r="85" spans="2:8" s="121" customFormat="1" ht="387.75" customHeight="1" x14ac:dyDescent="0.2">
      <c r="B85" s="2743"/>
      <c r="C85" s="2744"/>
      <c r="D85" s="2745"/>
      <c r="E85" s="2746"/>
      <c r="F85" s="2747"/>
      <c r="G85" s="2736"/>
      <c r="H85" s="122"/>
    </row>
    <row r="86" spans="2:8" s="121" customFormat="1" ht="24.75" customHeight="1" x14ac:dyDescent="0.2">
      <c r="B86" s="2749"/>
      <c r="C86" s="2744" t="s">
        <v>2465</v>
      </c>
      <c r="D86" s="2748" t="s">
        <v>98</v>
      </c>
      <c r="E86" s="2746">
        <v>1</v>
      </c>
      <c r="F86" s="2747">
        <v>0</v>
      </c>
      <c r="G86" s="2736">
        <f t="shared" ref="G86" si="2">E86*F86</f>
        <v>0</v>
      </c>
      <c r="H86" s="122"/>
    </row>
    <row r="87" spans="2:8" ht="48" x14ac:dyDescent="0.2">
      <c r="B87" s="129"/>
      <c r="C87" s="197" t="s">
        <v>771</v>
      </c>
      <c r="D87" s="207" t="s">
        <v>123</v>
      </c>
      <c r="E87" s="199">
        <v>1</v>
      </c>
      <c r="F87" s="269">
        <v>0</v>
      </c>
      <c r="G87" s="270">
        <f t="shared" ref="G87:G94" si="3">E87*F87</f>
        <v>0</v>
      </c>
    </row>
    <row r="88" spans="2:8" ht="48" x14ac:dyDescent="0.2">
      <c r="B88" s="129"/>
      <c r="C88" s="197" t="s">
        <v>625</v>
      </c>
      <c r="D88" s="207" t="s">
        <v>123</v>
      </c>
      <c r="E88" s="199">
        <v>1</v>
      </c>
      <c r="F88" s="269">
        <v>0</v>
      </c>
      <c r="G88" s="270">
        <f t="shared" si="3"/>
        <v>0</v>
      </c>
    </row>
    <row r="89" spans="2:8" ht="60" x14ac:dyDescent="0.2">
      <c r="B89" s="129"/>
      <c r="C89" s="197" t="s">
        <v>772</v>
      </c>
      <c r="D89" s="207" t="s">
        <v>123</v>
      </c>
      <c r="E89" s="199">
        <v>1</v>
      </c>
      <c r="F89" s="269">
        <v>0</v>
      </c>
      <c r="G89" s="270">
        <f t="shared" si="3"/>
        <v>0</v>
      </c>
    </row>
    <row r="90" spans="2:8" ht="84" x14ac:dyDescent="0.2">
      <c r="B90" s="362"/>
      <c r="C90" s="311" t="s">
        <v>943</v>
      </c>
      <c r="D90" s="207" t="s">
        <v>123</v>
      </c>
      <c r="E90" s="199">
        <v>1</v>
      </c>
      <c r="F90" s="269">
        <v>0</v>
      </c>
      <c r="G90" s="270">
        <f t="shared" si="3"/>
        <v>0</v>
      </c>
    </row>
    <row r="91" spans="2:8" ht="228" x14ac:dyDescent="0.2">
      <c r="B91" s="153"/>
      <c r="C91" s="311" t="s">
        <v>773</v>
      </c>
      <c r="D91" s="207" t="s">
        <v>123</v>
      </c>
      <c r="E91" s="199">
        <v>1</v>
      </c>
      <c r="F91" s="269">
        <v>0</v>
      </c>
      <c r="G91" s="270">
        <f t="shared" si="3"/>
        <v>0</v>
      </c>
    </row>
    <row r="92" spans="2:8" ht="72" x14ac:dyDescent="0.2">
      <c r="B92" s="153"/>
      <c r="C92" s="311" t="s">
        <v>944</v>
      </c>
      <c r="D92" s="207" t="s">
        <v>98</v>
      </c>
      <c r="E92" s="199">
        <v>1</v>
      </c>
      <c r="F92" s="269">
        <v>0</v>
      </c>
      <c r="G92" s="270">
        <f t="shared" si="3"/>
        <v>0</v>
      </c>
    </row>
    <row r="93" spans="2:8" ht="48" x14ac:dyDescent="0.2">
      <c r="B93" s="129"/>
      <c r="C93" s="197" t="s">
        <v>603</v>
      </c>
      <c r="D93" s="207" t="s">
        <v>123</v>
      </c>
      <c r="E93" s="199">
        <v>1</v>
      </c>
      <c r="F93" s="269">
        <v>0</v>
      </c>
      <c r="G93" s="270">
        <f t="shared" si="3"/>
        <v>0</v>
      </c>
    </row>
    <row r="94" spans="2:8" ht="312" x14ac:dyDescent="0.2">
      <c r="B94" s="129"/>
      <c r="C94" s="197" t="s">
        <v>630</v>
      </c>
      <c r="D94" s="207" t="s">
        <v>98</v>
      </c>
      <c r="E94" s="199">
        <v>2</v>
      </c>
      <c r="F94" s="269">
        <v>0</v>
      </c>
      <c r="G94" s="270">
        <f t="shared" si="3"/>
        <v>0</v>
      </c>
    </row>
    <row r="95" spans="2:8" x14ac:dyDescent="0.2">
      <c r="B95" s="153">
        <v>3</v>
      </c>
      <c r="C95" s="357" t="s">
        <v>775</v>
      </c>
      <c r="D95" s="207"/>
      <c r="E95" s="199"/>
      <c r="F95" s="269"/>
      <c r="G95" s="270"/>
    </row>
    <row r="96" spans="2:8" ht="312" x14ac:dyDescent="0.2">
      <c r="B96" s="153"/>
      <c r="C96" s="311" t="s">
        <v>776</v>
      </c>
      <c r="D96" s="207" t="s">
        <v>98</v>
      </c>
      <c r="E96" s="199">
        <v>1</v>
      </c>
      <c r="F96" s="269">
        <v>0</v>
      </c>
      <c r="G96" s="270">
        <f t="shared" ref="G96" si="4">E96*F96</f>
        <v>0</v>
      </c>
    </row>
    <row r="97" spans="2:7" ht="72" x14ac:dyDescent="0.2">
      <c r="B97" s="129"/>
      <c r="C97" s="197" t="s">
        <v>777</v>
      </c>
      <c r="D97" s="207" t="s">
        <v>98</v>
      </c>
      <c r="E97" s="199">
        <v>1</v>
      </c>
      <c r="F97" s="269">
        <v>0</v>
      </c>
      <c r="G97" s="270">
        <f>E97*F97</f>
        <v>0</v>
      </c>
    </row>
    <row r="98" spans="2:7" ht="108" x14ac:dyDescent="0.2">
      <c r="B98" s="129"/>
      <c r="C98" s="197" t="s">
        <v>778</v>
      </c>
      <c r="D98" s="207" t="s">
        <v>98</v>
      </c>
      <c r="E98" s="199">
        <v>1</v>
      </c>
      <c r="F98" s="269">
        <v>0</v>
      </c>
      <c r="G98" s="270">
        <f>E98*F98</f>
        <v>0</v>
      </c>
    </row>
    <row r="99" spans="2:7" x14ac:dyDescent="0.2">
      <c r="B99" s="153">
        <v>4</v>
      </c>
      <c r="C99" s="357" t="s">
        <v>779</v>
      </c>
      <c r="D99" s="207"/>
      <c r="E99" s="199"/>
      <c r="F99" s="269"/>
      <c r="G99" s="270"/>
    </row>
    <row r="100" spans="2:7" ht="72" x14ac:dyDescent="0.2">
      <c r="B100" s="129"/>
      <c r="C100" s="197" t="s">
        <v>780</v>
      </c>
      <c r="D100" s="207" t="s">
        <v>98</v>
      </c>
      <c r="E100" s="199">
        <v>2</v>
      </c>
      <c r="F100" s="269">
        <v>0</v>
      </c>
      <c r="G100" s="270">
        <f>E100*F100</f>
        <v>0</v>
      </c>
    </row>
    <row r="101" spans="2:7" ht="60" x14ac:dyDescent="0.2">
      <c r="B101" s="153"/>
      <c r="C101" s="311" t="s">
        <v>781</v>
      </c>
      <c r="D101" s="207" t="s">
        <v>98</v>
      </c>
      <c r="E101" s="199">
        <v>2</v>
      </c>
      <c r="F101" s="269">
        <v>0</v>
      </c>
      <c r="G101" s="270">
        <f t="shared" ref="G101:G106" si="5">E101*F101</f>
        <v>0</v>
      </c>
    </row>
    <row r="102" spans="2:7" ht="72" x14ac:dyDescent="0.2">
      <c r="B102" s="153"/>
      <c r="C102" s="311" t="s">
        <v>945</v>
      </c>
      <c r="D102" s="207" t="s">
        <v>98</v>
      </c>
      <c r="E102" s="199">
        <v>2</v>
      </c>
      <c r="F102" s="269">
        <v>0</v>
      </c>
      <c r="G102" s="270">
        <f t="shared" si="5"/>
        <v>0</v>
      </c>
    </row>
    <row r="103" spans="2:7" ht="84" x14ac:dyDescent="0.2">
      <c r="B103" s="129"/>
      <c r="C103" s="197" t="s">
        <v>533</v>
      </c>
      <c r="D103" s="207" t="s">
        <v>123</v>
      </c>
      <c r="E103" s="199">
        <v>2</v>
      </c>
      <c r="F103" s="269">
        <v>0</v>
      </c>
      <c r="G103" s="270">
        <f t="shared" si="5"/>
        <v>0</v>
      </c>
    </row>
    <row r="104" spans="2:7" ht="36" x14ac:dyDescent="0.2">
      <c r="B104" s="153"/>
      <c r="C104" s="311" t="s">
        <v>782</v>
      </c>
      <c r="D104" s="207" t="s">
        <v>123</v>
      </c>
      <c r="E104" s="199">
        <v>1</v>
      </c>
      <c r="F104" s="269">
        <v>0</v>
      </c>
      <c r="G104" s="270">
        <f t="shared" si="5"/>
        <v>0</v>
      </c>
    </row>
    <row r="105" spans="2:7" ht="132" x14ac:dyDescent="0.2">
      <c r="B105" s="153"/>
      <c r="C105" s="311" t="s">
        <v>508</v>
      </c>
      <c r="D105" s="207" t="s">
        <v>123</v>
      </c>
      <c r="E105" s="199">
        <v>1</v>
      </c>
      <c r="F105" s="269">
        <v>0</v>
      </c>
      <c r="G105" s="270">
        <f t="shared" si="5"/>
        <v>0</v>
      </c>
    </row>
    <row r="106" spans="2:7" ht="120" x14ac:dyDescent="0.2">
      <c r="B106" s="129"/>
      <c r="C106" s="197" t="s">
        <v>783</v>
      </c>
      <c r="D106" s="207" t="s">
        <v>123</v>
      </c>
      <c r="E106" s="199">
        <v>1</v>
      </c>
      <c r="F106" s="269">
        <v>0</v>
      </c>
      <c r="G106" s="270">
        <f t="shared" si="5"/>
        <v>0</v>
      </c>
    </row>
    <row r="107" spans="2:7" x14ac:dyDescent="0.2">
      <c r="B107" s="153">
        <v>5</v>
      </c>
      <c r="C107" s="357" t="s">
        <v>784</v>
      </c>
      <c r="D107" s="207"/>
      <c r="E107" s="199"/>
      <c r="F107" s="269"/>
      <c r="G107" s="270"/>
    </row>
    <row r="108" spans="2:7" x14ac:dyDescent="0.2">
      <c r="B108" s="153"/>
      <c r="C108" s="311" t="s">
        <v>643</v>
      </c>
      <c r="D108" s="207" t="s">
        <v>644</v>
      </c>
      <c r="E108" s="199">
        <v>20</v>
      </c>
      <c r="F108" s="269">
        <v>0</v>
      </c>
      <c r="G108" s="270">
        <f t="shared" ref="G108" si="6">E108*F108</f>
        <v>0</v>
      </c>
    </row>
    <row r="109" spans="2:7" x14ac:dyDescent="0.2">
      <c r="B109" s="153"/>
      <c r="C109" s="311" t="s">
        <v>645</v>
      </c>
      <c r="D109" s="207" t="s">
        <v>644</v>
      </c>
      <c r="E109" s="199">
        <v>30</v>
      </c>
      <c r="F109" s="269">
        <v>0</v>
      </c>
      <c r="G109" s="270">
        <f t="shared" ref="G109:G116" si="7">E109*F109</f>
        <v>0</v>
      </c>
    </row>
    <row r="110" spans="2:7" x14ac:dyDescent="0.2">
      <c r="B110" s="153"/>
      <c r="C110" s="311" t="s">
        <v>646</v>
      </c>
      <c r="D110" s="207" t="s">
        <v>644</v>
      </c>
      <c r="E110" s="199">
        <v>100</v>
      </c>
      <c r="F110" s="269">
        <v>0</v>
      </c>
      <c r="G110" s="270">
        <f t="shared" si="7"/>
        <v>0</v>
      </c>
    </row>
    <row r="111" spans="2:7" x14ac:dyDescent="0.2">
      <c r="B111" s="153"/>
      <c r="C111" s="311" t="s">
        <v>647</v>
      </c>
      <c r="D111" s="207" t="s">
        <v>644</v>
      </c>
      <c r="E111" s="199">
        <v>50</v>
      </c>
      <c r="F111" s="269">
        <v>0</v>
      </c>
      <c r="G111" s="270">
        <f t="shared" si="7"/>
        <v>0</v>
      </c>
    </row>
    <row r="112" spans="2:7" x14ac:dyDescent="0.2">
      <c r="B112" s="153"/>
      <c r="C112" s="311" t="s">
        <v>648</v>
      </c>
      <c r="D112" s="207" t="s">
        <v>644</v>
      </c>
      <c r="E112" s="199">
        <v>30</v>
      </c>
      <c r="F112" s="269">
        <v>0</v>
      </c>
      <c r="G112" s="270">
        <f t="shared" si="7"/>
        <v>0</v>
      </c>
    </row>
    <row r="113" spans="2:8" x14ac:dyDescent="0.2">
      <c r="B113" s="153"/>
      <c r="C113" s="311" t="s">
        <v>650</v>
      </c>
      <c r="D113" s="207" t="s">
        <v>123</v>
      </c>
      <c r="E113" s="199">
        <v>2</v>
      </c>
      <c r="F113" s="269">
        <v>0</v>
      </c>
      <c r="G113" s="270">
        <f t="shared" si="7"/>
        <v>0</v>
      </c>
    </row>
    <row r="114" spans="2:8" x14ac:dyDescent="0.2">
      <c r="B114" s="153"/>
      <c r="C114" s="311" t="s">
        <v>651</v>
      </c>
      <c r="D114" s="207" t="s">
        <v>644</v>
      </c>
      <c r="E114" s="199">
        <v>50</v>
      </c>
      <c r="F114" s="269">
        <v>0</v>
      </c>
      <c r="G114" s="270">
        <f t="shared" si="7"/>
        <v>0</v>
      </c>
      <c r="H114" s="122"/>
    </row>
    <row r="115" spans="2:8" x14ac:dyDescent="0.2">
      <c r="B115" s="153"/>
      <c r="C115" s="311" t="s">
        <v>652</v>
      </c>
      <c r="D115" s="207" t="s">
        <v>644</v>
      </c>
      <c r="E115" s="199">
        <v>30</v>
      </c>
      <c r="F115" s="269">
        <v>0</v>
      </c>
      <c r="G115" s="270">
        <f t="shared" si="7"/>
        <v>0</v>
      </c>
      <c r="H115" s="122"/>
    </row>
    <row r="116" spans="2:8" x14ac:dyDescent="0.2">
      <c r="B116" s="153"/>
      <c r="C116" s="311" t="s">
        <v>632</v>
      </c>
      <c r="D116" s="207" t="s">
        <v>98</v>
      </c>
      <c r="E116" s="199">
        <v>1</v>
      </c>
      <c r="F116" s="269">
        <v>0</v>
      </c>
      <c r="G116" s="270">
        <f t="shared" si="7"/>
        <v>0</v>
      </c>
      <c r="H116" s="122"/>
    </row>
    <row r="117" spans="2:8" s="11" customFormat="1" x14ac:dyDescent="0.2">
      <c r="B117" s="153">
        <v>6</v>
      </c>
      <c r="C117" s="357" t="s">
        <v>785</v>
      </c>
      <c r="D117" s="15"/>
      <c r="E117" s="419"/>
      <c r="F117" s="14"/>
      <c r="G117" s="13"/>
      <c r="H117" s="12"/>
    </row>
    <row r="118" spans="2:8" s="11" customFormat="1" ht="36" x14ac:dyDescent="0.2">
      <c r="B118" s="153"/>
      <c r="C118" s="311" t="s">
        <v>666</v>
      </c>
      <c r="D118" s="207" t="s">
        <v>644</v>
      </c>
      <c r="E118" s="199">
        <v>20</v>
      </c>
      <c r="F118" s="269">
        <v>0</v>
      </c>
      <c r="G118" s="270">
        <f t="shared" ref="G118" si="8">E118*F118</f>
        <v>0</v>
      </c>
      <c r="H118" s="12"/>
    </row>
    <row r="119" spans="2:8" s="11" customFormat="1" x14ac:dyDescent="0.2">
      <c r="B119" s="153"/>
      <c r="C119" s="311" t="s">
        <v>667</v>
      </c>
      <c r="D119" s="207" t="s">
        <v>644</v>
      </c>
      <c r="E119" s="199">
        <v>50</v>
      </c>
      <c r="F119" s="269">
        <v>0</v>
      </c>
      <c r="G119" s="270">
        <f t="shared" ref="G119:G125" si="9">E119*F119</f>
        <v>0</v>
      </c>
      <c r="H119" s="12"/>
    </row>
    <row r="120" spans="2:8" s="11" customFormat="1" x14ac:dyDescent="0.2">
      <c r="B120" s="153"/>
      <c r="C120" s="311" t="s">
        <v>668</v>
      </c>
      <c r="D120" s="207" t="s">
        <v>644</v>
      </c>
      <c r="E120" s="199">
        <v>20</v>
      </c>
      <c r="F120" s="269">
        <v>0</v>
      </c>
      <c r="G120" s="270">
        <f t="shared" si="9"/>
        <v>0</v>
      </c>
      <c r="H120" s="12"/>
    </row>
    <row r="121" spans="2:8" s="11" customFormat="1" ht="24" x14ac:dyDescent="0.2">
      <c r="B121" s="153"/>
      <c r="C121" s="311" t="s">
        <v>673</v>
      </c>
      <c r="D121" s="207" t="s">
        <v>123</v>
      </c>
      <c r="E121" s="199">
        <v>2</v>
      </c>
      <c r="F121" s="269">
        <v>0</v>
      </c>
      <c r="G121" s="270">
        <f t="shared" si="9"/>
        <v>0</v>
      </c>
      <c r="H121" s="12"/>
    </row>
    <row r="122" spans="2:8" s="11" customFormat="1" x14ac:dyDescent="0.2">
      <c r="B122" s="153"/>
      <c r="C122" s="311" t="s">
        <v>787</v>
      </c>
      <c r="D122" s="207" t="s">
        <v>123</v>
      </c>
      <c r="E122" s="199">
        <v>1</v>
      </c>
      <c r="F122" s="269">
        <v>0</v>
      </c>
      <c r="G122" s="270">
        <f t="shared" si="9"/>
        <v>0</v>
      </c>
      <c r="H122" s="12"/>
    </row>
    <row r="123" spans="2:8" s="11" customFormat="1" x14ac:dyDescent="0.2">
      <c r="B123" s="153"/>
      <c r="C123" s="311" t="s">
        <v>675</v>
      </c>
      <c r="D123" s="207" t="s">
        <v>123</v>
      </c>
      <c r="E123" s="199">
        <v>3</v>
      </c>
      <c r="F123" s="269">
        <v>0</v>
      </c>
      <c r="G123" s="270">
        <f t="shared" si="9"/>
        <v>0</v>
      </c>
      <c r="H123" s="12"/>
    </row>
    <row r="124" spans="2:8" s="11" customFormat="1" x14ac:dyDescent="0.2">
      <c r="B124" s="153"/>
      <c r="C124" s="311" t="s">
        <v>676</v>
      </c>
      <c r="D124" s="207" t="s">
        <v>123</v>
      </c>
      <c r="E124" s="199">
        <v>2</v>
      </c>
      <c r="F124" s="269">
        <v>0</v>
      </c>
      <c r="G124" s="270">
        <f t="shared" si="9"/>
        <v>0</v>
      </c>
      <c r="H124" s="12"/>
    </row>
    <row r="125" spans="2:8" s="11" customFormat="1" ht="24" x14ac:dyDescent="0.2">
      <c r="B125" s="153"/>
      <c r="C125" s="311" t="s">
        <v>677</v>
      </c>
      <c r="D125" s="207" t="s">
        <v>123</v>
      </c>
      <c r="E125" s="199">
        <v>1</v>
      </c>
      <c r="F125" s="269">
        <v>0</v>
      </c>
      <c r="G125" s="270">
        <f t="shared" si="9"/>
        <v>0</v>
      </c>
      <c r="H125" s="12"/>
    </row>
    <row r="126" spans="2:8" x14ac:dyDescent="0.2">
      <c r="B126" s="153">
        <v>7</v>
      </c>
      <c r="C126" s="357" t="s">
        <v>788</v>
      </c>
      <c r="D126" s="207"/>
      <c r="E126" s="199"/>
      <c r="F126" s="269"/>
      <c r="G126" s="270"/>
      <c r="H126" s="122"/>
    </row>
    <row r="127" spans="2:8" x14ac:dyDescent="0.2">
      <c r="B127" s="153"/>
      <c r="C127" s="197" t="s">
        <v>655</v>
      </c>
      <c r="D127" s="207" t="s">
        <v>644</v>
      </c>
      <c r="E127" s="199">
        <v>40</v>
      </c>
      <c r="F127" s="269">
        <v>0</v>
      </c>
      <c r="G127" s="270">
        <f t="shared" ref="G127" si="10">E127*F127</f>
        <v>0</v>
      </c>
      <c r="H127" s="122"/>
    </row>
    <row r="128" spans="2:8" ht="36" x14ac:dyDescent="0.2">
      <c r="B128" s="153"/>
      <c r="C128" s="197" t="s">
        <v>656</v>
      </c>
      <c r="D128" s="207" t="s">
        <v>98</v>
      </c>
      <c r="E128" s="199">
        <v>2</v>
      </c>
      <c r="F128" s="269">
        <v>0</v>
      </c>
      <c r="G128" s="270">
        <f>E128*F128</f>
        <v>0</v>
      </c>
      <c r="H128" s="122"/>
    </row>
    <row r="129" spans="2:8" ht="36" x14ac:dyDescent="0.2">
      <c r="B129" s="153"/>
      <c r="C129" s="197" t="s">
        <v>657</v>
      </c>
      <c r="D129" s="207" t="s">
        <v>98</v>
      </c>
      <c r="E129" s="199">
        <v>1</v>
      </c>
      <c r="F129" s="269">
        <v>0</v>
      </c>
      <c r="G129" s="270">
        <f>E129*F129</f>
        <v>0</v>
      </c>
      <c r="H129" s="122"/>
    </row>
    <row r="130" spans="2:8" x14ac:dyDescent="0.2">
      <c r="B130" s="129"/>
      <c r="C130" s="197" t="s">
        <v>663</v>
      </c>
      <c r="D130" s="207" t="s">
        <v>98</v>
      </c>
      <c r="E130" s="199">
        <v>1</v>
      </c>
      <c r="F130" s="269">
        <v>0</v>
      </c>
      <c r="G130" s="270">
        <f>E130*F130</f>
        <v>0</v>
      </c>
      <c r="H130" s="122"/>
    </row>
    <row r="131" spans="2:8" x14ac:dyDescent="0.2">
      <c r="B131" s="153">
        <v>8</v>
      </c>
      <c r="C131" s="357" t="s">
        <v>679</v>
      </c>
      <c r="D131" s="207"/>
      <c r="E131" s="199"/>
      <c r="F131" s="269"/>
      <c r="G131" s="270"/>
      <c r="H131" s="122"/>
    </row>
    <row r="132" spans="2:8" ht="60" x14ac:dyDescent="0.2">
      <c r="B132" s="153"/>
      <c r="C132" s="311" t="s">
        <v>789</v>
      </c>
      <c r="D132" s="207" t="s">
        <v>98</v>
      </c>
      <c r="E132" s="199">
        <v>1</v>
      </c>
      <c r="F132" s="269">
        <v>0</v>
      </c>
      <c r="G132" s="270">
        <f>E132*F132</f>
        <v>0</v>
      </c>
      <c r="H132" s="122"/>
    </row>
    <row r="133" spans="2:8" ht="36" x14ac:dyDescent="0.2">
      <c r="B133" s="129"/>
      <c r="C133" s="197" t="s">
        <v>790</v>
      </c>
      <c r="D133" s="207" t="s">
        <v>98</v>
      </c>
      <c r="E133" s="199">
        <v>1</v>
      </c>
      <c r="F133" s="269">
        <v>0</v>
      </c>
      <c r="G133" s="270">
        <f>E133*F133</f>
        <v>0</v>
      </c>
      <c r="H133" s="122"/>
    </row>
    <row r="134" spans="2:8" ht="48" x14ac:dyDescent="0.2">
      <c r="B134" s="153"/>
      <c r="C134" s="311" t="s">
        <v>791</v>
      </c>
      <c r="D134" s="207" t="s">
        <v>98</v>
      </c>
      <c r="E134" s="199">
        <v>1</v>
      </c>
      <c r="F134" s="269">
        <v>0</v>
      </c>
      <c r="G134" s="270">
        <f>E134*F134</f>
        <v>0</v>
      </c>
      <c r="H134" s="122"/>
    </row>
    <row r="135" spans="2:8" ht="48" x14ac:dyDescent="0.2">
      <c r="B135" s="153"/>
      <c r="C135" s="311" t="s">
        <v>792</v>
      </c>
      <c r="D135" s="207" t="s">
        <v>98</v>
      </c>
      <c r="E135" s="199">
        <v>1</v>
      </c>
      <c r="F135" s="269">
        <v>0</v>
      </c>
      <c r="G135" s="270">
        <f>E135*F135</f>
        <v>0</v>
      </c>
      <c r="H135" s="122"/>
    </row>
    <row r="136" spans="2:8" s="121" customFormat="1" ht="15.75" customHeight="1" x14ac:dyDescent="0.2">
      <c r="B136" s="153"/>
      <c r="C136" s="311" t="s">
        <v>1042</v>
      </c>
      <c r="D136" s="207"/>
      <c r="E136" s="199"/>
      <c r="F136" s="269"/>
      <c r="G136" s="270"/>
      <c r="H136" s="122"/>
    </row>
    <row r="137" spans="2:8" x14ac:dyDescent="0.2">
      <c r="B137" s="153">
        <v>1</v>
      </c>
      <c r="C137" s="357" t="s">
        <v>550</v>
      </c>
      <c r="D137" s="207"/>
      <c r="E137" s="199"/>
      <c r="F137" s="269"/>
      <c r="G137" s="270"/>
      <c r="H137" s="122"/>
    </row>
    <row r="138" spans="2:8" ht="132" x14ac:dyDescent="0.2">
      <c r="B138" s="153"/>
      <c r="C138" s="311" t="s">
        <v>815</v>
      </c>
      <c r="D138" s="10" t="s">
        <v>98</v>
      </c>
      <c r="E138" s="199">
        <v>1</v>
      </c>
      <c r="F138" s="269">
        <v>0</v>
      </c>
      <c r="G138" s="270">
        <f>E138*F138</f>
        <v>0</v>
      </c>
      <c r="H138" s="122"/>
    </row>
    <row r="139" spans="2:8" ht="72" x14ac:dyDescent="0.2">
      <c r="B139" s="153"/>
      <c r="C139" s="311" t="s">
        <v>751</v>
      </c>
      <c r="D139" s="10" t="s">
        <v>123</v>
      </c>
      <c r="E139" s="199">
        <v>1</v>
      </c>
      <c r="F139" s="269">
        <v>0</v>
      </c>
      <c r="G139" s="270">
        <f t="shared" ref="G139:G158" si="11">E139*F139</f>
        <v>0</v>
      </c>
      <c r="H139" s="122"/>
    </row>
    <row r="140" spans="2:8" ht="72" x14ac:dyDescent="0.2">
      <c r="B140" s="153"/>
      <c r="C140" s="311" t="s">
        <v>752</v>
      </c>
      <c r="D140" s="10" t="s">
        <v>123</v>
      </c>
      <c r="E140" s="199">
        <v>1</v>
      </c>
      <c r="F140" s="269">
        <v>0</v>
      </c>
      <c r="G140" s="270">
        <f t="shared" si="11"/>
        <v>0</v>
      </c>
      <c r="H140" s="122"/>
    </row>
    <row r="141" spans="2:8" ht="72" x14ac:dyDescent="0.2">
      <c r="B141" s="153"/>
      <c r="C141" s="311" t="s">
        <v>753</v>
      </c>
      <c r="D141" s="10" t="s">
        <v>123</v>
      </c>
      <c r="E141" s="199">
        <v>2</v>
      </c>
      <c r="F141" s="269">
        <v>0</v>
      </c>
      <c r="G141" s="270">
        <f t="shared" si="11"/>
        <v>0</v>
      </c>
      <c r="H141" s="122"/>
    </row>
    <row r="142" spans="2:8" ht="72" x14ac:dyDescent="0.2">
      <c r="B142" s="153"/>
      <c r="C142" s="311" t="s">
        <v>754</v>
      </c>
      <c r="D142" s="10" t="s">
        <v>123</v>
      </c>
      <c r="E142" s="199">
        <v>1</v>
      </c>
      <c r="F142" s="269">
        <v>0</v>
      </c>
      <c r="G142" s="270">
        <f t="shared" si="11"/>
        <v>0</v>
      </c>
      <c r="H142" s="122"/>
    </row>
    <row r="143" spans="2:8" ht="60" x14ac:dyDescent="0.2">
      <c r="B143" s="153"/>
      <c r="C143" s="311" t="s">
        <v>755</v>
      </c>
      <c r="D143" s="10" t="s">
        <v>123</v>
      </c>
      <c r="E143" s="199">
        <v>1</v>
      </c>
      <c r="F143" s="269">
        <v>0</v>
      </c>
      <c r="G143" s="270">
        <f t="shared" si="11"/>
        <v>0</v>
      </c>
      <c r="H143" s="122"/>
    </row>
    <row r="144" spans="2:8" ht="84" x14ac:dyDescent="0.2">
      <c r="B144" s="153"/>
      <c r="C144" s="311" t="s">
        <v>756</v>
      </c>
      <c r="D144" s="10" t="s">
        <v>98</v>
      </c>
      <c r="E144" s="199">
        <v>1</v>
      </c>
      <c r="F144" s="269">
        <v>0</v>
      </c>
      <c r="G144" s="270">
        <f t="shared" si="11"/>
        <v>0</v>
      </c>
      <c r="H144" s="122"/>
    </row>
    <row r="145" spans="2:8" ht="60" x14ac:dyDescent="0.2">
      <c r="B145" s="153"/>
      <c r="C145" s="311" t="s">
        <v>757</v>
      </c>
      <c r="D145" s="10" t="s">
        <v>123</v>
      </c>
      <c r="E145" s="199">
        <v>1</v>
      </c>
      <c r="F145" s="269">
        <v>0</v>
      </c>
      <c r="G145" s="270">
        <f t="shared" si="11"/>
        <v>0</v>
      </c>
      <c r="H145" s="122"/>
    </row>
    <row r="146" spans="2:8" ht="120" x14ac:dyDescent="0.2">
      <c r="B146" s="153"/>
      <c r="C146" s="311" t="s">
        <v>619</v>
      </c>
      <c r="D146" s="10" t="s">
        <v>123</v>
      </c>
      <c r="E146" s="199">
        <v>1</v>
      </c>
      <c r="F146" s="269">
        <v>0</v>
      </c>
      <c r="G146" s="270">
        <f t="shared" si="11"/>
        <v>0</v>
      </c>
    </row>
    <row r="147" spans="2:8" ht="36" x14ac:dyDescent="0.2">
      <c r="B147" s="153"/>
      <c r="C147" s="311" t="s">
        <v>758</v>
      </c>
      <c r="D147" s="10" t="s">
        <v>123</v>
      </c>
      <c r="E147" s="199">
        <v>40</v>
      </c>
      <c r="F147" s="269">
        <v>0</v>
      </c>
      <c r="G147" s="270">
        <f t="shared" si="11"/>
        <v>0</v>
      </c>
    </row>
    <row r="148" spans="2:8" ht="36" x14ac:dyDescent="0.2">
      <c r="B148" s="153"/>
      <c r="C148" s="311" t="s">
        <v>759</v>
      </c>
      <c r="D148" s="10" t="s">
        <v>123</v>
      </c>
      <c r="E148" s="199">
        <v>10</v>
      </c>
      <c r="F148" s="269">
        <v>0</v>
      </c>
      <c r="G148" s="270">
        <f t="shared" si="11"/>
        <v>0</v>
      </c>
    </row>
    <row r="149" spans="2:8" ht="36" x14ac:dyDescent="0.2">
      <c r="B149" s="153"/>
      <c r="C149" s="311" t="s">
        <v>760</v>
      </c>
      <c r="D149" s="10" t="s">
        <v>123</v>
      </c>
      <c r="E149" s="199">
        <v>2</v>
      </c>
      <c r="F149" s="269">
        <v>0</v>
      </c>
      <c r="G149" s="270">
        <f t="shared" si="11"/>
        <v>0</v>
      </c>
    </row>
    <row r="150" spans="2:8" ht="36" x14ac:dyDescent="0.2">
      <c r="B150" s="153"/>
      <c r="C150" s="311" t="s">
        <v>761</v>
      </c>
      <c r="D150" s="10" t="s">
        <v>123</v>
      </c>
      <c r="E150" s="199">
        <v>10</v>
      </c>
      <c r="F150" s="269">
        <v>0</v>
      </c>
      <c r="G150" s="270">
        <f t="shared" si="11"/>
        <v>0</v>
      </c>
    </row>
    <row r="151" spans="2:8" ht="36" x14ac:dyDescent="0.2">
      <c r="B151" s="153"/>
      <c r="C151" s="311" t="s">
        <v>762</v>
      </c>
      <c r="D151" s="10" t="s">
        <v>123</v>
      </c>
      <c r="E151" s="199">
        <v>1</v>
      </c>
      <c r="F151" s="269">
        <v>0</v>
      </c>
      <c r="G151" s="270">
        <f t="shared" si="11"/>
        <v>0</v>
      </c>
    </row>
    <row r="152" spans="2:8" ht="48" x14ac:dyDescent="0.2">
      <c r="B152" s="153"/>
      <c r="C152" s="311" t="s">
        <v>763</v>
      </c>
      <c r="D152" s="10" t="s">
        <v>123</v>
      </c>
      <c r="E152" s="199">
        <v>1</v>
      </c>
      <c r="F152" s="269">
        <v>0</v>
      </c>
      <c r="G152" s="270">
        <f t="shared" si="11"/>
        <v>0</v>
      </c>
    </row>
    <row r="153" spans="2:8" ht="60" x14ac:dyDescent="0.2">
      <c r="B153" s="153"/>
      <c r="C153" s="311" t="s">
        <v>764</v>
      </c>
      <c r="D153" s="10" t="s">
        <v>123</v>
      </c>
      <c r="E153" s="199">
        <v>3</v>
      </c>
      <c r="F153" s="269">
        <v>0</v>
      </c>
      <c r="G153" s="270">
        <f t="shared" si="11"/>
        <v>0</v>
      </c>
    </row>
    <row r="154" spans="2:8" ht="60" x14ac:dyDescent="0.2">
      <c r="B154" s="153"/>
      <c r="C154" s="311" t="s">
        <v>765</v>
      </c>
      <c r="D154" s="10" t="s">
        <v>123</v>
      </c>
      <c r="E154" s="199">
        <v>3</v>
      </c>
      <c r="F154" s="269">
        <v>0</v>
      </c>
      <c r="G154" s="270">
        <f t="shared" si="11"/>
        <v>0</v>
      </c>
    </row>
    <row r="155" spans="2:8" ht="60" x14ac:dyDescent="0.2">
      <c r="B155" s="153"/>
      <c r="C155" s="311" t="s">
        <v>766</v>
      </c>
      <c r="D155" s="10" t="s">
        <v>123</v>
      </c>
      <c r="E155" s="199">
        <v>3</v>
      </c>
      <c r="F155" s="269">
        <v>0</v>
      </c>
      <c r="G155" s="270">
        <f t="shared" si="11"/>
        <v>0</v>
      </c>
    </row>
    <row r="156" spans="2:8" ht="48" x14ac:dyDescent="0.2">
      <c r="B156" s="153"/>
      <c r="C156" s="311" t="s">
        <v>767</v>
      </c>
      <c r="D156" s="10" t="s">
        <v>98</v>
      </c>
      <c r="E156" s="199">
        <v>1</v>
      </c>
      <c r="F156" s="269">
        <v>0</v>
      </c>
      <c r="G156" s="270">
        <f t="shared" si="11"/>
        <v>0</v>
      </c>
    </row>
    <row r="157" spans="2:8" ht="72" x14ac:dyDescent="0.2">
      <c r="B157" s="153"/>
      <c r="C157" s="311" t="s">
        <v>768</v>
      </c>
      <c r="D157" s="10" t="s">
        <v>123</v>
      </c>
      <c r="E157" s="199">
        <v>1</v>
      </c>
      <c r="F157" s="269">
        <v>0</v>
      </c>
      <c r="G157" s="270">
        <f t="shared" si="11"/>
        <v>0</v>
      </c>
    </row>
    <row r="158" spans="2:8" ht="84" x14ac:dyDescent="0.2">
      <c r="B158" s="153"/>
      <c r="C158" s="311" t="s">
        <v>620</v>
      </c>
      <c r="D158" s="10" t="s">
        <v>123</v>
      </c>
      <c r="E158" s="199">
        <v>1</v>
      </c>
      <c r="F158" s="269">
        <v>0</v>
      </c>
      <c r="G158" s="270">
        <f t="shared" si="11"/>
        <v>0</v>
      </c>
    </row>
    <row r="159" spans="2:8" x14ac:dyDescent="0.2">
      <c r="B159" s="153">
        <v>2</v>
      </c>
      <c r="C159" s="357" t="s">
        <v>769</v>
      </c>
      <c r="D159" s="207"/>
      <c r="E159" s="199"/>
      <c r="F159" s="269"/>
      <c r="G159" s="270"/>
    </row>
    <row r="160" spans="2:8" ht="72" x14ac:dyDescent="0.2">
      <c r="B160" s="153"/>
      <c r="C160" s="311" t="s">
        <v>770</v>
      </c>
      <c r="D160" s="207" t="s">
        <v>98</v>
      </c>
      <c r="E160" s="199">
        <v>1</v>
      </c>
      <c r="F160" s="269">
        <v>0</v>
      </c>
      <c r="G160" s="270">
        <f t="shared" ref="G160:G168" si="12">E160*F160</f>
        <v>0</v>
      </c>
    </row>
    <row r="161" spans="2:7" ht="48" x14ac:dyDescent="0.2">
      <c r="B161" s="153"/>
      <c r="C161" s="311" t="s">
        <v>771</v>
      </c>
      <c r="D161" s="207" t="s">
        <v>123</v>
      </c>
      <c r="E161" s="199">
        <v>1</v>
      </c>
      <c r="F161" s="269">
        <v>0</v>
      </c>
      <c r="G161" s="270">
        <f t="shared" si="12"/>
        <v>0</v>
      </c>
    </row>
    <row r="162" spans="2:7" ht="48" x14ac:dyDescent="0.2">
      <c r="B162" s="153"/>
      <c r="C162" s="311" t="s">
        <v>625</v>
      </c>
      <c r="D162" s="207" t="s">
        <v>123</v>
      </c>
      <c r="E162" s="199">
        <v>1</v>
      </c>
      <c r="F162" s="269">
        <v>0</v>
      </c>
      <c r="G162" s="270">
        <f t="shared" si="12"/>
        <v>0</v>
      </c>
    </row>
    <row r="163" spans="2:7" ht="60" x14ac:dyDescent="0.2">
      <c r="B163" s="153"/>
      <c r="C163" s="311" t="s">
        <v>772</v>
      </c>
      <c r="D163" s="207" t="s">
        <v>123</v>
      </c>
      <c r="E163" s="199">
        <v>1</v>
      </c>
      <c r="F163" s="269">
        <v>0</v>
      </c>
      <c r="G163" s="270">
        <f t="shared" si="12"/>
        <v>0</v>
      </c>
    </row>
    <row r="164" spans="2:7" ht="84" x14ac:dyDescent="0.2">
      <c r="B164" s="153"/>
      <c r="C164" s="311" t="s">
        <v>943</v>
      </c>
      <c r="D164" s="207" t="s">
        <v>123</v>
      </c>
      <c r="E164" s="199">
        <v>1</v>
      </c>
      <c r="F164" s="269">
        <v>0</v>
      </c>
      <c r="G164" s="270">
        <f t="shared" si="12"/>
        <v>0</v>
      </c>
    </row>
    <row r="165" spans="2:7" ht="228" x14ac:dyDescent="0.2">
      <c r="B165" s="153"/>
      <c r="C165" s="311" t="s">
        <v>773</v>
      </c>
      <c r="D165" s="207" t="s">
        <v>123</v>
      </c>
      <c r="E165" s="199">
        <v>1</v>
      </c>
      <c r="F165" s="269">
        <v>0</v>
      </c>
      <c r="G165" s="270">
        <f t="shared" si="12"/>
        <v>0</v>
      </c>
    </row>
    <row r="166" spans="2:7" ht="72" x14ac:dyDescent="0.2">
      <c r="B166" s="153"/>
      <c r="C166" s="311" t="s">
        <v>944</v>
      </c>
      <c r="D166" s="207" t="s">
        <v>98</v>
      </c>
      <c r="E166" s="199">
        <v>1</v>
      </c>
      <c r="F166" s="269">
        <v>0</v>
      </c>
      <c r="G166" s="270">
        <f t="shared" si="12"/>
        <v>0</v>
      </c>
    </row>
    <row r="167" spans="2:7" ht="48" x14ac:dyDescent="0.2">
      <c r="B167" s="153"/>
      <c r="C167" s="311" t="s">
        <v>603</v>
      </c>
      <c r="D167" s="207" t="s">
        <v>123</v>
      </c>
      <c r="E167" s="199">
        <v>1</v>
      </c>
      <c r="F167" s="269">
        <v>0</v>
      </c>
      <c r="G167" s="270">
        <f t="shared" si="12"/>
        <v>0</v>
      </c>
    </row>
    <row r="168" spans="2:7" ht="312" x14ac:dyDescent="0.2">
      <c r="B168" s="153"/>
      <c r="C168" s="311" t="s">
        <v>630</v>
      </c>
      <c r="D168" s="207" t="s">
        <v>98</v>
      </c>
      <c r="E168" s="199">
        <v>2</v>
      </c>
      <c r="F168" s="269">
        <v>0</v>
      </c>
      <c r="G168" s="270">
        <f t="shared" si="12"/>
        <v>0</v>
      </c>
    </row>
    <row r="169" spans="2:7" x14ac:dyDescent="0.2">
      <c r="B169" s="153">
        <v>3</v>
      </c>
      <c r="C169" s="357" t="s">
        <v>775</v>
      </c>
      <c r="D169" s="207"/>
      <c r="E169" s="199"/>
      <c r="F169" s="269"/>
      <c r="G169" s="270"/>
    </row>
    <row r="170" spans="2:7" ht="312" x14ac:dyDescent="0.2">
      <c r="B170" s="153"/>
      <c r="C170" s="311" t="s">
        <v>776</v>
      </c>
      <c r="D170" s="207" t="s">
        <v>98</v>
      </c>
      <c r="E170" s="199">
        <v>1</v>
      </c>
      <c r="F170" s="269">
        <v>0</v>
      </c>
      <c r="G170" s="270">
        <f>E170*F170</f>
        <v>0</v>
      </c>
    </row>
    <row r="171" spans="2:7" ht="72" x14ac:dyDescent="0.2">
      <c r="B171" s="153"/>
      <c r="C171" s="311" t="s">
        <v>777</v>
      </c>
      <c r="D171" s="207" t="s">
        <v>98</v>
      </c>
      <c r="E171" s="199">
        <v>1</v>
      </c>
      <c r="F171" s="269">
        <v>0</v>
      </c>
      <c r="G171" s="270">
        <f>E171*F171</f>
        <v>0</v>
      </c>
    </row>
    <row r="172" spans="2:7" ht="108" x14ac:dyDescent="0.2">
      <c r="B172" s="153"/>
      <c r="C172" s="311" t="s">
        <v>778</v>
      </c>
      <c r="D172" s="207" t="s">
        <v>98</v>
      </c>
      <c r="E172" s="199">
        <v>1</v>
      </c>
      <c r="F172" s="269">
        <v>0</v>
      </c>
      <c r="G172" s="270">
        <f>E172*F172</f>
        <v>0</v>
      </c>
    </row>
    <row r="173" spans="2:7" x14ac:dyDescent="0.2">
      <c r="B173" s="153">
        <v>4</v>
      </c>
      <c r="C173" s="357" t="s">
        <v>779</v>
      </c>
      <c r="D173" s="207"/>
      <c r="E173" s="199"/>
      <c r="F173" s="269"/>
      <c r="G173" s="270"/>
    </row>
    <row r="174" spans="2:7" ht="72" x14ac:dyDescent="0.2">
      <c r="B174" s="153"/>
      <c r="C174" s="311" t="s">
        <v>780</v>
      </c>
      <c r="D174" s="207" t="s">
        <v>98</v>
      </c>
      <c r="E174" s="199">
        <v>2</v>
      </c>
      <c r="F174" s="269">
        <v>0</v>
      </c>
      <c r="G174" s="270">
        <f t="shared" ref="G174:G180" si="13">E174*F174</f>
        <v>0</v>
      </c>
    </row>
    <row r="175" spans="2:7" ht="60" x14ac:dyDescent="0.2">
      <c r="B175" s="153"/>
      <c r="C175" s="311" t="s">
        <v>781</v>
      </c>
      <c r="D175" s="207" t="s">
        <v>98</v>
      </c>
      <c r="E175" s="199">
        <v>2</v>
      </c>
      <c r="F175" s="269">
        <v>0</v>
      </c>
      <c r="G175" s="270">
        <f t="shared" si="13"/>
        <v>0</v>
      </c>
    </row>
    <row r="176" spans="2:7" ht="84" x14ac:dyDescent="0.2">
      <c r="B176" s="153"/>
      <c r="C176" s="311" t="s">
        <v>2207</v>
      </c>
      <c r="D176" s="207" t="s">
        <v>123</v>
      </c>
      <c r="E176" s="199">
        <v>1</v>
      </c>
      <c r="F176" s="269">
        <v>0</v>
      </c>
      <c r="G176" s="270">
        <f t="shared" si="13"/>
        <v>0</v>
      </c>
    </row>
    <row r="177" spans="2:7" ht="72" x14ac:dyDescent="0.2">
      <c r="B177" s="153"/>
      <c r="C177" s="311" t="s">
        <v>1043</v>
      </c>
      <c r="D177" s="207" t="s">
        <v>98</v>
      </c>
      <c r="E177" s="199">
        <v>1</v>
      </c>
      <c r="F177" s="269">
        <v>0</v>
      </c>
      <c r="G177" s="270">
        <f t="shared" si="13"/>
        <v>0</v>
      </c>
    </row>
    <row r="178" spans="2:7" ht="36" x14ac:dyDescent="0.2">
      <c r="B178" s="153"/>
      <c r="C178" s="311" t="s">
        <v>782</v>
      </c>
      <c r="D178" s="207" t="s">
        <v>123</v>
      </c>
      <c r="E178" s="199">
        <v>1</v>
      </c>
      <c r="F178" s="269">
        <v>0</v>
      </c>
      <c r="G178" s="270">
        <f t="shared" si="13"/>
        <v>0</v>
      </c>
    </row>
    <row r="179" spans="2:7" ht="132" x14ac:dyDescent="0.2">
      <c r="B179" s="153"/>
      <c r="C179" s="311" t="s">
        <v>508</v>
      </c>
      <c r="D179" s="207" t="s">
        <v>123</v>
      </c>
      <c r="E179" s="199">
        <v>1</v>
      </c>
      <c r="F179" s="269">
        <v>0</v>
      </c>
      <c r="G179" s="270">
        <f t="shared" si="13"/>
        <v>0</v>
      </c>
    </row>
    <row r="180" spans="2:7" ht="120" x14ac:dyDescent="0.2">
      <c r="B180" s="153"/>
      <c r="C180" s="311" t="s">
        <v>783</v>
      </c>
      <c r="D180" s="207" t="s">
        <v>123</v>
      </c>
      <c r="E180" s="199">
        <v>1</v>
      </c>
      <c r="F180" s="269">
        <v>0</v>
      </c>
      <c r="G180" s="270">
        <f t="shared" si="13"/>
        <v>0</v>
      </c>
    </row>
    <row r="181" spans="2:7" x14ac:dyDescent="0.2">
      <c r="B181" s="153">
        <v>5</v>
      </c>
      <c r="C181" s="357" t="s">
        <v>784</v>
      </c>
      <c r="D181" s="207"/>
      <c r="E181" s="199"/>
      <c r="F181" s="269"/>
      <c r="G181" s="270"/>
    </row>
    <row r="182" spans="2:7" x14ac:dyDescent="0.2">
      <c r="B182" s="153"/>
      <c r="C182" s="311" t="s">
        <v>643</v>
      </c>
      <c r="D182" s="207" t="s">
        <v>644</v>
      </c>
      <c r="E182" s="199">
        <v>20</v>
      </c>
      <c r="F182" s="269">
        <v>0</v>
      </c>
      <c r="G182" s="270">
        <f t="shared" ref="G182:G190" si="14">E182*F182</f>
        <v>0</v>
      </c>
    </row>
    <row r="183" spans="2:7" x14ac:dyDescent="0.2">
      <c r="B183" s="153"/>
      <c r="C183" s="311" t="s">
        <v>645</v>
      </c>
      <c r="D183" s="207" t="s">
        <v>644</v>
      </c>
      <c r="E183" s="199">
        <v>30</v>
      </c>
      <c r="F183" s="269">
        <v>0</v>
      </c>
      <c r="G183" s="270">
        <f t="shared" si="14"/>
        <v>0</v>
      </c>
    </row>
    <row r="184" spans="2:7" x14ac:dyDescent="0.2">
      <c r="B184" s="153"/>
      <c r="C184" s="311" t="s">
        <v>646</v>
      </c>
      <c r="D184" s="207" t="s">
        <v>644</v>
      </c>
      <c r="E184" s="199">
        <v>100</v>
      </c>
      <c r="F184" s="269">
        <v>0</v>
      </c>
      <c r="G184" s="270">
        <f t="shared" si="14"/>
        <v>0</v>
      </c>
    </row>
    <row r="185" spans="2:7" x14ac:dyDescent="0.2">
      <c r="B185" s="153"/>
      <c r="C185" s="311" t="s">
        <v>647</v>
      </c>
      <c r="D185" s="207" t="s">
        <v>644</v>
      </c>
      <c r="E185" s="199">
        <v>50</v>
      </c>
      <c r="F185" s="269">
        <v>0</v>
      </c>
      <c r="G185" s="270">
        <f t="shared" si="14"/>
        <v>0</v>
      </c>
    </row>
    <row r="186" spans="2:7" x14ac:dyDescent="0.2">
      <c r="B186" s="153"/>
      <c r="C186" s="311" t="s">
        <v>648</v>
      </c>
      <c r="D186" s="207" t="s">
        <v>644</v>
      </c>
      <c r="E186" s="199">
        <v>30</v>
      </c>
      <c r="F186" s="269">
        <v>0</v>
      </c>
      <c r="G186" s="270">
        <f t="shared" si="14"/>
        <v>0</v>
      </c>
    </row>
    <row r="187" spans="2:7" x14ac:dyDescent="0.2">
      <c r="B187" s="153"/>
      <c r="C187" s="311" t="s">
        <v>650</v>
      </c>
      <c r="D187" s="207" t="s">
        <v>123</v>
      </c>
      <c r="E187" s="199">
        <v>2</v>
      </c>
      <c r="F187" s="269">
        <v>0</v>
      </c>
      <c r="G187" s="270">
        <f t="shared" si="14"/>
        <v>0</v>
      </c>
    </row>
    <row r="188" spans="2:7" x14ac:dyDescent="0.2">
      <c r="B188" s="153"/>
      <c r="C188" s="311" t="s">
        <v>651</v>
      </c>
      <c r="D188" s="207" t="s">
        <v>644</v>
      </c>
      <c r="E188" s="199">
        <v>50</v>
      </c>
      <c r="F188" s="269">
        <v>0</v>
      </c>
      <c r="G188" s="270">
        <f t="shared" si="14"/>
        <v>0</v>
      </c>
    </row>
    <row r="189" spans="2:7" x14ac:dyDescent="0.2">
      <c r="B189" s="153"/>
      <c r="C189" s="311" t="s">
        <v>652</v>
      </c>
      <c r="D189" s="207" t="s">
        <v>644</v>
      </c>
      <c r="E189" s="199">
        <v>30</v>
      </c>
      <c r="F189" s="269">
        <v>0</v>
      </c>
      <c r="G189" s="270">
        <f t="shared" si="14"/>
        <v>0</v>
      </c>
    </row>
    <row r="190" spans="2:7" x14ac:dyDescent="0.2">
      <c r="B190" s="153"/>
      <c r="C190" s="311" t="s">
        <v>632</v>
      </c>
      <c r="D190" s="207" t="s">
        <v>98</v>
      </c>
      <c r="E190" s="199">
        <v>1</v>
      </c>
      <c r="F190" s="269">
        <v>0</v>
      </c>
      <c r="G190" s="270">
        <f t="shared" si="14"/>
        <v>0</v>
      </c>
    </row>
    <row r="191" spans="2:7" x14ac:dyDescent="0.2">
      <c r="B191" s="153">
        <v>6</v>
      </c>
      <c r="C191" s="357" t="s">
        <v>785</v>
      </c>
      <c r="D191" s="15"/>
      <c r="E191" s="419"/>
      <c r="F191" s="14"/>
      <c r="G191" s="13"/>
    </row>
    <row r="192" spans="2:7" ht="36" x14ac:dyDescent="0.2">
      <c r="B192" s="153"/>
      <c r="C192" s="311" t="s">
        <v>666</v>
      </c>
      <c r="D192" s="207" t="s">
        <v>644</v>
      </c>
      <c r="E192" s="199">
        <v>20</v>
      </c>
      <c r="F192" s="269">
        <v>0</v>
      </c>
      <c r="G192" s="270">
        <f t="shared" ref="G192:G199" si="15">E192*F192</f>
        <v>0</v>
      </c>
    </row>
    <row r="193" spans="2:7" x14ac:dyDescent="0.2">
      <c r="B193" s="153"/>
      <c r="C193" s="311" t="s">
        <v>667</v>
      </c>
      <c r="D193" s="207" t="s">
        <v>644</v>
      </c>
      <c r="E193" s="199">
        <v>50</v>
      </c>
      <c r="F193" s="269">
        <v>0</v>
      </c>
      <c r="G193" s="270">
        <f t="shared" si="15"/>
        <v>0</v>
      </c>
    </row>
    <row r="194" spans="2:7" x14ac:dyDescent="0.2">
      <c r="B194" s="153"/>
      <c r="C194" s="311" t="s">
        <v>668</v>
      </c>
      <c r="D194" s="207" t="s">
        <v>644</v>
      </c>
      <c r="E194" s="199">
        <v>20</v>
      </c>
      <c r="F194" s="269">
        <v>0</v>
      </c>
      <c r="G194" s="270">
        <f t="shared" si="15"/>
        <v>0</v>
      </c>
    </row>
    <row r="195" spans="2:7" ht="24" x14ac:dyDescent="0.2">
      <c r="B195" s="153"/>
      <c r="C195" s="311" t="s">
        <v>673</v>
      </c>
      <c r="D195" s="207" t="s">
        <v>123</v>
      </c>
      <c r="E195" s="199">
        <v>2</v>
      </c>
      <c r="F195" s="269">
        <v>0</v>
      </c>
      <c r="G195" s="270">
        <f t="shared" si="15"/>
        <v>0</v>
      </c>
    </row>
    <row r="196" spans="2:7" x14ac:dyDescent="0.2">
      <c r="B196" s="153"/>
      <c r="C196" s="311" t="s">
        <v>787</v>
      </c>
      <c r="D196" s="207" t="s">
        <v>123</v>
      </c>
      <c r="E196" s="199">
        <v>1</v>
      </c>
      <c r="F196" s="269">
        <v>0</v>
      </c>
      <c r="G196" s="270">
        <f t="shared" si="15"/>
        <v>0</v>
      </c>
    </row>
    <row r="197" spans="2:7" x14ac:dyDescent="0.2">
      <c r="B197" s="153"/>
      <c r="C197" s="311" t="s">
        <v>675</v>
      </c>
      <c r="D197" s="207" t="s">
        <v>123</v>
      </c>
      <c r="E197" s="199">
        <v>3</v>
      </c>
      <c r="F197" s="269">
        <v>0</v>
      </c>
      <c r="G197" s="270">
        <f t="shared" si="15"/>
        <v>0</v>
      </c>
    </row>
    <row r="198" spans="2:7" x14ac:dyDescent="0.2">
      <c r="B198" s="153"/>
      <c r="C198" s="311" t="s">
        <v>676</v>
      </c>
      <c r="D198" s="207" t="s">
        <v>123</v>
      </c>
      <c r="E198" s="199">
        <v>2</v>
      </c>
      <c r="F198" s="269">
        <v>0</v>
      </c>
      <c r="G198" s="270">
        <f t="shared" si="15"/>
        <v>0</v>
      </c>
    </row>
    <row r="199" spans="2:7" ht="24" x14ac:dyDescent="0.2">
      <c r="B199" s="153"/>
      <c r="C199" s="311" t="s">
        <v>677</v>
      </c>
      <c r="D199" s="207" t="s">
        <v>123</v>
      </c>
      <c r="E199" s="199">
        <v>1</v>
      </c>
      <c r="F199" s="269">
        <v>0</v>
      </c>
      <c r="G199" s="270">
        <f t="shared" si="15"/>
        <v>0</v>
      </c>
    </row>
    <row r="200" spans="2:7" x14ac:dyDescent="0.2">
      <c r="B200" s="153">
        <v>7</v>
      </c>
      <c r="C200" s="357" t="s">
        <v>788</v>
      </c>
      <c r="D200" s="207"/>
      <c r="E200" s="199"/>
      <c r="F200" s="269"/>
      <c r="G200" s="270"/>
    </row>
    <row r="201" spans="2:7" x14ac:dyDescent="0.2">
      <c r="B201" s="153"/>
      <c r="C201" s="197" t="s">
        <v>655</v>
      </c>
      <c r="D201" s="207" t="s">
        <v>644</v>
      </c>
      <c r="E201" s="199">
        <v>40</v>
      </c>
      <c r="F201" s="269">
        <v>0</v>
      </c>
      <c r="G201" s="270">
        <f t="shared" ref="G201" si="16">E201*F201</f>
        <v>0</v>
      </c>
    </row>
    <row r="202" spans="2:7" ht="36" x14ac:dyDescent="0.2">
      <c r="B202" s="153"/>
      <c r="C202" s="197" t="s">
        <v>656</v>
      </c>
      <c r="D202" s="207" t="s">
        <v>98</v>
      </c>
      <c r="E202" s="199">
        <v>2</v>
      </c>
      <c r="F202" s="269">
        <v>0</v>
      </c>
      <c r="G202" s="270">
        <f>E202*F202</f>
        <v>0</v>
      </c>
    </row>
    <row r="203" spans="2:7" ht="36" x14ac:dyDescent="0.2">
      <c r="B203" s="153"/>
      <c r="C203" s="197" t="s">
        <v>657</v>
      </c>
      <c r="D203" s="207" t="s">
        <v>98</v>
      </c>
      <c r="E203" s="199">
        <v>1</v>
      </c>
      <c r="F203" s="269">
        <v>0</v>
      </c>
      <c r="G203" s="270">
        <f>E203*F203</f>
        <v>0</v>
      </c>
    </row>
    <row r="204" spans="2:7" x14ac:dyDescent="0.2">
      <c r="B204" s="153"/>
      <c r="C204" s="197" t="s">
        <v>663</v>
      </c>
      <c r="D204" s="207" t="s">
        <v>98</v>
      </c>
      <c r="E204" s="199">
        <v>1</v>
      </c>
      <c r="F204" s="269">
        <v>0</v>
      </c>
      <c r="G204" s="270">
        <f>E204*F204</f>
        <v>0</v>
      </c>
    </row>
    <row r="205" spans="2:7" x14ac:dyDescent="0.2">
      <c r="B205" s="153">
        <v>8</v>
      </c>
      <c r="C205" s="357" t="s">
        <v>679</v>
      </c>
      <c r="D205" s="207"/>
      <c r="E205" s="199"/>
      <c r="F205" s="269"/>
      <c r="G205" s="270"/>
    </row>
    <row r="206" spans="2:7" ht="60" x14ac:dyDescent="0.2">
      <c r="B206" s="153"/>
      <c r="C206" s="311" t="s">
        <v>789</v>
      </c>
      <c r="D206" s="207" t="s">
        <v>98</v>
      </c>
      <c r="E206" s="199">
        <v>1</v>
      </c>
      <c r="F206" s="269">
        <v>0</v>
      </c>
      <c r="G206" s="270">
        <f>E206*F206</f>
        <v>0</v>
      </c>
    </row>
    <row r="207" spans="2:7" ht="36" x14ac:dyDescent="0.2">
      <c r="B207" s="153"/>
      <c r="C207" s="311" t="s">
        <v>790</v>
      </c>
      <c r="D207" s="207" t="s">
        <v>98</v>
      </c>
      <c r="E207" s="199">
        <v>1</v>
      </c>
      <c r="F207" s="269">
        <v>0</v>
      </c>
      <c r="G207" s="270">
        <f>E207*F207</f>
        <v>0</v>
      </c>
    </row>
    <row r="208" spans="2:7" ht="48" x14ac:dyDescent="0.2">
      <c r="B208" s="153"/>
      <c r="C208" s="311" t="s">
        <v>791</v>
      </c>
      <c r="D208" s="207" t="s">
        <v>98</v>
      </c>
      <c r="E208" s="199">
        <v>1</v>
      </c>
      <c r="F208" s="269">
        <v>0</v>
      </c>
      <c r="G208" s="270">
        <f>E208*F208</f>
        <v>0</v>
      </c>
    </row>
    <row r="209" spans="2:7" ht="48" x14ac:dyDescent="0.2">
      <c r="B209" s="153"/>
      <c r="C209" s="311" t="s">
        <v>792</v>
      </c>
      <c r="D209" s="207" t="s">
        <v>98</v>
      </c>
      <c r="E209" s="199">
        <v>1</v>
      </c>
      <c r="F209" s="269">
        <v>0</v>
      </c>
      <c r="G209" s="270">
        <f>E209*F209</f>
        <v>0</v>
      </c>
    </row>
    <row r="210" spans="2:7" x14ac:dyDescent="0.2">
      <c r="B210" s="293" t="s">
        <v>18</v>
      </c>
      <c r="C210" s="294" t="s">
        <v>794</v>
      </c>
      <c r="D210" s="218"/>
      <c r="E210" s="203"/>
      <c r="F210" s="204"/>
      <c r="G210" s="290">
        <f>SUM(G63:G209)</f>
        <v>0</v>
      </c>
    </row>
  </sheetData>
  <mergeCells count="8">
    <mergeCell ref="B59:G59"/>
    <mergeCell ref="B60:G60"/>
    <mergeCell ref="B61:G61"/>
    <mergeCell ref="B26:G26"/>
    <mergeCell ref="B55:G55"/>
    <mergeCell ref="B56:G56"/>
    <mergeCell ref="B57:G57"/>
    <mergeCell ref="B58:G58"/>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0AD3D-1A11-4408-A8F4-37A9212D8465}">
  <sheetPr codeName="Sheet43">
    <tabColor rgb="FF7030A0"/>
  </sheetPr>
  <dimension ref="A2:L97"/>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2217</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G97</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ht="36" x14ac:dyDescent="0.2">
      <c r="A42" s="121"/>
      <c r="B42" s="153"/>
      <c r="C42" s="311" t="s">
        <v>761</v>
      </c>
      <c r="D42" s="10" t="s">
        <v>123</v>
      </c>
      <c r="E42" s="199">
        <v>10</v>
      </c>
      <c r="F42" s="269">
        <v>0</v>
      </c>
      <c r="G42" s="270">
        <f t="shared" si="0"/>
        <v>0</v>
      </c>
      <c r="H42" s="122"/>
      <c r="I42" s="121"/>
      <c r="J42" s="121"/>
      <c r="K42" s="121"/>
      <c r="L42" s="121"/>
    </row>
    <row r="43" spans="1:12" ht="36" x14ac:dyDescent="0.2">
      <c r="A43" s="121"/>
      <c r="B43" s="153"/>
      <c r="C43" s="311" t="s">
        <v>762</v>
      </c>
      <c r="D43" s="10" t="s">
        <v>123</v>
      </c>
      <c r="E43" s="199">
        <v>1</v>
      </c>
      <c r="F43" s="269">
        <v>0</v>
      </c>
      <c r="G43" s="270">
        <f t="shared" si="0"/>
        <v>0</v>
      </c>
      <c r="H43" s="122"/>
      <c r="I43" s="121"/>
      <c r="J43" s="121"/>
      <c r="K43" s="121"/>
      <c r="L43" s="121"/>
    </row>
    <row r="44" spans="1:12" ht="48" x14ac:dyDescent="0.2">
      <c r="A44" s="121"/>
      <c r="B44" s="153"/>
      <c r="C44" s="311" t="s">
        <v>763</v>
      </c>
      <c r="D44" s="10" t="s">
        <v>123</v>
      </c>
      <c r="E44" s="199">
        <v>1</v>
      </c>
      <c r="F44" s="269">
        <v>0</v>
      </c>
      <c r="G44" s="270">
        <f t="shared" si="0"/>
        <v>0</v>
      </c>
      <c r="H44" s="122"/>
      <c r="I44" s="121"/>
      <c r="J44" s="121"/>
      <c r="K44" s="121"/>
      <c r="L44" s="121"/>
    </row>
    <row r="45" spans="1:12" ht="48" x14ac:dyDescent="0.2">
      <c r="A45" s="121"/>
      <c r="B45" s="153"/>
      <c r="C45" s="311" t="s">
        <v>764</v>
      </c>
      <c r="D45" s="10" t="s">
        <v>123</v>
      </c>
      <c r="E45" s="199">
        <v>3</v>
      </c>
      <c r="F45" s="269">
        <v>0</v>
      </c>
      <c r="G45" s="270">
        <f t="shared" si="0"/>
        <v>0</v>
      </c>
      <c r="H45" s="122"/>
      <c r="I45" s="121"/>
      <c r="J45" s="121"/>
      <c r="K45" s="121"/>
      <c r="L45" s="121"/>
    </row>
    <row r="46" spans="1:12" ht="48" x14ac:dyDescent="0.2">
      <c r="A46" s="121"/>
      <c r="B46" s="153"/>
      <c r="C46" s="311" t="s">
        <v>765</v>
      </c>
      <c r="D46" s="10" t="s">
        <v>123</v>
      </c>
      <c r="E46" s="199">
        <v>3</v>
      </c>
      <c r="F46" s="269">
        <v>0</v>
      </c>
      <c r="G46" s="270">
        <f t="shared" si="0"/>
        <v>0</v>
      </c>
      <c r="H46" s="122"/>
      <c r="I46" s="121"/>
      <c r="J46" s="121"/>
      <c r="K46" s="121"/>
      <c r="L46" s="121"/>
    </row>
    <row r="47" spans="1:12" ht="48" x14ac:dyDescent="0.2">
      <c r="A47" s="121"/>
      <c r="B47" s="153"/>
      <c r="C47" s="311" t="s">
        <v>766</v>
      </c>
      <c r="D47" s="10" t="s">
        <v>123</v>
      </c>
      <c r="E47" s="199">
        <v>3</v>
      </c>
      <c r="F47" s="269">
        <v>0</v>
      </c>
      <c r="G47" s="270">
        <f t="shared" si="0"/>
        <v>0</v>
      </c>
      <c r="H47" s="122"/>
      <c r="I47" s="121"/>
      <c r="J47" s="121"/>
      <c r="K47" s="121"/>
      <c r="L47" s="121"/>
    </row>
    <row r="48" spans="1:12" ht="48" x14ac:dyDescent="0.2">
      <c r="A48" s="121"/>
      <c r="B48" s="153"/>
      <c r="C48" s="311" t="s">
        <v>767</v>
      </c>
      <c r="D48" s="10" t="s">
        <v>98</v>
      </c>
      <c r="E48" s="199">
        <v>1</v>
      </c>
      <c r="F48" s="269">
        <v>0</v>
      </c>
      <c r="G48" s="270">
        <f t="shared" si="0"/>
        <v>0</v>
      </c>
      <c r="H48" s="122"/>
      <c r="I48" s="121"/>
      <c r="J48" s="121"/>
      <c r="K48" s="121"/>
      <c r="L48" s="121"/>
    </row>
    <row r="49" spans="1:12"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9"/>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944</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207" t="s">
        <v>123</v>
      </c>
      <c r="E68" s="199">
        <v>1</v>
      </c>
      <c r="F68" s="269">
        <v>0</v>
      </c>
      <c r="G68" s="270">
        <f>E68*F68</f>
        <v>0</v>
      </c>
      <c r="H68" s="122"/>
      <c r="I68" s="121"/>
      <c r="J68" s="121"/>
      <c r="K68" s="121"/>
      <c r="L68" s="121"/>
    </row>
    <row r="69" spans="1:12" s="2" customFormat="1" ht="96" x14ac:dyDescent="0.2">
      <c r="A69" s="121"/>
      <c r="B69" s="153"/>
      <c r="C69" s="311" t="s">
        <v>783</v>
      </c>
      <c r="D69" s="10"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645</v>
      </c>
      <c r="D71" s="207" t="s">
        <v>644</v>
      </c>
      <c r="E71" s="199">
        <v>15</v>
      </c>
      <c r="F71" s="269">
        <v>0</v>
      </c>
      <c r="G71" s="270">
        <f t="shared" ref="G71:G78" si="3">E71*F71</f>
        <v>0</v>
      </c>
      <c r="H71" s="122"/>
      <c r="I71" s="121"/>
      <c r="J71" s="121"/>
      <c r="K71" s="121"/>
      <c r="L71" s="121"/>
    </row>
    <row r="72" spans="1:12" s="2" customFormat="1" x14ac:dyDescent="0.2">
      <c r="A72" s="121"/>
      <c r="B72" s="153"/>
      <c r="C72" s="311" t="s">
        <v>646</v>
      </c>
      <c r="D72" s="207" t="s">
        <v>644</v>
      </c>
      <c r="E72" s="199">
        <v>50</v>
      </c>
      <c r="F72" s="269">
        <v>0</v>
      </c>
      <c r="G72" s="270">
        <f t="shared" si="3"/>
        <v>0</v>
      </c>
      <c r="H72" s="122"/>
      <c r="I72" s="121"/>
      <c r="J72" s="121"/>
      <c r="K72" s="121"/>
      <c r="L72" s="121"/>
    </row>
    <row r="73" spans="1:12" s="2" customFormat="1" x14ac:dyDescent="0.2">
      <c r="A73" s="121"/>
      <c r="B73" s="153"/>
      <c r="C73" s="311" t="s">
        <v>647</v>
      </c>
      <c r="D73" s="207" t="s">
        <v>644</v>
      </c>
      <c r="E73" s="199">
        <v>25</v>
      </c>
      <c r="F73" s="269">
        <v>0</v>
      </c>
      <c r="G73" s="270">
        <f t="shared" si="3"/>
        <v>0</v>
      </c>
      <c r="H73" s="122"/>
      <c r="I73" s="121"/>
      <c r="J73" s="121"/>
      <c r="K73" s="121"/>
      <c r="L73" s="121"/>
    </row>
    <row r="74" spans="1:12" s="2" customFormat="1" x14ac:dyDescent="0.2">
      <c r="A74" s="121"/>
      <c r="B74" s="153"/>
      <c r="C74" s="311" t="s">
        <v>648</v>
      </c>
      <c r="D74" s="207" t="s">
        <v>644</v>
      </c>
      <c r="E74" s="199">
        <v>15</v>
      </c>
      <c r="F74" s="269">
        <v>0</v>
      </c>
      <c r="G74" s="270">
        <f t="shared" si="3"/>
        <v>0</v>
      </c>
      <c r="H74" s="122"/>
      <c r="I74" s="121"/>
      <c r="J74" s="121"/>
      <c r="K74" s="121"/>
      <c r="L74" s="121"/>
    </row>
    <row r="75" spans="1:12" s="2" customFormat="1" x14ac:dyDescent="0.2">
      <c r="A75" s="121"/>
      <c r="B75" s="153"/>
      <c r="C75" s="311" t="s">
        <v>650</v>
      </c>
      <c r="D75" s="207" t="s">
        <v>123</v>
      </c>
      <c r="E75" s="199">
        <v>2</v>
      </c>
      <c r="F75" s="269">
        <v>0</v>
      </c>
      <c r="G75" s="270">
        <f t="shared" si="3"/>
        <v>0</v>
      </c>
      <c r="H75" s="122"/>
      <c r="I75" s="121"/>
      <c r="J75" s="121"/>
      <c r="K75" s="121"/>
      <c r="L75" s="121"/>
    </row>
    <row r="76" spans="1:12" s="2" customFormat="1" x14ac:dyDescent="0.2">
      <c r="A76" s="121"/>
      <c r="B76" s="153"/>
      <c r="C76" s="311" t="s">
        <v>651</v>
      </c>
      <c r="D76" s="207" t="s">
        <v>644</v>
      </c>
      <c r="E76" s="199">
        <v>20</v>
      </c>
      <c r="F76" s="269">
        <v>0</v>
      </c>
      <c r="G76" s="270">
        <f t="shared" si="3"/>
        <v>0</v>
      </c>
      <c r="H76" s="122"/>
      <c r="I76" s="121"/>
      <c r="J76" s="121"/>
      <c r="K76" s="121"/>
      <c r="L76" s="121"/>
    </row>
    <row r="77" spans="1:12" s="2" customFormat="1" x14ac:dyDescent="0.2">
      <c r="A77" s="121"/>
      <c r="B77" s="153"/>
      <c r="C77" s="311" t="s">
        <v>652</v>
      </c>
      <c r="D77" s="207" t="s">
        <v>644</v>
      </c>
      <c r="E77" s="199">
        <v>15</v>
      </c>
      <c r="F77" s="269">
        <v>0</v>
      </c>
      <c r="G77" s="270">
        <f t="shared" si="3"/>
        <v>0</v>
      </c>
      <c r="H77" s="122"/>
      <c r="I77" s="121"/>
      <c r="J77" s="121"/>
      <c r="K77" s="121"/>
      <c r="L77" s="121"/>
    </row>
    <row r="78" spans="1:12" s="2" customFormat="1" x14ac:dyDescent="0.2">
      <c r="A78" s="121"/>
      <c r="B78" s="153"/>
      <c r="C78" s="311" t="s">
        <v>632</v>
      </c>
      <c r="D78" s="207" t="s">
        <v>98</v>
      </c>
      <c r="E78" s="199">
        <v>1</v>
      </c>
      <c r="F78" s="269">
        <v>0</v>
      </c>
      <c r="G78" s="270">
        <f t="shared" si="3"/>
        <v>0</v>
      </c>
      <c r="H78" s="122"/>
      <c r="I78" s="121"/>
      <c r="J78" s="121"/>
      <c r="K78" s="121"/>
      <c r="L78" s="121"/>
    </row>
    <row r="79" spans="1:12" s="12" customFormat="1" x14ac:dyDescent="0.2">
      <c r="A79" s="11"/>
      <c r="B79" s="153">
        <v>6</v>
      </c>
      <c r="C79" s="357" t="s">
        <v>785</v>
      </c>
      <c r="D79" s="15"/>
      <c r="E79" s="419"/>
      <c r="F79" s="14"/>
      <c r="G79" s="13"/>
      <c r="I79" s="11"/>
      <c r="J79" s="11"/>
      <c r="K79" s="11"/>
      <c r="L79" s="11"/>
    </row>
    <row r="80" spans="1:12" s="12" customFormat="1" ht="24" x14ac:dyDescent="0.2">
      <c r="A80" s="11"/>
      <c r="B80" s="153"/>
      <c r="C80" s="311" t="s">
        <v>666</v>
      </c>
      <c r="D80" s="207" t="s">
        <v>644</v>
      </c>
      <c r="E80" s="199">
        <v>8</v>
      </c>
      <c r="F80" s="269">
        <v>0</v>
      </c>
      <c r="G80" s="270">
        <f t="shared" ref="G80:G86" si="4">E80*F80</f>
        <v>0</v>
      </c>
      <c r="I80" s="11"/>
      <c r="J80" s="11"/>
      <c r="K80" s="11"/>
      <c r="L80" s="11"/>
    </row>
    <row r="81" spans="1:12" s="12" customFormat="1" x14ac:dyDescent="0.2">
      <c r="A81" s="11"/>
      <c r="B81" s="153"/>
      <c r="C81" s="311" t="s">
        <v>667</v>
      </c>
      <c r="D81" s="207" t="s">
        <v>644</v>
      </c>
      <c r="E81" s="199">
        <v>50</v>
      </c>
      <c r="F81" s="269">
        <v>0</v>
      </c>
      <c r="G81" s="270">
        <f t="shared" si="4"/>
        <v>0</v>
      </c>
      <c r="I81" s="11"/>
      <c r="J81" s="11"/>
      <c r="K81" s="11"/>
      <c r="L81" s="11"/>
    </row>
    <row r="82" spans="1:12" s="12" customFormat="1" x14ac:dyDescent="0.2">
      <c r="A82" s="11"/>
      <c r="B82" s="153"/>
      <c r="C82" s="311" t="s">
        <v>668</v>
      </c>
      <c r="D82" s="207" t="s">
        <v>644</v>
      </c>
      <c r="E82" s="199">
        <v>20</v>
      </c>
      <c r="F82" s="269">
        <v>0</v>
      </c>
      <c r="G82" s="270">
        <f t="shared" si="4"/>
        <v>0</v>
      </c>
      <c r="I82" s="11"/>
      <c r="J82" s="11"/>
      <c r="K82" s="11"/>
      <c r="L82" s="11"/>
    </row>
    <row r="83" spans="1:12" s="12" customFormat="1" x14ac:dyDescent="0.2">
      <c r="A83" s="11"/>
      <c r="B83" s="153"/>
      <c r="C83" s="311" t="s">
        <v>673</v>
      </c>
      <c r="D83" s="207" t="s">
        <v>123</v>
      </c>
      <c r="E83" s="199">
        <v>1</v>
      </c>
      <c r="F83" s="269">
        <v>0</v>
      </c>
      <c r="G83" s="270">
        <f t="shared" si="4"/>
        <v>0</v>
      </c>
      <c r="I83" s="11"/>
      <c r="J83" s="11"/>
      <c r="K83" s="11"/>
      <c r="L83" s="11"/>
    </row>
    <row r="84" spans="1:12" s="12" customFormat="1" x14ac:dyDescent="0.2">
      <c r="A84" s="11"/>
      <c r="B84" s="153"/>
      <c r="C84" s="311" t="s">
        <v>675</v>
      </c>
      <c r="D84" s="207" t="s">
        <v>123</v>
      </c>
      <c r="E84" s="199">
        <v>3</v>
      </c>
      <c r="F84" s="269">
        <v>0</v>
      </c>
      <c r="G84" s="270">
        <f t="shared" si="4"/>
        <v>0</v>
      </c>
      <c r="I84" s="11"/>
      <c r="J84" s="11"/>
      <c r="K84" s="11"/>
      <c r="L84" s="11"/>
    </row>
    <row r="85" spans="1:12" s="12" customFormat="1" x14ac:dyDescent="0.2">
      <c r="A85" s="11"/>
      <c r="B85" s="153"/>
      <c r="C85" s="311" t="s">
        <v>676</v>
      </c>
      <c r="D85" s="207" t="s">
        <v>123</v>
      </c>
      <c r="E85" s="199">
        <v>2</v>
      </c>
      <c r="F85" s="269">
        <v>0</v>
      </c>
      <c r="G85" s="270">
        <f t="shared" si="4"/>
        <v>0</v>
      </c>
      <c r="I85" s="11"/>
      <c r="J85" s="11"/>
      <c r="K85" s="11"/>
      <c r="L85" s="11"/>
    </row>
    <row r="86" spans="1:12" s="12" customFormat="1" ht="24" x14ac:dyDescent="0.2">
      <c r="A86" s="11"/>
      <c r="B86" s="153"/>
      <c r="C86" s="311" t="s">
        <v>677</v>
      </c>
      <c r="D86" s="207" t="s">
        <v>123</v>
      </c>
      <c r="E86" s="199">
        <v>1</v>
      </c>
      <c r="F86" s="269">
        <v>0</v>
      </c>
      <c r="G86" s="270">
        <f t="shared" si="4"/>
        <v>0</v>
      </c>
      <c r="I86" s="11"/>
      <c r="J86" s="11"/>
      <c r="K86" s="11"/>
      <c r="L86" s="11"/>
    </row>
    <row r="87" spans="1:12" s="2" customFormat="1" x14ac:dyDescent="0.2">
      <c r="A87" s="121"/>
      <c r="B87" s="153">
        <v>7</v>
      </c>
      <c r="C87" s="357" t="s">
        <v>788</v>
      </c>
      <c r="D87" s="207"/>
      <c r="E87" s="199"/>
      <c r="F87" s="269"/>
      <c r="G87" s="270"/>
      <c r="H87" s="122"/>
      <c r="I87" s="121"/>
      <c r="J87" s="121"/>
      <c r="K87" s="121"/>
      <c r="L87" s="121"/>
    </row>
    <row r="88" spans="1:12" s="2" customFormat="1" x14ac:dyDescent="0.2">
      <c r="A88" s="121"/>
      <c r="B88" s="153"/>
      <c r="C88" s="197" t="s">
        <v>655</v>
      </c>
      <c r="D88" s="207" t="s">
        <v>644</v>
      </c>
      <c r="E88" s="199">
        <v>10</v>
      </c>
      <c r="F88" s="269">
        <v>0</v>
      </c>
      <c r="G88" s="270">
        <f t="shared" ref="G88" si="5">E88*F88</f>
        <v>0</v>
      </c>
      <c r="H88" s="122"/>
      <c r="I88" s="121"/>
      <c r="J88" s="121"/>
      <c r="K88" s="121"/>
      <c r="L88" s="121"/>
    </row>
    <row r="89" spans="1:12" s="2" customFormat="1" ht="36" x14ac:dyDescent="0.2">
      <c r="A89" s="121"/>
      <c r="B89" s="153"/>
      <c r="C89" s="197" t="s">
        <v>656</v>
      </c>
      <c r="D89" s="207" t="s">
        <v>98</v>
      </c>
      <c r="E89" s="199">
        <v>1</v>
      </c>
      <c r="F89" s="269">
        <v>0</v>
      </c>
      <c r="G89" s="270">
        <f>E89*F89</f>
        <v>0</v>
      </c>
      <c r="H89" s="122"/>
      <c r="I89" s="121"/>
      <c r="J89" s="121"/>
      <c r="K89" s="121"/>
      <c r="L89" s="121"/>
    </row>
    <row r="90" spans="1:12" s="2" customFormat="1" ht="24" x14ac:dyDescent="0.2">
      <c r="A90" s="121"/>
      <c r="B90" s="153"/>
      <c r="C90" s="197" t="s">
        <v>657</v>
      </c>
      <c r="D90" s="207" t="s">
        <v>98</v>
      </c>
      <c r="E90" s="199">
        <v>1</v>
      </c>
      <c r="F90" s="269">
        <v>0</v>
      </c>
      <c r="G90" s="270">
        <f>E90*F90</f>
        <v>0</v>
      </c>
      <c r="H90" s="122"/>
      <c r="I90" s="121"/>
      <c r="J90" s="121"/>
      <c r="K90" s="121"/>
      <c r="L90" s="121"/>
    </row>
    <row r="91" spans="1:12" s="2" customFormat="1" x14ac:dyDescent="0.2">
      <c r="A91" s="121"/>
      <c r="B91" s="153"/>
      <c r="C91" s="197" t="s">
        <v>663</v>
      </c>
      <c r="D91" s="207" t="s">
        <v>98</v>
      </c>
      <c r="E91" s="199">
        <v>1</v>
      </c>
      <c r="F91" s="269">
        <v>0</v>
      </c>
      <c r="G91" s="270">
        <f>E91*F91</f>
        <v>0</v>
      </c>
      <c r="H91" s="122"/>
      <c r="I91" s="121"/>
      <c r="J91" s="121"/>
      <c r="K91" s="121"/>
      <c r="L91" s="121"/>
    </row>
    <row r="92" spans="1:12" s="2" customFormat="1" x14ac:dyDescent="0.2">
      <c r="A92" s="121"/>
      <c r="B92" s="153">
        <v>8</v>
      </c>
      <c r="C92" s="357" t="s">
        <v>679</v>
      </c>
      <c r="D92" s="207"/>
      <c r="E92" s="199"/>
      <c r="F92" s="269"/>
      <c r="G92" s="270"/>
      <c r="H92" s="122"/>
      <c r="I92" s="121"/>
      <c r="J92" s="121"/>
      <c r="K92" s="121"/>
      <c r="L92" s="121"/>
    </row>
    <row r="93" spans="1:12" s="2" customFormat="1" ht="48" x14ac:dyDescent="0.2">
      <c r="A93" s="121"/>
      <c r="B93" s="153"/>
      <c r="C93" s="311" t="s">
        <v>789</v>
      </c>
      <c r="D93" s="207" t="s">
        <v>98</v>
      </c>
      <c r="E93" s="199">
        <v>1</v>
      </c>
      <c r="F93" s="269">
        <v>0</v>
      </c>
      <c r="G93" s="270">
        <f>E93*F93</f>
        <v>0</v>
      </c>
      <c r="H93" s="122"/>
      <c r="I93" s="121"/>
      <c r="J93" s="121"/>
      <c r="K93" s="121"/>
      <c r="L93" s="121"/>
    </row>
    <row r="94" spans="1:12" s="2" customFormat="1" ht="36" x14ac:dyDescent="0.2">
      <c r="A94" s="121"/>
      <c r="B94" s="153"/>
      <c r="C94" s="311" t="s">
        <v>790</v>
      </c>
      <c r="D94" s="207" t="s">
        <v>98</v>
      </c>
      <c r="E94" s="199">
        <v>1</v>
      </c>
      <c r="F94" s="269">
        <v>0</v>
      </c>
      <c r="G94" s="270">
        <f>E94*F94</f>
        <v>0</v>
      </c>
      <c r="H94" s="122"/>
      <c r="I94" s="121"/>
      <c r="J94" s="121"/>
      <c r="K94" s="121"/>
      <c r="L94" s="121"/>
    </row>
    <row r="95" spans="1:12" s="2" customFormat="1" ht="36" x14ac:dyDescent="0.2">
      <c r="A95" s="121"/>
      <c r="B95" s="153"/>
      <c r="C95" s="311" t="s">
        <v>791</v>
      </c>
      <c r="D95" s="207" t="s">
        <v>98</v>
      </c>
      <c r="E95" s="199">
        <v>1</v>
      </c>
      <c r="F95" s="269">
        <v>0</v>
      </c>
      <c r="G95" s="270">
        <f>E95*F95</f>
        <v>0</v>
      </c>
      <c r="H95" s="122"/>
      <c r="I95" s="121"/>
      <c r="J95" s="121"/>
      <c r="K95" s="121"/>
      <c r="L95" s="121"/>
    </row>
    <row r="96" spans="1:12" s="2" customFormat="1" ht="36" x14ac:dyDescent="0.2">
      <c r="A96" s="121"/>
      <c r="B96" s="153"/>
      <c r="C96" s="311" t="s">
        <v>792</v>
      </c>
      <c r="D96" s="207" t="s">
        <v>98</v>
      </c>
      <c r="E96" s="199">
        <v>1</v>
      </c>
      <c r="F96" s="269">
        <v>0</v>
      </c>
      <c r="G96" s="270">
        <f>E96*F96</f>
        <v>0</v>
      </c>
      <c r="H96" s="122"/>
      <c r="I96" s="121"/>
      <c r="J96" s="121"/>
      <c r="K96" s="121"/>
      <c r="L96" s="121"/>
    </row>
    <row r="97" spans="1:12" s="9" customFormat="1" ht="23.25" customHeight="1" x14ac:dyDescent="0.25">
      <c r="A97" s="147"/>
      <c r="B97" s="327" t="s">
        <v>18</v>
      </c>
      <c r="C97" s="214" t="s">
        <v>818</v>
      </c>
      <c r="D97" s="214"/>
      <c r="E97" s="215"/>
      <c r="F97" s="216"/>
      <c r="G97" s="290">
        <f>SUM(G30:G96)</f>
        <v>0</v>
      </c>
      <c r="H97" s="150"/>
      <c r="I97" s="147"/>
      <c r="J97" s="147"/>
      <c r="K97" s="147"/>
      <c r="L97"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CD8F-CDDE-4B7D-9A86-4608FFE11528}">
  <sheetPr codeName="Sheet44">
    <tabColor rgb="FF7030A0"/>
  </sheetPr>
  <dimension ref="A2:L97"/>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2217</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G97</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ht="36" x14ac:dyDescent="0.2">
      <c r="A42" s="121"/>
      <c r="B42" s="153"/>
      <c r="C42" s="311" t="s">
        <v>761</v>
      </c>
      <c r="D42" s="10" t="s">
        <v>123</v>
      </c>
      <c r="E42" s="199">
        <v>10</v>
      </c>
      <c r="F42" s="269">
        <v>0</v>
      </c>
      <c r="G42" s="270">
        <f t="shared" si="0"/>
        <v>0</v>
      </c>
      <c r="H42" s="122"/>
      <c r="I42" s="121"/>
      <c r="J42" s="121"/>
      <c r="K42" s="121"/>
      <c r="L42" s="121"/>
    </row>
    <row r="43" spans="1:12" ht="36" x14ac:dyDescent="0.2">
      <c r="A43" s="121"/>
      <c r="B43" s="153"/>
      <c r="C43" s="311" t="s">
        <v>762</v>
      </c>
      <c r="D43" s="10" t="s">
        <v>123</v>
      </c>
      <c r="E43" s="199">
        <v>1</v>
      </c>
      <c r="F43" s="269">
        <v>0</v>
      </c>
      <c r="G43" s="270">
        <f t="shared" si="0"/>
        <v>0</v>
      </c>
      <c r="H43" s="122"/>
      <c r="I43" s="121"/>
      <c r="J43" s="121"/>
      <c r="K43" s="121"/>
      <c r="L43" s="121"/>
    </row>
    <row r="44" spans="1:12" ht="48" x14ac:dyDescent="0.2">
      <c r="A44" s="121"/>
      <c r="B44" s="153"/>
      <c r="C44" s="311" t="s">
        <v>763</v>
      </c>
      <c r="D44" s="10" t="s">
        <v>123</v>
      </c>
      <c r="E44" s="199">
        <v>1</v>
      </c>
      <c r="F44" s="269">
        <v>0</v>
      </c>
      <c r="G44" s="270">
        <f t="shared" si="0"/>
        <v>0</v>
      </c>
      <c r="H44" s="122"/>
      <c r="I44" s="121"/>
      <c r="J44" s="121"/>
      <c r="K44" s="121"/>
      <c r="L44" s="121"/>
    </row>
    <row r="45" spans="1:12" ht="48" x14ac:dyDescent="0.2">
      <c r="A45" s="121"/>
      <c r="B45" s="153"/>
      <c r="C45" s="311" t="s">
        <v>764</v>
      </c>
      <c r="D45" s="10" t="s">
        <v>123</v>
      </c>
      <c r="E45" s="199">
        <v>3</v>
      </c>
      <c r="F45" s="269">
        <v>0</v>
      </c>
      <c r="G45" s="270">
        <f t="shared" si="0"/>
        <v>0</v>
      </c>
      <c r="H45" s="122"/>
      <c r="I45" s="121"/>
      <c r="J45" s="121"/>
      <c r="K45" s="121"/>
      <c r="L45" s="121"/>
    </row>
    <row r="46" spans="1:12" ht="48" x14ac:dyDescent="0.2">
      <c r="A46" s="121"/>
      <c r="B46" s="153"/>
      <c r="C46" s="311" t="s">
        <v>765</v>
      </c>
      <c r="D46" s="10" t="s">
        <v>123</v>
      </c>
      <c r="E46" s="199">
        <v>3</v>
      </c>
      <c r="F46" s="269">
        <v>0</v>
      </c>
      <c r="G46" s="270">
        <f t="shared" si="0"/>
        <v>0</v>
      </c>
      <c r="H46" s="122"/>
      <c r="I46" s="121"/>
      <c r="J46" s="121"/>
      <c r="K46" s="121"/>
      <c r="L46" s="121"/>
    </row>
    <row r="47" spans="1:12" ht="48" x14ac:dyDescent="0.2">
      <c r="A47" s="121"/>
      <c r="B47" s="153"/>
      <c r="C47" s="311" t="s">
        <v>766</v>
      </c>
      <c r="D47" s="10" t="s">
        <v>123</v>
      </c>
      <c r="E47" s="199">
        <v>3</v>
      </c>
      <c r="F47" s="269">
        <v>0</v>
      </c>
      <c r="G47" s="270">
        <f t="shared" si="0"/>
        <v>0</v>
      </c>
      <c r="H47" s="122"/>
      <c r="I47" s="121"/>
      <c r="J47" s="121"/>
      <c r="K47" s="121"/>
      <c r="L47" s="121"/>
    </row>
    <row r="48" spans="1:12" ht="48" x14ac:dyDescent="0.2">
      <c r="A48" s="121"/>
      <c r="B48" s="153"/>
      <c r="C48" s="311" t="s">
        <v>767</v>
      </c>
      <c r="D48" s="10" t="s">
        <v>98</v>
      </c>
      <c r="E48" s="199">
        <v>1</v>
      </c>
      <c r="F48" s="269">
        <v>0</v>
      </c>
      <c r="G48" s="270">
        <f t="shared" si="0"/>
        <v>0</v>
      </c>
      <c r="H48" s="122"/>
      <c r="I48" s="121"/>
      <c r="J48" s="121"/>
      <c r="K48" s="121"/>
      <c r="L48" s="121"/>
    </row>
    <row r="49" spans="1:12"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9"/>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944</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207"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645</v>
      </c>
      <c r="D71" s="207" t="s">
        <v>644</v>
      </c>
      <c r="E71" s="199">
        <v>15</v>
      </c>
      <c r="F71" s="269">
        <v>0</v>
      </c>
      <c r="G71" s="270">
        <f t="shared" ref="G71:G78" si="3">E71*F71</f>
        <v>0</v>
      </c>
      <c r="H71" s="122"/>
      <c r="I71" s="121"/>
      <c r="J71" s="121"/>
      <c r="K71" s="121"/>
      <c r="L71" s="121"/>
    </row>
    <row r="72" spans="1:12" s="2" customFormat="1" x14ac:dyDescent="0.2">
      <c r="A72" s="121"/>
      <c r="B72" s="153"/>
      <c r="C72" s="311" t="s">
        <v>646</v>
      </c>
      <c r="D72" s="207" t="s">
        <v>644</v>
      </c>
      <c r="E72" s="199">
        <v>50</v>
      </c>
      <c r="F72" s="269">
        <v>0</v>
      </c>
      <c r="G72" s="270">
        <f t="shared" si="3"/>
        <v>0</v>
      </c>
      <c r="H72" s="122"/>
      <c r="I72" s="121"/>
      <c r="J72" s="121"/>
      <c r="K72" s="121"/>
      <c r="L72" s="121"/>
    </row>
    <row r="73" spans="1:12" s="2" customFormat="1" x14ac:dyDescent="0.2">
      <c r="A73" s="121"/>
      <c r="B73" s="153"/>
      <c r="C73" s="311" t="s">
        <v>647</v>
      </c>
      <c r="D73" s="207" t="s">
        <v>644</v>
      </c>
      <c r="E73" s="199">
        <v>25</v>
      </c>
      <c r="F73" s="269">
        <v>0</v>
      </c>
      <c r="G73" s="270">
        <f t="shared" si="3"/>
        <v>0</v>
      </c>
      <c r="H73" s="122"/>
      <c r="I73" s="121"/>
      <c r="J73" s="121"/>
      <c r="K73" s="121"/>
      <c r="L73" s="121"/>
    </row>
    <row r="74" spans="1:12" s="2" customFormat="1" x14ac:dyDescent="0.2">
      <c r="A74" s="121"/>
      <c r="B74" s="153"/>
      <c r="C74" s="311" t="s">
        <v>648</v>
      </c>
      <c r="D74" s="207" t="s">
        <v>644</v>
      </c>
      <c r="E74" s="199">
        <v>15</v>
      </c>
      <c r="F74" s="269">
        <v>0</v>
      </c>
      <c r="G74" s="270">
        <f t="shared" si="3"/>
        <v>0</v>
      </c>
      <c r="H74" s="122"/>
      <c r="I74" s="121"/>
      <c r="J74" s="121"/>
      <c r="K74" s="121"/>
      <c r="L74" s="121"/>
    </row>
    <row r="75" spans="1:12" s="2" customFormat="1" x14ac:dyDescent="0.2">
      <c r="A75" s="121"/>
      <c r="B75" s="153"/>
      <c r="C75" s="311" t="s">
        <v>650</v>
      </c>
      <c r="D75" s="207" t="s">
        <v>123</v>
      </c>
      <c r="E75" s="199">
        <v>2</v>
      </c>
      <c r="F75" s="269">
        <v>0</v>
      </c>
      <c r="G75" s="270">
        <f t="shared" si="3"/>
        <v>0</v>
      </c>
      <c r="H75" s="122"/>
      <c r="I75" s="121"/>
      <c r="J75" s="121"/>
      <c r="K75" s="121"/>
      <c r="L75" s="121"/>
    </row>
    <row r="76" spans="1:12" s="2" customFormat="1" x14ac:dyDescent="0.2">
      <c r="A76" s="121"/>
      <c r="B76" s="153"/>
      <c r="C76" s="311" t="s">
        <v>651</v>
      </c>
      <c r="D76" s="207" t="s">
        <v>644</v>
      </c>
      <c r="E76" s="199">
        <v>20</v>
      </c>
      <c r="F76" s="269">
        <v>0</v>
      </c>
      <c r="G76" s="270">
        <f t="shared" si="3"/>
        <v>0</v>
      </c>
      <c r="H76" s="122"/>
      <c r="I76" s="121"/>
      <c r="J76" s="121"/>
      <c r="K76" s="121"/>
      <c r="L76" s="121"/>
    </row>
    <row r="77" spans="1:12" s="2" customFormat="1" x14ac:dyDescent="0.2">
      <c r="A77" s="121"/>
      <c r="B77" s="153"/>
      <c r="C77" s="311" t="s">
        <v>652</v>
      </c>
      <c r="D77" s="207" t="s">
        <v>644</v>
      </c>
      <c r="E77" s="199">
        <v>15</v>
      </c>
      <c r="F77" s="269">
        <v>0</v>
      </c>
      <c r="G77" s="270">
        <f t="shared" si="3"/>
        <v>0</v>
      </c>
      <c r="H77" s="122"/>
      <c r="I77" s="121"/>
      <c r="J77" s="121"/>
      <c r="K77" s="121"/>
      <c r="L77" s="121"/>
    </row>
    <row r="78" spans="1:12" s="2" customFormat="1" x14ac:dyDescent="0.2">
      <c r="A78" s="121"/>
      <c r="B78" s="153"/>
      <c r="C78" s="311" t="s">
        <v>632</v>
      </c>
      <c r="D78" s="207" t="s">
        <v>98</v>
      </c>
      <c r="E78" s="199">
        <v>1</v>
      </c>
      <c r="F78" s="269">
        <v>0</v>
      </c>
      <c r="G78" s="270">
        <f t="shared" si="3"/>
        <v>0</v>
      </c>
      <c r="H78" s="122"/>
      <c r="I78" s="121"/>
      <c r="J78" s="121"/>
      <c r="K78" s="121"/>
      <c r="L78" s="121"/>
    </row>
    <row r="79" spans="1:12" s="12" customFormat="1" x14ac:dyDescent="0.2">
      <c r="A79" s="11"/>
      <c r="B79" s="153">
        <v>6</v>
      </c>
      <c r="C79" s="357" t="s">
        <v>785</v>
      </c>
      <c r="D79" s="15"/>
      <c r="E79" s="419"/>
      <c r="F79" s="14"/>
      <c r="G79" s="13"/>
      <c r="I79" s="11"/>
      <c r="J79" s="11"/>
      <c r="K79" s="11"/>
      <c r="L79" s="11"/>
    </row>
    <row r="80" spans="1:12" s="12" customFormat="1" ht="24" x14ac:dyDescent="0.2">
      <c r="A80" s="11"/>
      <c r="B80" s="153"/>
      <c r="C80" s="311" t="s">
        <v>666</v>
      </c>
      <c r="D80" s="207" t="s">
        <v>644</v>
      </c>
      <c r="E80" s="199">
        <v>8</v>
      </c>
      <c r="F80" s="269">
        <v>0</v>
      </c>
      <c r="G80" s="270">
        <f t="shared" ref="G80:G86" si="4">E80*F80</f>
        <v>0</v>
      </c>
      <c r="I80" s="11"/>
      <c r="J80" s="11"/>
      <c r="K80" s="11"/>
      <c r="L80" s="11"/>
    </row>
    <row r="81" spans="1:12" s="12" customFormat="1" x14ac:dyDescent="0.2">
      <c r="A81" s="11"/>
      <c r="B81" s="153"/>
      <c r="C81" s="311" t="s">
        <v>667</v>
      </c>
      <c r="D81" s="207" t="s">
        <v>644</v>
      </c>
      <c r="E81" s="199">
        <v>50</v>
      </c>
      <c r="F81" s="269">
        <v>0</v>
      </c>
      <c r="G81" s="270">
        <f t="shared" si="4"/>
        <v>0</v>
      </c>
      <c r="I81" s="11"/>
      <c r="J81" s="11"/>
      <c r="K81" s="11"/>
      <c r="L81" s="11"/>
    </row>
    <row r="82" spans="1:12" s="12" customFormat="1" x14ac:dyDescent="0.2">
      <c r="A82" s="11"/>
      <c r="B82" s="153"/>
      <c r="C82" s="311" t="s">
        <v>668</v>
      </c>
      <c r="D82" s="207" t="s">
        <v>644</v>
      </c>
      <c r="E82" s="199">
        <v>20</v>
      </c>
      <c r="F82" s="269">
        <v>0</v>
      </c>
      <c r="G82" s="270">
        <f t="shared" si="4"/>
        <v>0</v>
      </c>
      <c r="I82" s="11"/>
      <c r="J82" s="11"/>
      <c r="K82" s="11"/>
      <c r="L82" s="11"/>
    </row>
    <row r="83" spans="1:12" s="12" customFormat="1" x14ac:dyDescent="0.2">
      <c r="A83" s="11"/>
      <c r="B83" s="153"/>
      <c r="C83" s="311" t="s">
        <v>673</v>
      </c>
      <c r="D83" s="207" t="s">
        <v>123</v>
      </c>
      <c r="E83" s="199">
        <v>1</v>
      </c>
      <c r="F83" s="269">
        <v>0</v>
      </c>
      <c r="G83" s="270">
        <f t="shared" si="4"/>
        <v>0</v>
      </c>
      <c r="I83" s="11"/>
      <c r="J83" s="11"/>
      <c r="K83" s="11"/>
      <c r="L83" s="11"/>
    </row>
    <row r="84" spans="1:12" s="12" customFormat="1" x14ac:dyDescent="0.2">
      <c r="A84" s="11"/>
      <c r="B84" s="153"/>
      <c r="C84" s="311" t="s">
        <v>675</v>
      </c>
      <c r="D84" s="207" t="s">
        <v>123</v>
      </c>
      <c r="E84" s="199">
        <v>3</v>
      </c>
      <c r="F84" s="269">
        <v>0</v>
      </c>
      <c r="G84" s="270">
        <f t="shared" si="4"/>
        <v>0</v>
      </c>
      <c r="I84" s="11"/>
      <c r="J84" s="11"/>
      <c r="K84" s="11"/>
      <c r="L84" s="11"/>
    </row>
    <row r="85" spans="1:12" s="12" customFormat="1" x14ac:dyDescent="0.2">
      <c r="A85" s="11"/>
      <c r="B85" s="153"/>
      <c r="C85" s="311" t="s">
        <v>676</v>
      </c>
      <c r="D85" s="207" t="s">
        <v>123</v>
      </c>
      <c r="E85" s="199">
        <v>2</v>
      </c>
      <c r="F85" s="269">
        <v>0</v>
      </c>
      <c r="G85" s="270">
        <f t="shared" si="4"/>
        <v>0</v>
      </c>
      <c r="I85" s="11"/>
      <c r="J85" s="11"/>
      <c r="K85" s="11"/>
      <c r="L85" s="11"/>
    </row>
    <row r="86" spans="1:12" s="12" customFormat="1" ht="24" x14ac:dyDescent="0.2">
      <c r="A86" s="11"/>
      <c r="B86" s="153"/>
      <c r="C86" s="311" t="s">
        <v>677</v>
      </c>
      <c r="D86" s="207" t="s">
        <v>123</v>
      </c>
      <c r="E86" s="199">
        <v>1</v>
      </c>
      <c r="F86" s="269">
        <v>0</v>
      </c>
      <c r="G86" s="270">
        <f t="shared" si="4"/>
        <v>0</v>
      </c>
      <c r="I86" s="11"/>
      <c r="J86" s="11"/>
      <c r="K86" s="11"/>
      <c r="L86" s="11"/>
    </row>
    <row r="87" spans="1:12" s="2" customFormat="1" x14ac:dyDescent="0.2">
      <c r="A87" s="121"/>
      <c r="B87" s="153">
        <v>7</v>
      </c>
      <c r="C87" s="357" t="s">
        <v>788</v>
      </c>
      <c r="D87" s="207"/>
      <c r="E87" s="199"/>
      <c r="F87" s="269"/>
      <c r="G87" s="270"/>
      <c r="H87" s="122"/>
      <c r="I87" s="121"/>
      <c r="J87" s="121"/>
      <c r="K87" s="121"/>
      <c r="L87" s="121"/>
    </row>
    <row r="88" spans="1:12" s="2" customFormat="1" x14ac:dyDescent="0.2">
      <c r="A88" s="121"/>
      <c r="B88" s="153"/>
      <c r="C88" s="197" t="s">
        <v>655</v>
      </c>
      <c r="D88" s="207" t="s">
        <v>644</v>
      </c>
      <c r="E88" s="199">
        <v>10</v>
      </c>
      <c r="F88" s="200">
        <v>0</v>
      </c>
      <c r="G88" s="270">
        <f>E88*F88</f>
        <v>0</v>
      </c>
      <c r="H88" s="122"/>
      <c r="I88" s="121"/>
      <c r="J88" s="121"/>
      <c r="K88" s="121"/>
      <c r="L88" s="121"/>
    </row>
    <row r="89" spans="1:12" s="2" customFormat="1" ht="36" x14ac:dyDescent="0.2">
      <c r="A89" s="121"/>
      <c r="B89" s="153"/>
      <c r="C89" s="197" t="s">
        <v>656</v>
      </c>
      <c r="D89" s="207" t="s">
        <v>98</v>
      </c>
      <c r="E89" s="199">
        <v>1</v>
      </c>
      <c r="F89" s="200">
        <v>0</v>
      </c>
      <c r="G89" s="270">
        <f>E89*F89</f>
        <v>0</v>
      </c>
      <c r="H89" s="122"/>
      <c r="I89" s="121"/>
      <c r="J89" s="121"/>
      <c r="K89" s="121"/>
      <c r="L89" s="121"/>
    </row>
    <row r="90" spans="1:12" s="2" customFormat="1" ht="24" x14ac:dyDescent="0.2">
      <c r="A90" s="121"/>
      <c r="B90" s="153"/>
      <c r="C90" s="197" t="s">
        <v>657</v>
      </c>
      <c r="D90" s="207" t="s">
        <v>98</v>
      </c>
      <c r="E90" s="199">
        <v>1</v>
      </c>
      <c r="F90" s="200">
        <v>0</v>
      </c>
      <c r="G90" s="270">
        <f>E90*F90</f>
        <v>0</v>
      </c>
      <c r="H90" s="122"/>
      <c r="I90" s="121"/>
      <c r="J90" s="121"/>
      <c r="K90" s="121"/>
      <c r="L90" s="121"/>
    </row>
    <row r="91" spans="1:12" s="2" customFormat="1" x14ac:dyDescent="0.2">
      <c r="A91" s="121"/>
      <c r="B91" s="153"/>
      <c r="C91" s="197" t="s">
        <v>663</v>
      </c>
      <c r="D91" s="207" t="s">
        <v>98</v>
      </c>
      <c r="E91" s="199">
        <v>1</v>
      </c>
      <c r="F91" s="200">
        <v>0</v>
      </c>
      <c r="G91" s="270">
        <f>E91*F91</f>
        <v>0</v>
      </c>
      <c r="H91" s="122"/>
      <c r="I91" s="121"/>
      <c r="J91" s="121"/>
      <c r="K91" s="121"/>
      <c r="L91" s="121"/>
    </row>
    <row r="92" spans="1:12" s="2" customFormat="1" x14ac:dyDescent="0.2">
      <c r="A92" s="121"/>
      <c r="B92" s="153">
        <v>8</v>
      </c>
      <c r="C92" s="357" t="s">
        <v>679</v>
      </c>
      <c r="D92" s="207"/>
      <c r="E92" s="199"/>
      <c r="F92" s="269"/>
      <c r="G92" s="270"/>
      <c r="H92" s="122"/>
      <c r="I92" s="121"/>
      <c r="J92" s="121"/>
      <c r="K92" s="121"/>
      <c r="L92" s="121"/>
    </row>
    <row r="93" spans="1:12" s="2" customFormat="1" ht="48" x14ac:dyDescent="0.2">
      <c r="A93" s="121"/>
      <c r="B93" s="153"/>
      <c r="C93" s="311" t="s">
        <v>789</v>
      </c>
      <c r="D93" s="10" t="s">
        <v>98</v>
      </c>
      <c r="E93" s="199">
        <v>1</v>
      </c>
      <c r="F93" s="269">
        <v>0</v>
      </c>
      <c r="G93" s="270">
        <f>E93*F93</f>
        <v>0</v>
      </c>
      <c r="H93" s="122"/>
      <c r="I93" s="121"/>
      <c r="J93" s="121"/>
      <c r="K93" s="121"/>
      <c r="L93" s="121"/>
    </row>
    <row r="94" spans="1:12" s="2" customFormat="1" ht="36" x14ac:dyDescent="0.2">
      <c r="A94" s="121"/>
      <c r="B94" s="153"/>
      <c r="C94" s="311" t="s">
        <v>790</v>
      </c>
      <c r="D94" s="207" t="s">
        <v>98</v>
      </c>
      <c r="E94" s="199">
        <v>1</v>
      </c>
      <c r="F94" s="269">
        <v>0</v>
      </c>
      <c r="G94" s="270">
        <f>E94*F94</f>
        <v>0</v>
      </c>
      <c r="H94" s="122"/>
      <c r="I94" s="121"/>
      <c r="J94" s="121"/>
      <c r="K94" s="121"/>
      <c r="L94" s="121"/>
    </row>
    <row r="95" spans="1:12" s="2" customFormat="1" ht="36" x14ac:dyDescent="0.2">
      <c r="A95" s="121"/>
      <c r="B95" s="153"/>
      <c r="C95" s="311" t="s">
        <v>791</v>
      </c>
      <c r="D95" s="10" t="s">
        <v>98</v>
      </c>
      <c r="E95" s="199">
        <v>1</v>
      </c>
      <c r="F95" s="269">
        <v>0</v>
      </c>
      <c r="G95" s="270">
        <f>E95*F95</f>
        <v>0</v>
      </c>
      <c r="H95" s="122"/>
      <c r="I95" s="121"/>
      <c r="J95" s="121"/>
      <c r="K95" s="121"/>
      <c r="L95" s="121"/>
    </row>
    <row r="96" spans="1:12" s="2" customFormat="1" ht="36" x14ac:dyDescent="0.2">
      <c r="A96" s="121"/>
      <c r="B96" s="153"/>
      <c r="C96" s="311" t="s">
        <v>792</v>
      </c>
      <c r="D96" s="207" t="s">
        <v>98</v>
      </c>
      <c r="E96" s="199">
        <v>1</v>
      </c>
      <c r="F96" s="269">
        <v>0</v>
      </c>
      <c r="G96" s="270">
        <f>E96*F96</f>
        <v>0</v>
      </c>
      <c r="H96" s="122"/>
      <c r="I96" s="121"/>
      <c r="J96" s="121"/>
      <c r="K96" s="121"/>
      <c r="L96" s="121"/>
    </row>
    <row r="97" spans="1:12" s="9" customFormat="1" ht="23.25" customHeight="1" x14ac:dyDescent="0.25">
      <c r="A97" s="147"/>
      <c r="B97" s="327" t="s">
        <v>18</v>
      </c>
      <c r="C97" s="214" t="s">
        <v>818</v>
      </c>
      <c r="D97" s="214"/>
      <c r="E97" s="215"/>
      <c r="F97" s="216"/>
      <c r="G97" s="290">
        <f>SUM(G30:G96)</f>
        <v>0</v>
      </c>
      <c r="H97" s="150"/>
      <c r="I97" s="147"/>
      <c r="J97" s="147"/>
      <c r="K97" s="147"/>
      <c r="L97"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0250-431D-4E35-8259-6425EAB6DB92}">
  <sheetPr codeName="Sheet45">
    <tabColor rgb="FF7030A0"/>
  </sheetPr>
  <dimension ref="A2:L97"/>
  <sheetViews>
    <sheetView showZeros="0" zoomScale="110" zoomScaleNormal="110" workbookViewId="0">
      <selection activeCell="B27" sqref="B27:G2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2217</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G97</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5" t="s">
        <v>540</v>
      </c>
      <c r="C23" s="3206"/>
      <c r="D23" s="3206"/>
      <c r="E23" s="3206"/>
      <c r="F23" s="3206"/>
      <c r="G23" s="3207"/>
      <c r="H23" s="302"/>
    </row>
    <row r="24" spans="2:8" s="16" customFormat="1" ht="24" customHeight="1" x14ac:dyDescent="0.3">
      <c r="B24" s="3205" t="s">
        <v>541</v>
      </c>
      <c r="C24" s="3206"/>
      <c r="D24" s="3206"/>
      <c r="E24" s="3206"/>
      <c r="F24" s="3206"/>
      <c r="G24" s="3207"/>
      <c r="H24" s="302"/>
    </row>
    <row r="25" spans="2:8" s="16" customFormat="1" ht="24" customHeight="1" x14ac:dyDescent="0.3">
      <c r="B25" s="3205" t="s">
        <v>542</v>
      </c>
      <c r="C25" s="3206"/>
      <c r="D25" s="3206"/>
      <c r="E25" s="3206"/>
      <c r="F25" s="3206"/>
      <c r="G25" s="3207"/>
      <c r="H25" s="302"/>
    </row>
    <row r="26" spans="2:8" s="16" customFormat="1" ht="24" customHeight="1" x14ac:dyDescent="0.3">
      <c r="B26" s="3205" t="s">
        <v>543</v>
      </c>
      <c r="C26" s="3206"/>
      <c r="D26" s="3206"/>
      <c r="E26" s="3206"/>
      <c r="F26" s="3206"/>
      <c r="G26" s="3207"/>
      <c r="H26" s="302"/>
    </row>
    <row r="27" spans="2:8" s="16" customFormat="1" ht="24" customHeight="1" x14ac:dyDescent="0.3">
      <c r="B27" s="3205" t="s">
        <v>544</v>
      </c>
      <c r="C27" s="3206"/>
      <c r="D27" s="3206"/>
      <c r="E27" s="3206"/>
      <c r="F27" s="3206"/>
      <c r="G27" s="3207"/>
      <c r="H27" s="302"/>
    </row>
    <row r="28" spans="2:8" s="16" customFormat="1" ht="24" customHeight="1" x14ac:dyDescent="0.3">
      <c r="B28" s="3205" t="s">
        <v>545</v>
      </c>
      <c r="C28" s="3206"/>
      <c r="D28" s="3206"/>
      <c r="E28" s="3206"/>
      <c r="F28" s="3206"/>
      <c r="G28" s="3207"/>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ht="36" x14ac:dyDescent="0.2">
      <c r="A42" s="121"/>
      <c r="B42" s="153"/>
      <c r="C42" s="311" t="s">
        <v>761</v>
      </c>
      <c r="D42" s="10" t="s">
        <v>123</v>
      </c>
      <c r="E42" s="199">
        <v>10</v>
      </c>
      <c r="F42" s="269">
        <v>0</v>
      </c>
      <c r="G42" s="270">
        <f t="shared" si="0"/>
        <v>0</v>
      </c>
      <c r="H42" s="122"/>
      <c r="I42" s="121"/>
      <c r="J42" s="121"/>
      <c r="K42" s="121"/>
      <c r="L42" s="121"/>
    </row>
    <row r="43" spans="1:12" ht="36" x14ac:dyDescent="0.2">
      <c r="A43" s="121"/>
      <c r="B43" s="153"/>
      <c r="C43" s="311" t="s">
        <v>762</v>
      </c>
      <c r="D43" s="10" t="s">
        <v>123</v>
      </c>
      <c r="E43" s="199">
        <v>1</v>
      </c>
      <c r="F43" s="269">
        <v>0</v>
      </c>
      <c r="G43" s="270">
        <f t="shared" si="0"/>
        <v>0</v>
      </c>
      <c r="H43" s="122"/>
      <c r="I43" s="121"/>
      <c r="J43" s="121"/>
      <c r="K43" s="121"/>
      <c r="L43" s="121"/>
    </row>
    <row r="44" spans="1:12" ht="48" x14ac:dyDescent="0.2">
      <c r="A44" s="121"/>
      <c r="B44" s="153"/>
      <c r="C44" s="311" t="s">
        <v>763</v>
      </c>
      <c r="D44" s="10" t="s">
        <v>123</v>
      </c>
      <c r="E44" s="199">
        <v>1</v>
      </c>
      <c r="F44" s="269">
        <v>0</v>
      </c>
      <c r="G44" s="270">
        <f t="shared" si="0"/>
        <v>0</v>
      </c>
      <c r="H44" s="122"/>
      <c r="I44" s="121"/>
      <c r="J44" s="121"/>
      <c r="K44" s="121"/>
      <c r="L44" s="121"/>
    </row>
    <row r="45" spans="1:12" ht="48" x14ac:dyDescent="0.2">
      <c r="A45" s="121"/>
      <c r="B45" s="153"/>
      <c r="C45" s="311" t="s">
        <v>764</v>
      </c>
      <c r="D45" s="10" t="s">
        <v>123</v>
      </c>
      <c r="E45" s="199">
        <v>3</v>
      </c>
      <c r="F45" s="269">
        <v>0</v>
      </c>
      <c r="G45" s="270">
        <f t="shared" si="0"/>
        <v>0</v>
      </c>
      <c r="H45" s="122"/>
      <c r="I45" s="121"/>
      <c r="J45" s="121"/>
      <c r="K45" s="121"/>
      <c r="L45" s="121"/>
    </row>
    <row r="46" spans="1:12" ht="48" x14ac:dyDescent="0.2">
      <c r="A46" s="121"/>
      <c r="B46" s="153"/>
      <c r="C46" s="311" t="s">
        <v>765</v>
      </c>
      <c r="D46" s="10" t="s">
        <v>123</v>
      </c>
      <c r="E46" s="199">
        <v>3</v>
      </c>
      <c r="F46" s="269">
        <v>0</v>
      </c>
      <c r="G46" s="270">
        <f t="shared" si="0"/>
        <v>0</v>
      </c>
      <c r="H46" s="122"/>
      <c r="I46" s="121"/>
      <c r="J46" s="121"/>
      <c r="K46" s="121"/>
      <c r="L46" s="121"/>
    </row>
    <row r="47" spans="1:12" ht="48" x14ac:dyDescent="0.2">
      <c r="A47" s="121"/>
      <c r="B47" s="153"/>
      <c r="C47" s="311" t="s">
        <v>766</v>
      </c>
      <c r="D47" s="10" t="s">
        <v>123</v>
      </c>
      <c r="E47" s="199">
        <v>3</v>
      </c>
      <c r="F47" s="269">
        <v>0</v>
      </c>
      <c r="G47" s="270">
        <f t="shared" si="0"/>
        <v>0</v>
      </c>
      <c r="H47" s="122"/>
      <c r="I47" s="121"/>
      <c r="J47" s="121"/>
      <c r="K47" s="121"/>
      <c r="L47" s="121"/>
    </row>
    <row r="48" spans="1:12" ht="48" x14ac:dyDescent="0.2">
      <c r="A48" s="121"/>
      <c r="B48" s="153"/>
      <c r="C48" s="311" t="s">
        <v>767</v>
      </c>
      <c r="D48" s="10" t="s">
        <v>98</v>
      </c>
      <c r="E48" s="199">
        <v>1</v>
      </c>
      <c r="F48" s="269">
        <v>0</v>
      </c>
      <c r="G48" s="270">
        <f t="shared" si="0"/>
        <v>0</v>
      </c>
      <c r="H48" s="122"/>
      <c r="I48" s="121"/>
      <c r="J48" s="121"/>
      <c r="K48" s="121"/>
      <c r="L48" s="121"/>
    </row>
    <row r="49" spans="1:12"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9"/>
      <c r="C53" s="2744" t="s">
        <v>2465</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944</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207"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207"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645</v>
      </c>
      <c r="D71" s="207" t="s">
        <v>644</v>
      </c>
      <c r="E71" s="199">
        <v>15</v>
      </c>
      <c r="F71" s="269">
        <v>0</v>
      </c>
      <c r="G71" s="270">
        <f t="shared" ref="G71:G78" si="3">E71*F71</f>
        <v>0</v>
      </c>
      <c r="H71" s="122"/>
      <c r="I71" s="121"/>
      <c r="J71" s="121"/>
      <c r="K71" s="121"/>
      <c r="L71" s="121"/>
    </row>
    <row r="72" spans="1:12" s="2" customFormat="1" x14ac:dyDescent="0.2">
      <c r="A72" s="121"/>
      <c r="B72" s="153"/>
      <c r="C72" s="311" t="s">
        <v>646</v>
      </c>
      <c r="D72" s="207" t="s">
        <v>644</v>
      </c>
      <c r="E72" s="199">
        <v>50</v>
      </c>
      <c r="F72" s="269">
        <v>0</v>
      </c>
      <c r="G72" s="270">
        <f t="shared" si="3"/>
        <v>0</v>
      </c>
      <c r="H72" s="122"/>
      <c r="I72" s="121"/>
      <c r="J72" s="121"/>
      <c r="K72" s="121"/>
      <c r="L72" s="121"/>
    </row>
    <row r="73" spans="1:12" s="2" customFormat="1" x14ac:dyDescent="0.2">
      <c r="A73" s="121"/>
      <c r="B73" s="153"/>
      <c r="C73" s="311" t="s">
        <v>647</v>
      </c>
      <c r="D73" s="207" t="s">
        <v>644</v>
      </c>
      <c r="E73" s="199">
        <v>25</v>
      </c>
      <c r="F73" s="269">
        <v>0</v>
      </c>
      <c r="G73" s="270">
        <f t="shared" si="3"/>
        <v>0</v>
      </c>
      <c r="H73" s="122"/>
      <c r="I73" s="121"/>
      <c r="J73" s="121"/>
      <c r="K73" s="121"/>
      <c r="L73" s="121"/>
    </row>
    <row r="74" spans="1:12" s="2" customFormat="1" x14ac:dyDescent="0.2">
      <c r="A74" s="121"/>
      <c r="B74" s="153"/>
      <c r="C74" s="311" t="s">
        <v>648</v>
      </c>
      <c r="D74" s="207" t="s">
        <v>644</v>
      </c>
      <c r="E74" s="199">
        <v>15</v>
      </c>
      <c r="F74" s="269">
        <v>0</v>
      </c>
      <c r="G74" s="270">
        <f t="shared" si="3"/>
        <v>0</v>
      </c>
      <c r="H74" s="122"/>
      <c r="I74" s="121"/>
      <c r="J74" s="121"/>
      <c r="K74" s="121"/>
      <c r="L74" s="121"/>
    </row>
    <row r="75" spans="1:12" s="2" customFormat="1" x14ac:dyDescent="0.2">
      <c r="A75" s="121"/>
      <c r="B75" s="153"/>
      <c r="C75" s="311" t="s">
        <v>650</v>
      </c>
      <c r="D75" s="207" t="s">
        <v>123</v>
      </c>
      <c r="E75" s="199">
        <v>2</v>
      </c>
      <c r="F75" s="269">
        <v>0</v>
      </c>
      <c r="G75" s="270">
        <f t="shared" si="3"/>
        <v>0</v>
      </c>
      <c r="H75" s="122"/>
      <c r="I75" s="121"/>
      <c r="J75" s="121"/>
      <c r="K75" s="121"/>
      <c r="L75" s="121"/>
    </row>
    <row r="76" spans="1:12" s="2" customFormat="1" x14ac:dyDescent="0.2">
      <c r="A76" s="121"/>
      <c r="B76" s="153"/>
      <c r="C76" s="311" t="s">
        <v>651</v>
      </c>
      <c r="D76" s="207" t="s">
        <v>644</v>
      </c>
      <c r="E76" s="199">
        <v>20</v>
      </c>
      <c r="F76" s="269">
        <v>0</v>
      </c>
      <c r="G76" s="270">
        <f t="shared" si="3"/>
        <v>0</v>
      </c>
      <c r="H76" s="122"/>
      <c r="I76" s="121"/>
      <c r="J76" s="121"/>
      <c r="K76" s="121"/>
      <c r="L76" s="121"/>
    </row>
    <row r="77" spans="1:12" s="2" customFormat="1" x14ac:dyDescent="0.2">
      <c r="A77" s="121"/>
      <c r="B77" s="153"/>
      <c r="C77" s="311" t="s">
        <v>652</v>
      </c>
      <c r="D77" s="207" t="s">
        <v>644</v>
      </c>
      <c r="E77" s="199">
        <v>15</v>
      </c>
      <c r="F77" s="269">
        <v>0</v>
      </c>
      <c r="G77" s="270">
        <f t="shared" si="3"/>
        <v>0</v>
      </c>
      <c r="H77" s="122"/>
      <c r="I77" s="121"/>
      <c r="J77" s="121"/>
      <c r="K77" s="121"/>
      <c r="L77" s="121"/>
    </row>
    <row r="78" spans="1:12" s="2" customFormat="1" x14ac:dyDescent="0.2">
      <c r="A78" s="121"/>
      <c r="B78" s="153"/>
      <c r="C78" s="311" t="s">
        <v>632</v>
      </c>
      <c r="D78" s="207" t="s">
        <v>98</v>
      </c>
      <c r="E78" s="199">
        <v>1</v>
      </c>
      <c r="F78" s="269">
        <v>0</v>
      </c>
      <c r="G78" s="270">
        <f t="shared" si="3"/>
        <v>0</v>
      </c>
      <c r="H78" s="122"/>
      <c r="I78" s="121"/>
      <c r="J78" s="121"/>
      <c r="K78" s="121"/>
      <c r="L78" s="121"/>
    </row>
    <row r="79" spans="1:12" s="12" customFormat="1" x14ac:dyDescent="0.2">
      <c r="A79" s="11"/>
      <c r="B79" s="153">
        <v>6</v>
      </c>
      <c r="C79" s="357" t="s">
        <v>785</v>
      </c>
      <c r="D79" s="15"/>
      <c r="E79" s="419"/>
      <c r="F79" s="14"/>
      <c r="G79" s="13"/>
      <c r="I79" s="11"/>
      <c r="J79" s="11"/>
      <c r="K79" s="11"/>
      <c r="L79" s="11"/>
    </row>
    <row r="80" spans="1:12" s="12" customFormat="1" ht="24" x14ac:dyDescent="0.2">
      <c r="A80" s="11"/>
      <c r="B80" s="153"/>
      <c r="C80" s="311" t="s">
        <v>666</v>
      </c>
      <c r="D80" s="207" t="s">
        <v>644</v>
      </c>
      <c r="E80" s="199">
        <v>8</v>
      </c>
      <c r="F80" s="269">
        <v>0</v>
      </c>
      <c r="G80" s="270">
        <f t="shared" ref="G80:G86" si="4">E80*F80</f>
        <v>0</v>
      </c>
      <c r="I80" s="11"/>
      <c r="J80" s="11"/>
      <c r="K80" s="11"/>
      <c r="L80" s="11"/>
    </row>
    <row r="81" spans="1:12" s="12" customFormat="1" x14ac:dyDescent="0.2">
      <c r="A81" s="11"/>
      <c r="B81" s="153"/>
      <c r="C81" s="311" t="s">
        <v>667</v>
      </c>
      <c r="D81" s="207" t="s">
        <v>644</v>
      </c>
      <c r="E81" s="199">
        <v>50</v>
      </c>
      <c r="F81" s="269">
        <v>0</v>
      </c>
      <c r="G81" s="270">
        <f t="shared" si="4"/>
        <v>0</v>
      </c>
      <c r="I81" s="11"/>
      <c r="J81" s="11"/>
      <c r="K81" s="11"/>
      <c r="L81" s="11"/>
    </row>
    <row r="82" spans="1:12" s="12" customFormat="1" x14ac:dyDescent="0.2">
      <c r="A82" s="11"/>
      <c r="B82" s="153"/>
      <c r="C82" s="311" t="s">
        <v>668</v>
      </c>
      <c r="D82" s="207" t="s">
        <v>644</v>
      </c>
      <c r="E82" s="199">
        <v>20</v>
      </c>
      <c r="F82" s="269">
        <v>0</v>
      </c>
      <c r="G82" s="270">
        <f t="shared" si="4"/>
        <v>0</v>
      </c>
      <c r="I82" s="11"/>
      <c r="J82" s="11"/>
      <c r="K82" s="11"/>
      <c r="L82" s="11"/>
    </row>
    <row r="83" spans="1:12" s="12" customFormat="1" x14ac:dyDescent="0.2">
      <c r="A83" s="11"/>
      <c r="B83" s="153"/>
      <c r="C83" s="311" t="s">
        <v>673</v>
      </c>
      <c r="D83" s="207" t="s">
        <v>123</v>
      </c>
      <c r="E83" s="199">
        <v>1</v>
      </c>
      <c r="F83" s="269">
        <v>0</v>
      </c>
      <c r="G83" s="270">
        <f t="shared" si="4"/>
        <v>0</v>
      </c>
      <c r="I83" s="11"/>
      <c r="J83" s="11"/>
      <c r="K83" s="11"/>
      <c r="L83" s="11"/>
    </row>
    <row r="84" spans="1:12" s="12" customFormat="1" x14ac:dyDescent="0.2">
      <c r="A84" s="11"/>
      <c r="B84" s="153"/>
      <c r="C84" s="311" t="s">
        <v>675</v>
      </c>
      <c r="D84" s="207" t="s">
        <v>123</v>
      </c>
      <c r="E84" s="199">
        <v>3</v>
      </c>
      <c r="F84" s="269">
        <v>0</v>
      </c>
      <c r="G84" s="270">
        <f t="shared" si="4"/>
        <v>0</v>
      </c>
      <c r="I84" s="11"/>
      <c r="J84" s="11"/>
      <c r="K84" s="11"/>
      <c r="L84" s="11"/>
    </row>
    <row r="85" spans="1:12" s="12" customFormat="1" x14ac:dyDescent="0.2">
      <c r="A85" s="11"/>
      <c r="B85" s="153"/>
      <c r="C85" s="311" t="s">
        <v>676</v>
      </c>
      <c r="D85" s="207" t="s">
        <v>123</v>
      </c>
      <c r="E85" s="199">
        <v>2</v>
      </c>
      <c r="F85" s="269">
        <v>0</v>
      </c>
      <c r="G85" s="270">
        <f t="shared" si="4"/>
        <v>0</v>
      </c>
      <c r="I85" s="11"/>
      <c r="J85" s="11"/>
      <c r="K85" s="11"/>
      <c r="L85" s="11"/>
    </row>
    <row r="86" spans="1:12" s="12" customFormat="1" ht="24" x14ac:dyDescent="0.2">
      <c r="A86" s="11"/>
      <c r="B86" s="153"/>
      <c r="C86" s="311" t="s">
        <v>677</v>
      </c>
      <c r="D86" s="207" t="s">
        <v>123</v>
      </c>
      <c r="E86" s="199">
        <v>1</v>
      </c>
      <c r="F86" s="269">
        <v>0</v>
      </c>
      <c r="G86" s="270">
        <f t="shared" si="4"/>
        <v>0</v>
      </c>
      <c r="I86" s="11"/>
      <c r="J86" s="11"/>
      <c r="K86" s="11"/>
      <c r="L86" s="11"/>
    </row>
    <row r="87" spans="1:12" s="2" customFormat="1" x14ac:dyDescent="0.2">
      <c r="A87" s="121"/>
      <c r="B87" s="153">
        <v>7</v>
      </c>
      <c r="C87" s="357" t="s">
        <v>788</v>
      </c>
      <c r="D87" s="207"/>
      <c r="E87" s="199"/>
      <c r="F87" s="269"/>
      <c r="G87" s="270"/>
      <c r="H87" s="122"/>
      <c r="I87" s="121"/>
      <c r="J87" s="121"/>
      <c r="K87" s="121"/>
      <c r="L87" s="121"/>
    </row>
    <row r="88" spans="1:12" s="2" customFormat="1" x14ac:dyDescent="0.2">
      <c r="A88" s="121"/>
      <c r="B88" s="153"/>
      <c r="C88" s="197" t="s">
        <v>655</v>
      </c>
      <c r="D88" s="207" t="s">
        <v>644</v>
      </c>
      <c r="E88" s="199">
        <v>10</v>
      </c>
      <c r="F88" s="269">
        <v>0</v>
      </c>
      <c r="G88" s="270">
        <f>E88*F88</f>
        <v>0</v>
      </c>
      <c r="H88" s="122"/>
      <c r="I88" s="121"/>
      <c r="J88" s="121"/>
      <c r="K88" s="121"/>
      <c r="L88" s="121"/>
    </row>
    <row r="89" spans="1:12" s="2" customFormat="1" ht="36" x14ac:dyDescent="0.2">
      <c r="A89" s="121"/>
      <c r="B89" s="153"/>
      <c r="C89" s="197" t="s">
        <v>656</v>
      </c>
      <c r="D89" s="207" t="s">
        <v>98</v>
      </c>
      <c r="E89" s="199">
        <v>1</v>
      </c>
      <c r="F89" s="269">
        <v>0</v>
      </c>
      <c r="G89" s="270">
        <f>E89*F89</f>
        <v>0</v>
      </c>
      <c r="H89" s="122"/>
      <c r="I89" s="121"/>
      <c r="J89" s="121"/>
      <c r="K89" s="121"/>
      <c r="L89" s="121"/>
    </row>
    <row r="90" spans="1:12" s="2" customFormat="1" ht="24" x14ac:dyDescent="0.2">
      <c r="A90" s="121"/>
      <c r="B90" s="153"/>
      <c r="C90" s="197" t="s">
        <v>657</v>
      </c>
      <c r="D90" s="207" t="s">
        <v>98</v>
      </c>
      <c r="E90" s="199">
        <v>1</v>
      </c>
      <c r="F90" s="269">
        <v>0</v>
      </c>
      <c r="G90" s="270">
        <f>E90*F90</f>
        <v>0</v>
      </c>
      <c r="H90" s="122"/>
      <c r="I90" s="121"/>
      <c r="J90" s="121"/>
      <c r="K90" s="121"/>
      <c r="L90" s="121"/>
    </row>
    <row r="91" spans="1:12" s="2" customFormat="1" x14ac:dyDescent="0.2">
      <c r="A91" s="121"/>
      <c r="B91" s="153"/>
      <c r="C91" s="197" t="s">
        <v>663</v>
      </c>
      <c r="D91" s="207" t="s">
        <v>98</v>
      </c>
      <c r="E91" s="199">
        <v>1</v>
      </c>
      <c r="F91" s="269">
        <v>0</v>
      </c>
      <c r="G91" s="270">
        <f>E91*F91</f>
        <v>0</v>
      </c>
      <c r="H91" s="122"/>
      <c r="I91" s="121"/>
      <c r="J91" s="121"/>
      <c r="K91" s="121"/>
      <c r="L91" s="121"/>
    </row>
    <row r="92" spans="1:12" s="2" customFormat="1" x14ac:dyDescent="0.2">
      <c r="A92" s="121"/>
      <c r="B92" s="153">
        <v>8</v>
      </c>
      <c r="C92" s="357" t="s">
        <v>679</v>
      </c>
      <c r="D92" s="207"/>
      <c r="E92" s="199"/>
      <c r="F92" s="269"/>
      <c r="G92" s="270"/>
      <c r="H92" s="122"/>
      <c r="I92" s="121"/>
      <c r="J92" s="121"/>
      <c r="K92" s="121"/>
      <c r="L92" s="121"/>
    </row>
    <row r="93" spans="1:12" s="2" customFormat="1" ht="48" x14ac:dyDescent="0.2">
      <c r="A93" s="121"/>
      <c r="B93" s="153"/>
      <c r="C93" s="311" t="s">
        <v>789</v>
      </c>
      <c r="D93" s="207" t="s">
        <v>98</v>
      </c>
      <c r="E93" s="199">
        <v>1</v>
      </c>
      <c r="F93" s="269">
        <v>0</v>
      </c>
      <c r="G93" s="270">
        <f>E93*F93</f>
        <v>0</v>
      </c>
      <c r="H93" s="122"/>
      <c r="I93" s="121"/>
      <c r="J93" s="121"/>
      <c r="K93" s="121"/>
      <c r="L93" s="121"/>
    </row>
    <row r="94" spans="1:12" s="2" customFormat="1" ht="36" x14ac:dyDescent="0.2">
      <c r="A94" s="121"/>
      <c r="B94" s="153"/>
      <c r="C94" s="311" t="s">
        <v>790</v>
      </c>
      <c r="D94" s="207" t="s">
        <v>98</v>
      </c>
      <c r="E94" s="199">
        <v>1</v>
      </c>
      <c r="F94" s="269">
        <v>0</v>
      </c>
      <c r="G94" s="270">
        <f>E94*F94</f>
        <v>0</v>
      </c>
      <c r="H94" s="122"/>
      <c r="I94" s="121"/>
      <c r="J94" s="121"/>
      <c r="K94" s="121"/>
      <c r="L94" s="121"/>
    </row>
    <row r="95" spans="1:12" s="2" customFormat="1" ht="36" x14ac:dyDescent="0.2">
      <c r="A95" s="121"/>
      <c r="B95" s="153"/>
      <c r="C95" s="311" t="s">
        <v>791</v>
      </c>
      <c r="D95" s="207" t="s">
        <v>98</v>
      </c>
      <c r="E95" s="199">
        <v>1</v>
      </c>
      <c r="F95" s="269">
        <v>0</v>
      </c>
      <c r="G95" s="270">
        <f>E95*F95</f>
        <v>0</v>
      </c>
      <c r="H95" s="122"/>
      <c r="I95" s="121"/>
      <c r="J95" s="121"/>
      <c r="K95" s="121"/>
      <c r="L95" s="121"/>
    </row>
    <row r="96" spans="1:12" s="2" customFormat="1" ht="36" x14ac:dyDescent="0.2">
      <c r="A96" s="121"/>
      <c r="B96" s="153"/>
      <c r="C96" s="311" t="s">
        <v>792</v>
      </c>
      <c r="D96" s="207" t="s">
        <v>98</v>
      </c>
      <c r="E96" s="199">
        <v>1</v>
      </c>
      <c r="F96" s="269">
        <v>0</v>
      </c>
      <c r="G96" s="270">
        <f>E96*F96</f>
        <v>0</v>
      </c>
      <c r="H96" s="122"/>
      <c r="I96" s="121"/>
      <c r="J96" s="121"/>
      <c r="K96" s="121"/>
      <c r="L96" s="121"/>
    </row>
    <row r="97" spans="1:12" s="9" customFormat="1" ht="23.25" customHeight="1" x14ac:dyDescent="0.25">
      <c r="A97" s="147"/>
      <c r="B97" s="327" t="s">
        <v>18</v>
      </c>
      <c r="C97" s="214" t="s">
        <v>818</v>
      </c>
      <c r="D97" s="214"/>
      <c r="E97" s="215"/>
      <c r="F97" s="216"/>
      <c r="G97" s="290">
        <f>SUM(G30:G96)</f>
        <v>0</v>
      </c>
      <c r="H97" s="150"/>
      <c r="I97" s="147"/>
      <c r="J97" s="147"/>
      <c r="K97" s="147"/>
      <c r="L97"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93</vt:i4>
      </vt:variant>
      <vt:variant>
        <vt:lpstr>Imenovani obsegi</vt:lpstr>
      </vt:variant>
      <vt:variant>
        <vt:i4>23</vt:i4>
      </vt:variant>
    </vt:vector>
  </HeadingPairs>
  <TitlesOfParts>
    <vt:vector size="116" baseType="lpstr">
      <vt:lpstr>REKAPITULACIJA SKLOP 2</vt:lpstr>
      <vt:lpstr>REKAPITULACIJA CANKOVA</vt:lpstr>
      <vt:lpstr>Cankova_VGG-transport</vt:lpstr>
      <vt:lpstr>Cankova_VKS</vt:lpstr>
      <vt:lpstr>Cankova_ČRP Gerlinci</vt:lpstr>
      <vt:lpstr>Cankova_RT-6</vt:lpstr>
      <vt:lpstr>Cankova_VH Krašči</vt:lpstr>
      <vt:lpstr>Cankova_ČRP Domajinci</vt:lpstr>
      <vt:lpstr>Cankova_ČRP G.Črnci (Romi)</vt:lpstr>
      <vt:lpstr>Cankova_VGG-sekundar</vt:lpstr>
      <vt:lpstr>Cankova_SC-1</vt:lpstr>
      <vt:lpstr>Cankova_VKS-1</vt:lpstr>
      <vt:lpstr>REKAPITULACIJA G.PETROVCI</vt:lpstr>
      <vt:lpstr>G.Petrovci_RT-2</vt:lpstr>
      <vt:lpstr>G.Petrovci_VH Pindža</vt:lpstr>
      <vt:lpstr>G.Petrovci_VH Lucova</vt:lpstr>
      <vt:lpstr>G.Petrovci_VH Stanjevci</vt:lpstr>
      <vt:lpstr>G.Petrovci_ČRP-Boreča</vt:lpstr>
      <vt:lpstr>G.Petrovci_ČRP-Martinje</vt:lpstr>
      <vt:lpstr>G.Petrovci_ČRP-Ženavlje 1</vt:lpstr>
      <vt:lpstr>G.Petrovci_ČRP-Ženavlje 2</vt:lpstr>
      <vt:lpstr>REKAPITULACIJA GRAD</vt:lpstr>
      <vt:lpstr>Grad_VH Grad</vt:lpstr>
      <vt:lpstr>Grad_VH Vidonci</vt:lpstr>
      <vt:lpstr>Grad_ČRP Dolnji Slaveči 1</vt:lpstr>
      <vt:lpstr>Grad_ČRP Dolnji Slaveči 2</vt:lpstr>
      <vt:lpstr>Grad_ČRP Grad</vt:lpstr>
      <vt:lpstr>Grad_ČRP Grad Rajsar</vt:lpstr>
      <vt:lpstr>Grad_ČRP Vidonci</vt:lpstr>
      <vt:lpstr>REKAPITULACIJA HODOŠ</vt:lpstr>
      <vt:lpstr>Hodoš_VH Hodoš</vt:lpstr>
      <vt:lpstr>Hodoš_ČRP Hodoš</vt:lpstr>
      <vt:lpstr>REKAPITULACIJA KUZMA</vt:lpstr>
      <vt:lpstr>Kuzma_VH Kuzma</vt:lpstr>
      <vt:lpstr>Kuzma_ČRP Dolič (Č-2)</vt:lpstr>
      <vt:lpstr>Kuzma_ČRP Dolič 1 (Č-1)</vt:lpstr>
      <vt:lpstr>Kuzma_ČRP Gornji Slaveči (Č-4)</vt:lpstr>
      <vt:lpstr>Kuzma_ČRP Kuzma (Č-5-1)</vt:lpstr>
      <vt:lpstr>Kuzma_ČRP Matjaševci (Č-3)</vt:lpstr>
      <vt:lpstr>Kuzma_Trdkova SK-1</vt:lpstr>
      <vt:lpstr>REKAPITULACIJA M.TOPLICE</vt:lpstr>
      <vt:lpstr>M.Toplice_VPUS</vt:lpstr>
      <vt:lpstr>M.Toplice_VF1</vt:lpstr>
      <vt:lpstr>M.Toplice_VBU</vt:lpstr>
      <vt:lpstr>M.Toplice_ČRP_Bukovnica</vt:lpstr>
      <vt:lpstr>M.Toplice_SMT-4_1</vt:lpstr>
      <vt:lpstr>M.Toplice_SMT-4_2 </vt:lpstr>
      <vt:lpstr>M.Toplice_ČRP Filovci</vt:lpstr>
      <vt:lpstr>M.Toplice_VH Filovci</vt:lpstr>
      <vt:lpstr>M.Toplice_VKL-2, VKL-3</vt:lpstr>
      <vt:lpstr>M.Toplice_R1-R10, L1-L6</vt:lpstr>
      <vt:lpstr>M.Toplice_Fokovci_VFS-2</vt:lpstr>
      <vt:lpstr>M.Toplice_ČRP Gornji Moravci</vt:lpstr>
      <vt:lpstr>M.Toplice_ČRP Prosenjakovci</vt:lpstr>
      <vt:lpstr>M.Toplice_ČRP Prosenjakovci OŠ</vt:lpstr>
      <vt:lpstr>M.Toplice_ČRP Sebeborci</vt:lpstr>
      <vt:lpstr>M.Toplice_B1, B3-B6</vt:lpstr>
      <vt:lpstr>M.Toplice_K1-K8</vt:lpstr>
      <vt:lpstr>M.Toplice_Fokovci_F1-F7</vt:lpstr>
      <vt:lpstr>M.Toplice_SMT-1 18</vt:lpstr>
      <vt:lpstr>REKAPITULACIJA ROGAŠOVCI</vt:lpstr>
      <vt:lpstr>Rogašovci_VGG-R</vt:lpstr>
      <vt:lpstr>Rogašovci_VRS</vt:lpstr>
      <vt:lpstr>Rogašovci_VSN</vt:lpstr>
      <vt:lpstr>Rogašovci_VKK VFK</vt:lpstr>
      <vt:lpstr>Rogašovci_VSO</vt:lpstr>
      <vt:lpstr>Rogašovci_SR-4_26</vt:lpstr>
      <vt:lpstr>Rogašovci_SR-5_8</vt:lpstr>
      <vt:lpstr>Rogašovci_SR-4_10 </vt:lpstr>
      <vt:lpstr>Rogašovci_SR-5_7</vt:lpstr>
      <vt:lpstr>Rogašovci_SR-5_1</vt:lpstr>
      <vt:lpstr>Rogašovci_SR-4_6</vt:lpstr>
      <vt:lpstr>Rogašovci_VRP</vt:lpstr>
      <vt:lpstr>Rogašovci_SR-1_7</vt:lpstr>
      <vt:lpstr>Rogašovci_SR-2_1</vt:lpstr>
      <vt:lpstr>Rogašovci_SR-2_9</vt:lpstr>
      <vt:lpstr>Rogašovci_VH Sotina</vt:lpstr>
      <vt:lpstr>Rogašovci_ČRP Buček</vt:lpstr>
      <vt:lpstr>Rogašovci_VH Nuskova</vt:lpstr>
      <vt:lpstr>Rogašovci_VH Večeslavci</vt:lpstr>
      <vt:lpstr>Rogašovci_RT-5</vt:lpstr>
      <vt:lpstr>Rogašovci_SR-3_7</vt:lpstr>
      <vt:lpstr>Rogašovci_SR-3_8.1</vt:lpstr>
      <vt:lpstr>Rogašovci_SR-4_15</vt:lpstr>
      <vt:lpstr>REKAPITULACIJA ŠALOVCI</vt:lpstr>
      <vt:lpstr>Šalovci_VŠM 6</vt:lpstr>
      <vt:lpstr>Šalovci_ČRP_MARKOVCI</vt:lpstr>
      <vt:lpstr>Šalovci_VH Dolenci</vt:lpstr>
      <vt:lpstr>Šalovci_VH Domanjševci</vt:lpstr>
      <vt:lpstr>Šalovci_VH Čepinci</vt:lpstr>
      <vt:lpstr>Šalovci_ČRP Čepinci 1</vt:lpstr>
      <vt:lpstr>Šalovci_ČRP Čepinci 2</vt:lpstr>
      <vt:lpstr>Šalovci_ČRP Čepinci 3</vt:lpstr>
      <vt:lpstr>'Cankova_RT-6'!Področje_tiskanja</vt:lpstr>
      <vt:lpstr>'M.Toplice_Fokovci_VFS-2'!Področje_tiskanja</vt:lpstr>
      <vt:lpstr>'M.Toplice_VKL-2, VKL-3'!Področje_tiskanja</vt:lpstr>
      <vt:lpstr>'Rogašovci_ČRP Buček'!Področje_tiskanja</vt:lpstr>
      <vt:lpstr>'Rogašovci_SR-1_7'!Področje_tiskanja</vt:lpstr>
      <vt:lpstr>'Rogašovci_SR-2_1'!Področje_tiskanja</vt:lpstr>
      <vt:lpstr>'Rogašovci_SR-2_9'!Področje_tiskanja</vt:lpstr>
      <vt:lpstr>'Rogašovci_SR-3_7'!Področje_tiskanja</vt:lpstr>
      <vt:lpstr>'Rogašovci_SR-3_8.1'!Področje_tiskanja</vt:lpstr>
      <vt:lpstr>'Rogašovci_SR-4_10 '!Področje_tiskanja</vt:lpstr>
      <vt:lpstr>'Rogašovci_SR-4_15'!Področje_tiskanja</vt:lpstr>
      <vt:lpstr>'Rogašovci_SR-4_26'!Področje_tiskanja</vt:lpstr>
      <vt:lpstr>'Rogašovci_SR-4_6'!Področje_tiskanja</vt:lpstr>
      <vt:lpstr>'Rogašovci_SR-5_1'!Področje_tiskanja</vt:lpstr>
      <vt:lpstr>'Rogašovci_SR-5_7'!Področje_tiskanja</vt:lpstr>
      <vt:lpstr>'Rogašovci_SR-5_8'!Področje_tiskanja</vt:lpstr>
      <vt:lpstr>'Rogašovci_VGG-R'!Področje_tiskanja</vt:lpstr>
      <vt:lpstr>'Rogašovci_VH Sotina'!Področje_tiskanja</vt:lpstr>
      <vt:lpstr>'Rogašovci_VKK VFK'!Področje_tiskanja</vt:lpstr>
      <vt:lpstr>Rogašovci_VRP!Področje_tiskanja</vt:lpstr>
      <vt:lpstr>Rogašovci_VRS!Področje_tiskanja</vt:lpstr>
      <vt:lpstr>Rogašovci_VSN!Področje_tiskanja</vt:lpstr>
      <vt:lpstr>Rogašovci_VSO!Področje_tiskanja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Tomi Ozmec</dc:creator>
  <cp:keywords/>
  <dc:description/>
  <cp:lastModifiedBy>user</cp:lastModifiedBy>
  <cp:revision/>
  <cp:lastPrinted>2020-05-12T11:59:02Z</cp:lastPrinted>
  <dcterms:created xsi:type="dcterms:W3CDTF">2015-06-05T18:17:20Z</dcterms:created>
  <dcterms:modified xsi:type="dcterms:W3CDTF">2020-05-17T18:22:53Z</dcterms:modified>
  <cp:category/>
  <cp:contentStatus/>
</cp:coreProperties>
</file>